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D:\01 DOCUEMENTOS\CENTRAL ARCHIVO  2 0 1 8\CENTRAL  # 07  J U L I O   2018\"/>
    </mc:Choice>
  </mc:AlternateContent>
  <xr:revisionPtr revIDLastSave="0" documentId="13_ncr:1_{B5C4E0B1-42DD-42C1-ACB8-EF556F9E057F}" xr6:coauthVersionLast="41" xr6:coauthVersionMax="41" xr10:uidLastSave="{00000000-0000-0000-0000-000000000000}"/>
  <bookViews>
    <workbookView xWindow="2850" yWindow="15" windowWidth="15690" windowHeight="11565" firstSheet="2" activeTab="7" xr2:uid="{00000000-000D-0000-FFFF-FFFF00000000}"/>
  </bookViews>
  <sheets>
    <sheet name="programa de pagos" sheetId="1" r:id="rId1"/>
    <sheet name="enero 18 " sheetId="2" r:id="rId2"/>
    <sheet name="febrero" sheetId="7" r:id="rId3"/>
    <sheet name="marzo" sheetId="8" r:id="rId4"/>
    <sheet name="abril" sheetId="9" r:id="rId5"/>
    <sheet name="mayo" sheetId="10" r:id="rId6"/>
    <sheet name="junio" sheetId="11" r:id="rId7"/>
    <sheet name="julio" sheetId="12" r:id="rId8"/>
    <sheet name="cierres" sheetId="3" r:id="rId9"/>
    <sheet name="Seaboard" sheetId="6" r:id="rId10"/>
    <sheet name="Tyson" sheetId="4" r:id="rId11"/>
    <sheet name="Proledo" sheetId="5" r:id="rId1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9" i="12" l="1"/>
  <c r="G59" i="12"/>
  <c r="R59" i="12"/>
  <c r="C773" i="1"/>
  <c r="C774" i="1" l="1"/>
  <c r="H58" i="12"/>
  <c r="F65" i="12" l="1"/>
  <c r="C759" i="1"/>
  <c r="C771" i="1"/>
  <c r="C755" i="1"/>
  <c r="F62" i="12" l="1"/>
  <c r="F61" i="12"/>
  <c r="F55" i="12" l="1"/>
  <c r="F54" i="12"/>
  <c r="Z52" i="12"/>
  <c r="U58" i="12" l="1"/>
  <c r="Y58" i="12" s="1"/>
  <c r="Z58" i="12" s="1"/>
  <c r="U30" i="12"/>
  <c r="C772" i="1" l="1"/>
  <c r="C770" i="1"/>
  <c r="G51" i="12"/>
  <c r="P65" i="12"/>
  <c r="Z53" i="12" l="1"/>
  <c r="F47" i="12"/>
  <c r="P62" i="12" l="1"/>
  <c r="C766" i="1"/>
  <c r="C765" i="1"/>
  <c r="R73" i="12"/>
  <c r="Y73" i="12" s="1"/>
  <c r="Z73" i="12" s="1"/>
  <c r="H73" i="12"/>
  <c r="C761" i="1"/>
  <c r="C760" i="1"/>
  <c r="F49" i="12"/>
  <c r="F50" i="12"/>
  <c r="F46" i="12"/>
  <c r="F45" i="12"/>
  <c r="C722" i="1" l="1"/>
  <c r="F35" i="12"/>
  <c r="H35" i="12"/>
  <c r="H36" i="12"/>
  <c r="H37" i="12"/>
  <c r="Y36" i="12"/>
  <c r="Z36" i="12" s="1"/>
  <c r="Y35" i="12"/>
  <c r="Z35" i="12" s="1"/>
  <c r="Y31" i="12"/>
  <c r="Z31" i="12" s="1"/>
  <c r="X31" i="12"/>
  <c r="H31" i="12"/>
  <c r="U57" i="12" l="1"/>
  <c r="S57" i="12"/>
  <c r="R57" i="12"/>
  <c r="H57" i="12"/>
  <c r="U48" i="12"/>
  <c r="S48" i="12"/>
  <c r="R48" i="12"/>
  <c r="H48" i="12"/>
  <c r="U46" i="12"/>
  <c r="S46" i="12"/>
  <c r="R46" i="12"/>
  <c r="H46" i="12"/>
  <c r="B1101" i="5"/>
  <c r="C1101" i="5"/>
  <c r="E1101" i="5" s="1"/>
  <c r="X57" i="12" l="1"/>
  <c r="T57" i="12" s="1"/>
  <c r="X48" i="12"/>
  <c r="T48" i="12" s="1"/>
  <c r="Y48" i="12" s="1"/>
  <c r="Z48" i="12" s="1"/>
  <c r="X46" i="12"/>
  <c r="T46" i="12" s="1"/>
  <c r="Y46" i="12" s="1"/>
  <c r="Z46" i="12" s="1"/>
  <c r="R62" i="12"/>
  <c r="H62" i="12"/>
  <c r="P61" i="12"/>
  <c r="Y57" i="12" l="1"/>
  <c r="Z57" i="12" s="1"/>
  <c r="X62" i="12"/>
  <c r="T62" i="12" s="1"/>
  <c r="Y62" i="12" s="1"/>
  <c r="Z62" i="12" s="1"/>
  <c r="C753" i="1" l="1"/>
  <c r="C752" i="1"/>
  <c r="C726" i="1" l="1"/>
  <c r="C725" i="1"/>
  <c r="C721" i="1"/>
  <c r="C715" i="1"/>
  <c r="C739" i="1"/>
  <c r="C732" i="1"/>
  <c r="F42" i="12"/>
  <c r="P55" i="12"/>
  <c r="P54" i="12"/>
  <c r="P50" i="12"/>
  <c r="P49" i="12"/>
  <c r="F39" i="12"/>
  <c r="F32" i="12"/>
  <c r="G32" i="12"/>
  <c r="X32" i="12"/>
  <c r="Y32" i="12"/>
  <c r="F24" i="12"/>
  <c r="H32" i="12" l="1"/>
  <c r="Z32" i="12"/>
  <c r="P42" i="12"/>
  <c r="F43" i="12"/>
  <c r="C716" i="1"/>
  <c r="AH56" i="12"/>
  <c r="AF56" i="12"/>
  <c r="AI56" i="12" s="1"/>
  <c r="U56" i="12"/>
  <c r="AH51" i="12"/>
  <c r="AF51" i="12"/>
  <c r="U51" i="12"/>
  <c r="X51" i="12" s="1"/>
  <c r="H51" i="12"/>
  <c r="AI51" i="12" l="1"/>
  <c r="Y51" i="12"/>
  <c r="Z51" i="12" s="1"/>
  <c r="C742" i="1" l="1"/>
  <c r="C743" i="1"/>
  <c r="C741" i="1"/>
  <c r="C740" i="1"/>
  <c r="C745" i="1"/>
  <c r="C751" i="1"/>
  <c r="C750" i="1"/>
  <c r="G34" i="12"/>
  <c r="X42" i="12" l="1"/>
  <c r="T42" i="12" s="1"/>
  <c r="Y42" i="12" s="1"/>
  <c r="Z42" i="12" s="1"/>
  <c r="H42" i="12"/>
  <c r="C1097" i="5"/>
  <c r="E1097" i="5" s="1"/>
  <c r="B1097" i="5"/>
  <c r="G30" i="12"/>
  <c r="R81" i="12" l="1"/>
  <c r="C1089" i="5" l="1"/>
  <c r="E1089" i="5" s="1"/>
  <c r="B1089" i="5"/>
  <c r="B1083" i="5"/>
  <c r="E1083" i="5" s="1"/>
  <c r="C1083" i="5"/>
  <c r="AH30" i="12"/>
  <c r="AF30" i="12"/>
  <c r="G24" i="12"/>
  <c r="F33" i="12"/>
  <c r="F27" i="12"/>
  <c r="AI30" i="12" l="1"/>
  <c r="C708" i="1"/>
  <c r="F28" i="12" l="1"/>
  <c r="F29" i="12"/>
  <c r="H26" i="12"/>
  <c r="R26" i="12"/>
  <c r="S26" i="12"/>
  <c r="U26" i="12"/>
  <c r="E24" i="12"/>
  <c r="X26" i="12" l="1"/>
  <c r="T26" i="12" s="1"/>
  <c r="Y26" i="12" s="1"/>
  <c r="Z26" i="12" s="1"/>
  <c r="X12" i="12" l="1"/>
  <c r="Y12" i="12"/>
  <c r="Z12" i="12" s="1"/>
  <c r="H12" i="12"/>
  <c r="C734" i="1"/>
  <c r="C733" i="1"/>
  <c r="C730" i="1"/>
  <c r="C729" i="1"/>
  <c r="C720" i="1"/>
  <c r="C719" i="1"/>
  <c r="C718" i="1"/>
  <c r="C717" i="1"/>
  <c r="P39" i="12" l="1"/>
  <c r="F22" i="12"/>
  <c r="H22" i="12" s="1"/>
  <c r="F21" i="12"/>
  <c r="F20" i="12"/>
  <c r="C711" i="1" l="1"/>
  <c r="C704" i="1"/>
  <c r="C703" i="1"/>
  <c r="C701" i="1"/>
  <c r="C695" i="1"/>
  <c r="P29" i="12"/>
  <c r="P33" i="12"/>
  <c r="P28" i="12"/>
  <c r="R80" i="12"/>
  <c r="R79" i="12"/>
  <c r="X79" i="12" s="1"/>
  <c r="T79" i="12" s="1"/>
  <c r="R78" i="12"/>
  <c r="X78" i="12" s="1"/>
  <c r="T78" i="12" s="1"/>
  <c r="Y78" i="12" s="1"/>
  <c r="Z78" i="12" s="1"/>
  <c r="R77" i="12"/>
  <c r="R76" i="12"/>
  <c r="R75" i="12"/>
  <c r="R74" i="12"/>
  <c r="R72" i="12"/>
  <c r="X72" i="12" s="1"/>
  <c r="T72" i="12" s="1"/>
  <c r="Y72" i="12" s="1"/>
  <c r="Z72" i="12" s="1"/>
  <c r="R71" i="12"/>
  <c r="R70" i="12"/>
  <c r="R69" i="12"/>
  <c r="X69" i="12" s="1"/>
  <c r="T69" i="12" s="1"/>
  <c r="R65" i="12"/>
  <c r="X65" i="12" s="1"/>
  <c r="T65" i="12" s="1"/>
  <c r="Y65" i="12" s="1"/>
  <c r="Z65" i="12" s="1"/>
  <c r="R64" i="12"/>
  <c r="R63" i="12"/>
  <c r="R61" i="12"/>
  <c r="X61" i="12" s="1"/>
  <c r="T61" i="12" s="1"/>
  <c r="Y61" i="12" s="1"/>
  <c r="Z61" i="12" s="1"/>
  <c r="R60" i="12"/>
  <c r="R55" i="12"/>
  <c r="R54" i="12"/>
  <c r="X54" i="12" s="1"/>
  <c r="T54" i="12" s="1"/>
  <c r="Y54" i="12" s="1"/>
  <c r="Z54" i="12" s="1"/>
  <c r="R50" i="12"/>
  <c r="R49" i="12"/>
  <c r="X49" i="12" s="1"/>
  <c r="T49" i="12" s="1"/>
  <c r="Y49" i="12" s="1"/>
  <c r="Z49" i="12" s="1"/>
  <c r="R34" i="12"/>
  <c r="R37" i="12"/>
  <c r="R38" i="12"/>
  <c r="R40" i="12"/>
  <c r="R41" i="12"/>
  <c r="P27" i="12"/>
  <c r="H55" i="12"/>
  <c r="H81" i="12"/>
  <c r="U80" i="12"/>
  <c r="S80" i="12"/>
  <c r="X80" i="12" s="1"/>
  <c r="T80" i="12" s="1"/>
  <c r="H80" i="12"/>
  <c r="U79" i="12"/>
  <c r="S79" i="12"/>
  <c r="H79" i="12"/>
  <c r="H78" i="12"/>
  <c r="U77" i="12"/>
  <c r="S77" i="12"/>
  <c r="H77" i="12"/>
  <c r="U76" i="12"/>
  <c r="S76" i="12"/>
  <c r="X76" i="12" s="1"/>
  <c r="T76" i="12" s="1"/>
  <c r="H76" i="12"/>
  <c r="U75" i="12"/>
  <c r="S75" i="12"/>
  <c r="H75" i="12"/>
  <c r="H74" i="12"/>
  <c r="H72" i="12"/>
  <c r="U71" i="12"/>
  <c r="S71" i="12"/>
  <c r="X71" i="12" s="1"/>
  <c r="T71" i="12" s="1"/>
  <c r="H71" i="12"/>
  <c r="H70" i="12"/>
  <c r="H69" i="12"/>
  <c r="U68" i="12"/>
  <c r="S68" i="12"/>
  <c r="R68" i="12"/>
  <c r="H68" i="12"/>
  <c r="U67" i="12"/>
  <c r="S67" i="12"/>
  <c r="R67" i="12"/>
  <c r="H67" i="12"/>
  <c r="H65" i="12"/>
  <c r="U64" i="12"/>
  <c r="S64" i="12"/>
  <c r="H64" i="12"/>
  <c r="U63" i="12"/>
  <c r="S63" i="12"/>
  <c r="H63" i="12"/>
  <c r="H61" i="12"/>
  <c r="U60" i="12"/>
  <c r="S60" i="12"/>
  <c r="H60" i="12"/>
  <c r="U59" i="12"/>
  <c r="S59" i="12"/>
  <c r="H59" i="12"/>
  <c r="H56" i="12"/>
  <c r="H54" i="12"/>
  <c r="H50" i="12"/>
  <c r="H49" i="12"/>
  <c r="U47" i="12"/>
  <c r="S47" i="12"/>
  <c r="R47" i="12"/>
  <c r="H47" i="12"/>
  <c r="U45" i="12"/>
  <c r="S45" i="12"/>
  <c r="R45" i="12"/>
  <c r="H45" i="12"/>
  <c r="H29" i="12"/>
  <c r="P20" i="12"/>
  <c r="F17" i="12"/>
  <c r="G11" i="12"/>
  <c r="H16" i="12"/>
  <c r="X16" i="12"/>
  <c r="Y16" i="12"/>
  <c r="Z16" i="12" s="1"/>
  <c r="X77" i="12" l="1"/>
  <c r="T77" i="12" s="1"/>
  <c r="X64" i="12"/>
  <c r="T64" i="12" s="1"/>
  <c r="Y64" i="12" s="1"/>
  <c r="Z64" i="12" s="1"/>
  <c r="X63" i="12"/>
  <c r="T63" i="12" s="1"/>
  <c r="Y63" i="12" s="1"/>
  <c r="Z63" i="12" s="1"/>
  <c r="X75" i="12"/>
  <c r="T75" i="12" s="1"/>
  <c r="Y75" i="12" s="1"/>
  <c r="Z75" i="12" s="1"/>
  <c r="X67" i="12"/>
  <c r="T67" i="12" s="1"/>
  <c r="X68" i="12"/>
  <c r="T68" i="12" s="1"/>
  <c r="Y68" i="12" s="1"/>
  <c r="Z68" i="12" s="1"/>
  <c r="Y67" i="12"/>
  <c r="Z67" i="12" s="1"/>
  <c r="X29" i="12"/>
  <c r="T29" i="12" s="1"/>
  <c r="Y29" i="12" s="1"/>
  <c r="Z29" i="12" s="1"/>
  <c r="X55" i="12"/>
  <c r="T55" i="12" s="1"/>
  <c r="Y55" i="12" s="1"/>
  <c r="Z55" i="12" s="1"/>
  <c r="Y76" i="12"/>
  <c r="Z76" i="12" s="1"/>
  <c r="Y77" i="12"/>
  <c r="Z77" i="12" s="1"/>
  <c r="Y71" i="12"/>
  <c r="Z71" i="12" s="1"/>
  <c r="Y69" i="12"/>
  <c r="Z69" i="12" s="1"/>
  <c r="Y79" i="12"/>
  <c r="Z79" i="12" s="1"/>
  <c r="Y80" i="12"/>
  <c r="Z80" i="12" s="1"/>
  <c r="X70" i="12"/>
  <c r="T70" i="12" s="1"/>
  <c r="Y70" i="12" s="1"/>
  <c r="Z70" i="12" s="1"/>
  <c r="X74" i="12"/>
  <c r="T74" i="12" s="1"/>
  <c r="Y74" i="12" s="1"/>
  <c r="Z74" i="12" s="1"/>
  <c r="X81" i="12"/>
  <c r="T81" i="12" s="1"/>
  <c r="Y81" i="12" s="1"/>
  <c r="Z81" i="12" s="1"/>
  <c r="X45" i="12"/>
  <c r="T45" i="12" s="1"/>
  <c r="Y45" i="12" s="1"/>
  <c r="Z45" i="12" s="1"/>
  <c r="X47" i="12"/>
  <c r="T47" i="12" s="1"/>
  <c r="Y47" i="12" s="1"/>
  <c r="Z47" i="12" s="1"/>
  <c r="X50" i="12"/>
  <c r="T50" i="12" s="1"/>
  <c r="Y50" i="12" s="1"/>
  <c r="Z50" i="12" s="1"/>
  <c r="X56" i="12"/>
  <c r="X59" i="12"/>
  <c r="T59" i="12" s="1"/>
  <c r="Y59" i="12" s="1"/>
  <c r="Z59" i="12" s="1"/>
  <c r="X60" i="12"/>
  <c r="T60" i="12" s="1"/>
  <c r="Y60" i="12" s="1"/>
  <c r="Z60" i="12" s="1"/>
  <c r="B1077" i="5"/>
  <c r="C1077" i="5"/>
  <c r="E1077" i="5" s="1"/>
  <c r="T56" i="12" l="1"/>
  <c r="Y56" i="12" s="1"/>
  <c r="Z56" i="12" s="1"/>
  <c r="C1073" i="5"/>
  <c r="E1073" i="5" s="1"/>
  <c r="B1073" i="5"/>
  <c r="F13" i="12"/>
  <c r="H13" i="12" s="1"/>
  <c r="G10" i="12"/>
  <c r="P22" i="12" l="1"/>
  <c r="P21" i="12"/>
  <c r="AH10" i="12"/>
  <c r="AF10" i="12"/>
  <c r="C692" i="1"/>
  <c r="C1069" i="5"/>
  <c r="B1069" i="5"/>
  <c r="E1069" i="5" l="1"/>
  <c r="AI10" i="12"/>
  <c r="C683" i="1"/>
  <c r="C686" i="1"/>
  <c r="H146" i="4"/>
  <c r="H147" i="4"/>
  <c r="H148" i="4"/>
  <c r="H149" i="4"/>
  <c r="H150" i="4"/>
  <c r="H151" i="4"/>
  <c r="H152" i="4"/>
  <c r="H153" i="4"/>
  <c r="H154" i="4"/>
  <c r="H155" i="4"/>
  <c r="H156" i="4"/>
  <c r="F8" i="12"/>
  <c r="F9" i="12"/>
  <c r="F89" i="11"/>
  <c r="C360" i="3" l="1"/>
  <c r="C359" i="3"/>
  <c r="C358" i="3"/>
  <c r="C357" i="3"/>
  <c r="C356" i="3"/>
  <c r="C355" i="3"/>
  <c r="C354" i="3"/>
  <c r="C353" i="3"/>
  <c r="C352" i="3"/>
  <c r="C346" i="3"/>
  <c r="C345" i="3"/>
  <c r="C344" i="3"/>
  <c r="C343" i="3"/>
  <c r="C342" i="3"/>
  <c r="C341" i="3"/>
  <c r="C340" i="3"/>
  <c r="C339" i="3"/>
  <c r="C337" i="3"/>
  <c r="C336" i="3"/>
  <c r="C335" i="3"/>
  <c r="C333" i="3"/>
  <c r="C332" i="3"/>
  <c r="C331" i="3"/>
  <c r="C327" i="3"/>
  <c r="C326" i="3"/>
  <c r="C325" i="3"/>
  <c r="C322" i="3"/>
  <c r="C321" i="3"/>
  <c r="C320" i="3"/>
  <c r="C319" i="3"/>
  <c r="C318" i="3"/>
  <c r="H49" i="11"/>
  <c r="X49" i="11"/>
  <c r="Y49" i="11"/>
  <c r="Z49" i="11" s="1"/>
  <c r="P17" i="12"/>
  <c r="P13" i="12"/>
  <c r="H73" i="11"/>
  <c r="H74" i="11"/>
  <c r="X74" i="11"/>
  <c r="Y74" i="11"/>
  <c r="Z74" i="11" s="1"/>
  <c r="Y92" i="11"/>
  <c r="Z92" i="11" s="1"/>
  <c r="X92" i="11"/>
  <c r="H92" i="11"/>
  <c r="X81" i="11"/>
  <c r="Y81" i="11"/>
  <c r="Z81" i="11" s="1"/>
  <c r="H81" i="11"/>
  <c r="C710" i="1"/>
  <c r="C709" i="1"/>
  <c r="P9" i="12"/>
  <c r="P8" i="12"/>
  <c r="U7" i="12" l="1"/>
  <c r="S7" i="12"/>
  <c r="R7" i="12"/>
  <c r="H7" i="12"/>
  <c r="U5" i="12"/>
  <c r="S5" i="12"/>
  <c r="R5" i="12"/>
  <c r="H5" i="12"/>
  <c r="H9" i="12"/>
  <c r="X5" i="12" l="1"/>
  <c r="T5" i="12" s="1"/>
  <c r="Y5" i="12" s="1"/>
  <c r="Z5" i="12" s="1"/>
  <c r="X7" i="12"/>
  <c r="T7" i="12" s="1"/>
  <c r="Y7" i="12" s="1"/>
  <c r="Z7" i="12" s="1"/>
  <c r="X9" i="12"/>
  <c r="T9" i="12" s="1"/>
  <c r="Y9" i="12" s="1"/>
  <c r="Z9" i="12" s="1"/>
  <c r="C706" i="1" l="1"/>
  <c r="C705" i="1"/>
  <c r="C702" i="1"/>
  <c r="C700" i="1"/>
  <c r="C688" i="1"/>
  <c r="C699" i="1"/>
  <c r="C698" i="1"/>
  <c r="C697" i="1"/>
  <c r="F94" i="11"/>
  <c r="F93" i="11"/>
  <c r="B1064" i="5" l="1"/>
  <c r="C1064" i="5"/>
  <c r="E1064" i="5" s="1"/>
  <c r="G85" i="11" l="1"/>
  <c r="F85" i="11"/>
  <c r="E85" i="11"/>
  <c r="F86" i="11" l="1"/>
  <c r="C674" i="1" l="1"/>
  <c r="C673" i="1"/>
  <c r="H143" i="4"/>
  <c r="H144" i="4"/>
  <c r="C672" i="1"/>
  <c r="B1057" i="5" l="1"/>
  <c r="C1057" i="5"/>
  <c r="E1057" i="5" s="1"/>
  <c r="C682" i="1"/>
  <c r="C681" i="1"/>
  <c r="F84" i="11" l="1"/>
  <c r="E84" i="11"/>
  <c r="P94" i="11"/>
  <c r="P93" i="11"/>
  <c r="C690" i="1" l="1"/>
  <c r="C689" i="1"/>
  <c r="C685" i="1"/>
  <c r="C684" i="1"/>
  <c r="C680" i="1"/>
  <c r="C666" i="1"/>
  <c r="C678" i="1"/>
  <c r="C677" i="1"/>
  <c r="C676" i="1"/>
  <c r="C661" i="1" l="1"/>
  <c r="G80" i="11"/>
  <c r="U84" i="11"/>
  <c r="S84" i="11"/>
  <c r="R84" i="11"/>
  <c r="H84" i="11"/>
  <c r="X84" i="11" l="1"/>
  <c r="T84" i="11" s="1"/>
  <c r="Y84" i="11" s="1"/>
  <c r="Z84" i="11" s="1"/>
  <c r="F82" i="11"/>
  <c r="H82" i="11" s="1"/>
  <c r="B1052" i="5"/>
  <c r="C1052" i="5"/>
  <c r="U79" i="11"/>
  <c r="S79" i="11"/>
  <c r="R79" i="11"/>
  <c r="H79" i="11"/>
  <c r="Y58" i="11"/>
  <c r="AH83" i="11"/>
  <c r="AF83" i="11"/>
  <c r="U83" i="11"/>
  <c r="H83" i="11"/>
  <c r="E1052" i="5" l="1"/>
  <c r="AI83" i="11"/>
  <c r="X79" i="11"/>
  <c r="T79" i="11" s="1"/>
  <c r="Y79" i="11" s="1"/>
  <c r="Z79" i="11" s="1"/>
  <c r="G58" i="11" l="1"/>
  <c r="F58" i="11"/>
  <c r="H48" i="11"/>
  <c r="X48" i="11"/>
  <c r="Y48" i="11"/>
  <c r="Z48" i="11" s="1"/>
  <c r="X69" i="11"/>
  <c r="Y69" i="11"/>
  <c r="Z69" i="11" s="1"/>
  <c r="H69" i="11"/>
  <c r="X44" i="11"/>
  <c r="Y44" i="11"/>
  <c r="Z44" i="11" s="1"/>
  <c r="H44" i="11"/>
  <c r="H34" i="11"/>
  <c r="X34" i="11"/>
  <c r="Y34" i="11"/>
  <c r="Z34" i="11" s="1"/>
  <c r="X19" i="11"/>
  <c r="Y19" i="11"/>
  <c r="Z19" i="11" s="1"/>
  <c r="H19" i="11"/>
  <c r="Y64" i="11"/>
  <c r="Z64" i="11" s="1"/>
  <c r="X64" i="11"/>
  <c r="Y63" i="11"/>
  <c r="Z63" i="11" s="1"/>
  <c r="X63" i="11"/>
  <c r="H63" i="11"/>
  <c r="H64" i="11"/>
  <c r="C653" i="1"/>
  <c r="C652" i="1"/>
  <c r="C668" i="1"/>
  <c r="C667" i="1"/>
  <c r="P89" i="11" l="1"/>
  <c r="P86" i="11"/>
  <c r="P82" i="11"/>
  <c r="E1046" i="5"/>
  <c r="C1046" i="5"/>
  <c r="B1046" i="5"/>
  <c r="C1042" i="5"/>
  <c r="B1042" i="5"/>
  <c r="E1042" i="5" l="1"/>
  <c r="F76" i="11"/>
  <c r="F71" i="11"/>
  <c r="F75" i="11"/>
  <c r="H75" i="11" s="1"/>
  <c r="B1037" i="5" l="1"/>
  <c r="C1037" i="5"/>
  <c r="E1037" i="5" l="1"/>
  <c r="F70" i="11"/>
  <c r="F66" i="11"/>
  <c r="G65" i="11"/>
  <c r="C651" i="1"/>
  <c r="B1033" i="5" l="1"/>
  <c r="C1033" i="5"/>
  <c r="E1033" i="5" s="1"/>
  <c r="O543" i="5"/>
  <c r="G62" i="11"/>
  <c r="H33" i="12" l="1"/>
  <c r="H43" i="12"/>
  <c r="U41" i="12"/>
  <c r="S41" i="12"/>
  <c r="H41" i="12"/>
  <c r="U40" i="12"/>
  <c r="S40" i="12"/>
  <c r="H40" i="12"/>
  <c r="X39" i="12"/>
  <c r="T39" i="12" s="1"/>
  <c r="Y39" i="12" s="1"/>
  <c r="Z39" i="12" s="1"/>
  <c r="H39" i="12"/>
  <c r="U38" i="12"/>
  <c r="S38" i="12"/>
  <c r="X38" i="12" s="1"/>
  <c r="H38" i="12"/>
  <c r="U37" i="12"/>
  <c r="S37" i="12"/>
  <c r="H28" i="12"/>
  <c r="U34" i="12"/>
  <c r="S34" i="12"/>
  <c r="H34" i="12"/>
  <c r="H30" i="12"/>
  <c r="X27" i="12"/>
  <c r="H27" i="12"/>
  <c r="U25" i="12"/>
  <c r="S25" i="12"/>
  <c r="R25" i="12"/>
  <c r="H25" i="12"/>
  <c r="U24" i="12"/>
  <c r="S24" i="12"/>
  <c r="R24" i="12"/>
  <c r="H24" i="12"/>
  <c r="H21" i="12"/>
  <c r="H20" i="12"/>
  <c r="U19" i="12"/>
  <c r="S19" i="12"/>
  <c r="R19" i="12"/>
  <c r="H19" i="12"/>
  <c r="U18" i="12"/>
  <c r="S18" i="12"/>
  <c r="R18" i="12"/>
  <c r="H18" i="12"/>
  <c r="X17" i="12"/>
  <c r="T17" i="12" s="1"/>
  <c r="Y17" i="12" s="1"/>
  <c r="Z17" i="12" s="1"/>
  <c r="H17" i="12"/>
  <c r="U15" i="12"/>
  <c r="S15" i="12"/>
  <c r="R15" i="12"/>
  <c r="H15" i="12"/>
  <c r="U14" i="12"/>
  <c r="S14" i="12"/>
  <c r="R14" i="12"/>
  <c r="H14" i="12"/>
  <c r="U11" i="12"/>
  <c r="S11" i="12"/>
  <c r="R11" i="12"/>
  <c r="H11" i="12"/>
  <c r="U10" i="12"/>
  <c r="H10" i="12"/>
  <c r="X8" i="12"/>
  <c r="T8" i="12" s="1"/>
  <c r="Y8" i="12" s="1"/>
  <c r="Z8" i="12" s="1"/>
  <c r="H8" i="12"/>
  <c r="U6" i="12"/>
  <c r="S6" i="12"/>
  <c r="R6" i="12"/>
  <c r="H6" i="12"/>
  <c r="U4" i="12"/>
  <c r="S4" i="12"/>
  <c r="R4" i="12"/>
  <c r="H4" i="12"/>
  <c r="P76" i="11"/>
  <c r="P75" i="11"/>
  <c r="P71" i="11"/>
  <c r="T27" i="12" l="1"/>
  <c r="Y27" i="12" s="1"/>
  <c r="Z27" i="12" s="1"/>
  <c r="X37" i="12"/>
  <c r="T37" i="12" s="1"/>
  <c r="Y37" i="12" s="1"/>
  <c r="Z37" i="12" s="1"/>
  <c r="X18" i="12"/>
  <c r="T18" i="12" s="1"/>
  <c r="Y18" i="12" s="1"/>
  <c r="Z18" i="12" s="1"/>
  <c r="X19" i="12"/>
  <c r="T19" i="12" s="1"/>
  <c r="Y19" i="12" s="1"/>
  <c r="Z19" i="12" s="1"/>
  <c r="T38" i="12"/>
  <c r="Y38" i="12" s="1"/>
  <c r="Z38" i="12" s="1"/>
  <c r="X4" i="12"/>
  <c r="T4" i="12" s="1"/>
  <c r="Y4" i="12" s="1"/>
  <c r="Z4" i="12" s="1"/>
  <c r="X11" i="12"/>
  <c r="T11" i="12" s="1"/>
  <c r="Y11" i="12" s="1"/>
  <c r="Z11" i="12" s="1"/>
  <c r="X14" i="12"/>
  <c r="T14" i="12" s="1"/>
  <c r="Y14" i="12" s="1"/>
  <c r="Z14" i="12" s="1"/>
  <c r="X15" i="12"/>
  <c r="T15" i="12" s="1"/>
  <c r="Y15" i="12" s="1"/>
  <c r="Z15" i="12" s="1"/>
  <c r="X10" i="12"/>
  <c r="Y10" i="12" s="1"/>
  <c r="Z10" i="12" s="1"/>
  <c r="X6" i="12"/>
  <c r="T6" i="12" s="1"/>
  <c r="Y6" i="12" s="1"/>
  <c r="Z6" i="12" s="1"/>
  <c r="X21" i="12"/>
  <c r="T21" i="12" s="1"/>
  <c r="Y21" i="12" s="1"/>
  <c r="Z21" i="12" s="1"/>
  <c r="X30" i="12"/>
  <c r="Y30" i="12" s="1"/>
  <c r="Z30" i="12" s="1"/>
  <c r="X34" i="12"/>
  <c r="T34" i="12" s="1"/>
  <c r="Y34" i="12" s="1"/>
  <c r="Z34" i="12" s="1"/>
  <c r="X40" i="12"/>
  <c r="T40" i="12" s="1"/>
  <c r="Y40" i="12" s="1"/>
  <c r="Z40" i="12" s="1"/>
  <c r="X41" i="12"/>
  <c r="T41" i="12" s="1"/>
  <c r="Y41" i="12" s="1"/>
  <c r="Z41" i="12" s="1"/>
  <c r="X24" i="12"/>
  <c r="T24" i="12" s="1"/>
  <c r="Y24" i="12" s="1"/>
  <c r="Z24" i="12" s="1"/>
  <c r="X25" i="12"/>
  <c r="T25" i="12" s="1"/>
  <c r="Y25" i="12" s="1"/>
  <c r="Z25" i="12" s="1"/>
  <c r="X28" i="12"/>
  <c r="T28" i="12" s="1"/>
  <c r="Y28" i="12" s="1"/>
  <c r="Z28" i="12" s="1"/>
  <c r="X43" i="12"/>
  <c r="T43" i="12" s="1"/>
  <c r="Y43" i="12" s="1"/>
  <c r="Z43" i="12" s="1"/>
  <c r="X33" i="12"/>
  <c r="T33" i="12" s="1"/>
  <c r="Y33" i="12" s="1"/>
  <c r="Z33" i="12" s="1"/>
  <c r="X13" i="12"/>
  <c r="T13" i="12" s="1"/>
  <c r="Y13" i="12" s="1"/>
  <c r="Z13" i="12" s="1"/>
  <c r="X20" i="12"/>
  <c r="T20" i="12" s="1"/>
  <c r="Y20" i="12" s="1"/>
  <c r="Z20" i="12" s="1"/>
  <c r="X22" i="12"/>
  <c r="T22" i="12" s="1"/>
  <c r="Y22" i="12" s="1"/>
  <c r="Z22" i="12" s="1"/>
  <c r="C641" i="1"/>
  <c r="C1023" i="5"/>
  <c r="E1023" i="5" s="1"/>
  <c r="B1023" i="5"/>
  <c r="G56" i="11"/>
  <c r="F61" i="11" l="1"/>
  <c r="F60" i="11"/>
  <c r="F59" i="11"/>
  <c r="Q54" i="11"/>
  <c r="G54" i="11"/>
  <c r="F54" i="11"/>
  <c r="E54" i="11"/>
  <c r="C638" i="1"/>
  <c r="C633" i="1"/>
  <c r="AH62" i="11"/>
  <c r="AF62" i="11"/>
  <c r="AI62" i="11" l="1"/>
  <c r="U55" i="11"/>
  <c r="S55" i="11"/>
  <c r="R55" i="11"/>
  <c r="H55" i="11"/>
  <c r="H56" i="11"/>
  <c r="X55" i="11" l="1"/>
  <c r="T55" i="11" s="1"/>
  <c r="Y55" i="11" s="1"/>
  <c r="Z55" i="11" s="1"/>
  <c r="C625" i="1" l="1"/>
  <c r="C647" i="1"/>
  <c r="C648" i="1"/>
  <c r="C663" i="1"/>
  <c r="C662" i="1"/>
  <c r="C660" i="1"/>
  <c r="C659" i="1"/>
  <c r="P70" i="11"/>
  <c r="P66" i="11"/>
  <c r="P61" i="11"/>
  <c r="P60" i="11"/>
  <c r="C657" i="1"/>
  <c r="C656" i="1"/>
  <c r="C655" i="1"/>
  <c r="B1017" i="5"/>
  <c r="C1017" i="5"/>
  <c r="C643" i="1"/>
  <c r="C642" i="1"/>
  <c r="C640" i="1"/>
  <c r="C639" i="1"/>
  <c r="C635" i="1"/>
  <c r="C634" i="1"/>
  <c r="C631" i="1"/>
  <c r="C630" i="1"/>
  <c r="C628" i="1"/>
  <c r="C627" i="1"/>
  <c r="E1017" i="5" l="1"/>
  <c r="F50" i="11"/>
  <c r="F52" i="11"/>
  <c r="C1013" i="5" l="1"/>
  <c r="B1013" i="5"/>
  <c r="G39" i="11"/>
  <c r="P59" i="11"/>
  <c r="C626" i="1"/>
  <c r="X23" i="11"/>
  <c r="Y23" i="11"/>
  <c r="Z23" i="11" s="1"/>
  <c r="H23" i="11"/>
  <c r="X8" i="11"/>
  <c r="Y8" i="11"/>
  <c r="Z8" i="11" s="1"/>
  <c r="H8" i="11"/>
  <c r="X15" i="11"/>
  <c r="Y15" i="11"/>
  <c r="Z15" i="11" s="1"/>
  <c r="H15" i="11"/>
  <c r="E1013" i="5" l="1"/>
  <c r="F45" i="11" l="1"/>
  <c r="B1004" i="5"/>
  <c r="C1004" i="5"/>
  <c r="E1004" i="5" s="1"/>
  <c r="G37" i="11" l="1"/>
  <c r="F41" i="11"/>
  <c r="H40" i="11" l="1"/>
  <c r="Y40" i="11"/>
  <c r="Z40" i="11" s="1"/>
  <c r="X40" i="11"/>
  <c r="Z58" i="11"/>
  <c r="X58" i="11"/>
  <c r="H58" i="11"/>
  <c r="X57" i="11"/>
  <c r="Y57" i="11"/>
  <c r="Z57" i="11" s="1"/>
  <c r="H57" i="11"/>
  <c r="H59" i="11"/>
  <c r="B998" i="5"/>
  <c r="C998" i="5"/>
  <c r="P52" i="11"/>
  <c r="P50" i="11"/>
  <c r="Y39" i="11"/>
  <c r="Z39" i="11" s="1"/>
  <c r="AF39" i="11"/>
  <c r="AH39" i="11"/>
  <c r="B994" i="5"/>
  <c r="C994" i="5"/>
  <c r="G33" i="11"/>
  <c r="C602" i="1"/>
  <c r="C618" i="1"/>
  <c r="E998" i="5" l="1"/>
  <c r="E994" i="5"/>
  <c r="AI39" i="11"/>
  <c r="H39" i="11"/>
  <c r="X39" i="11"/>
  <c r="F36" i="11"/>
  <c r="G32" i="11"/>
  <c r="X61" i="11" l="1"/>
  <c r="T61" i="11" s="1"/>
  <c r="Y61" i="11" s="1"/>
  <c r="Z61" i="11" s="1"/>
  <c r="H60" i="11"/>
  <c r="H61" i="11"/>
  <c r="H62" i="11"/>
  <c r="X60" i="11" l="1"/>
  <c r="T60" i="11" s="1"/>
  <c r="Y60" i="11" s="1"/>
  <c r="Z60" i="11" s="1"/>
  <c r="C614" i="1"/>
  <c r="C600" i="1"/>
  <c r="C619" i="1"/>
  <c r="C617" i="1"/>
  <c r="P45" i="11" l="1"/>
  <c r="P41" i="11"/>
  <c r="X38" i="11"/>
  <c r="T38" i="11" s="1"/>
  <c r="Y38" i="11" s="1"/>
  <c r="H38" i="11"/>
  <c r="AH27" i="11"/>
  <c r="AF27" i="11"/>
  <c r="G27" i="11"/>
  <c r="H27" i="11" s="1"/>
  <c r="X28" i="11"/>
  <c r="Y28" i="11"/>
  <c r="Z28" i="11" s="1"/>
  <c r="H28" i="11"/>
  <c r="B983" i="5"/>
  <c r="C983" i="5"/>
  <c r="E983" i="5" s="1"/>
  <c r="X27" i="11" l="1"/>
  <c r="Y27" i="11" s="1"/>
  <c r="Z27" i="11" s="1"/>
  <c r="AI27" i="11"/>
  <c r="Z38" i="11"/>
  <c r="F29" i="11"/>
  <c r="F35" i="11"/>
  <c r="P36" i="11"/>
  <c r="AK49" i="11" l="1"/>
  <c r="AK62" i="11"/>
  <c r="X94" i="11"/>
  <c r="T94" i="11" s="1"/>
  <c r="Y94" i="11" s="1"/>
  <c r="Z94" i="11" s="1"/>
  <c r="H94" i="11"/>
  <c r="X93" i="11"/>
  <c r="T93" i="11" s="1"/>
  <c r="H93" i="11"/>
  <c r="U91" i="11"/>
  <c r="S91" i="11"/>
  <c r="R91" i="11"/>
  <c r="H91" i="11"/>
  <c r="U90" i="11"/>
  <c r="S90" i="11"/>
  <c r="R90" i="11"/>
  <c r="H90" i="11"/>
  <c r="X89" i="11"/>
  <c r="T89" i="11" s="1"/>
  <c r="Y89" i="11" s="1"/>
  <c r="Z89" i="11" s="1"/>
  <c r="H89" i="11"/>
  <c r="U88" i="11"/>
  <c r="S88" i="11"/>
  <c r="R88" i="11"/>
  <c r="H88" i="11"/>
  <c r="U87" i="11"/>
  <c r="S87" i="11"/>
  <c r="R87" i="11"/>
  <c r="H87" i="11"/>
  <c r="H86" i="11"/>
  <c r="U85" i="11"/>
  <c r="S85" i="11"/>
  <c r="R85" i="11"/>
  <c r="H85" i="11"/>
  <c r="X82" i="11"/>
  <c r="T82" i="11" s="1"/>
  <c r="Y82" i="11" s="1"/>
  <c r="Z82" i="11" s="1"/>
  <c r="U80" i="11"/>
  <c r="S80" i="11"/>
  <c r="R80" i="11"/>
  <c r="H80" i="11"/>
  <c r="U78" i="11"/>
  <c r="S78" i="11"/>
  <c r="R78" i="11"/>
  <c r="H78" i="11"/>
  <c r="X76" i="11"/>
  <c r="T76" i="11" s="1"/>
  <c r="Y76" i="11" s="1"/>
  <c r="Z76" i="11" s="1"/>
  <c r="H76" i="11"/>
  <c r="X71" i="11"/>
  <c r="T71" i="11" s="1"/>
  <c r="H71" i="11"/>
  <c r="X75" i="11"/>
  <c r="T75" i="11" s="1"/>
  <c r="Y75" i="11" s="1"/>
  <c r="Z75" i="11" s="1"/>
  <c r="U73" i="11"/>
  <c r="S73" i="11"/>
  <c r="R73" i="11"/>
  <c r="U72" i="11"/>
  <c r="S72" i="11"/>
  <c r="R72" i="11"/>
  <c r="H72" i="11"/>
  <c r="X70" i="11"/>
  <c r="T70" i="11" s="1"/>
  <c r="H70" i="11"/>
  <c r="U68" i="11"/>
  <c r="S68" i="11"/>
  <c r="R68" i="11"/>
  <c r="H68" i="11"/>
  <c r="U67" i="11"/>
  <c r="S67" i="11"/>
  <c r="R67" i="11"/>
  <c r="H67" i="11"/>
  <c r="X66" i="11"/>
  <c r="T66" i="11" s="1"/>
  <c r="Y66" i="11" s="1"/>
  <c r="Z66" i="11" s="1"/>
  <c r="H66" i="11"/>
  <c r="U65" i="11"/>
  <c r="S65" i="11"/>
  <c r="R65" i="11"/>
  <c r="H65" i="11"/>
  <c r="U62" i="11"/>
  <c r="X59" i="11"/>
  <c r="T59" i="11" s="1"/>
  <c r="U56" i="11"/>
  <c r="S56" i="11"/>
  <c r="R56" i="11"/>
  <c r="U54" i="11"/>
  <c r="S54" i="11"/>
  <c r="R54" i="11"/>
  <c r="H54" i="11"/>
  <c r="X52" i="11"/>
  <c r="T52" i="11" s="1"/>
  <c r="Y52" i="11" s="1"/>
  <c r="Z52" i="11" s="1"/>
  <c r="H52" i="11"/>
  <c r="R51" i="11"/>
  <c r="X51" i="11" s="1"/>
  <c r="T51" i="11" s="1"/>
  <c r="Y51" i="11" s="1"/>
  <c r="Z51" i="11" s="1"/>
  <c r="H51" i="11"/>
  <c r="C601" i="1"/>
  <c r="P30" i="11"/>
  <c r="C978" i="5"/>
  <c r="B978" i="5"/>
  <c r="C588" i="1"/>
  <c r="F24" i="11"/>
  <c r="G18" i="11"/>
  <c r="F18" i="11"/>
  <c r="E18" i="11"/>
  <c r="X83" i="11" l="1"/>
  <c r="Y83" i="11" s="1"/>
  <c r="Z83" i="11" s="1"/>
  <c r="X85" i="11"/>
  <c r="T85" i="11" s="1"/>
  <c r="Y85" i="11" s="1"/>
  <c r="Z85" i="11" s="1"/>
  <c r="X67" i="11"/>
  <c r="T67" i="11" s="1"/>
  <c r="Y67" i="11" s="1"/>
  <c r="Z67" i="11" s="1"/>
  <c r="X68" i="11"/>
  <c r="T68" i="11" s="1"/>
  <c r="Y68" i="11" s="1"/>
  <c r="Z68" i="11" s="1"/>
  <c r="X87" i="11"/>
  <c r="T87" i="11" s="1"/>
  <c r="Y87" i="11" s="1"/>
  <c r="Z87" i="11" s="1"/>
  <c r="X88" i="11"/>
  <c r="T88" i="11" s="1"/>
  <c r="Y88" i="11" s="1"/>
  <c r="Z88" i="11" s="1"/>
  <c r="X62" i="11"/>
  <c r="Y62" i="11" s="1"/>
  <c r="Z62" i="11" s="1"/>
  <c r="X65" i="11"/>
  <c r="T65" i="11" s="1"/>
  <c r="Y65" i="11" s="1"/>
  <c r="Z65" i="11" s="1"/>
  <c r="X72" i="11"/>
  <c r="T72" i="11" s="1"/>
  <c r="Y72" i="11" s="1"/>
  <c r="Z72" i="11" s="1"/>
  <c r="X73" i="11"/>
  <c r="T73" i="11" s="1"/>
  <c r="Y73" i="11" s="1"/>
  <c r="Z73" i="11" s="1"/>
  <c r="X86" i="11"/>
  <c r="T86" i="11" s="1"/>
  <c r="Y86" i="11" s="1"/>
  <c r="Z86" i="11" s="1"/>
  <c r="X90" i="11"/>
  <c r="T90" i="11" s="1"/>
  <c r="Y90" i="11" s="1"/>
  <c r="Z90" i="11" s="1"/>
  <c r="X91" i="11"/>
  <c r="T91" i="11" s="1"/>
  <c r="Y91" i="11" s="1"/>
  <c r="Z91" i="11" s="1"/>
  <c r="Y93" i="11"/>
  <c r="Z93" i="11" s="1"/>
  <c r="X78" i="11"/>
  <c r="T78" i="11" s="1"/>
  <c r="Y78" i="11" s="1"/>
  <c r="Z78" i="11" s="1"/>
  <c r="X80" i="11"/>
  <c r="T80" i="11" s="1"/>
  <c r="Y80" i="11" s="1"/>
  <c r="Z80" i="11" s="1"/>
  <c r="Y59" i="11"/>
  <c r="Z59" i="11" s="1"/>
  <c r="Y70" i="11"/>
  <c r="Z70" i="11" s="1"/>
  <c r="Y71" i="11"/>
  <c r="Z71" i="11" s="1"/>
  <c r="X54" i="11"/>
  <c r="T54" i="11" s="1"/>
  <c r="Y54" i="11" s="1"/>
  <c r="Z54" i="11" s="1"/>
  <c r="X56" i="11"/>
  <c r="T56" i="11" s="1"/>
  <c r="Y56" i="11" s="1"/>
  <c r="Z56" i="11" s="1"/>
  <c r="E978" i="5"/>
  <c r="R30" i="11" l="1"/>
  <c r="F20" i="11"/>
  <c r="G14" i="11"/>
  <c r="P29" i="11" l="1"/>
  <c r="P35" i="11"/>
  <c r="B966" i="5"/>
  <c r="C966" i="5"/>
  <c r="E966" i="5" s="1"/>
  <c r="F17" i="11"/>
  <c r="F16" i="11"/>
  <c r="G11" i="11" l="1"/>
  <c r="G10" i="11"/>
  <c r="F10" i="11"/>
  <c r="E10" i="11"/>
  <c r="F13" i="11" l="1"/>
  <c r="F12" i="11"/>
  <c r="C586" i="1"/>
  <c r="C591" i="1" l="1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C578" i="1"/>
  <c r="C577" i="1"/>
  <c r="H139" i="4"/>
  <c r="H140" i="4"/>
  <c r="H141" i="4"/>
  <c r="H142" i="4"/>
  <c r="H145" i="4"/>
  <c r="B961" i="5"/>
  <c r="C961" i="5"/>
  <c r="E961" i="5" s="1"/>
  <c r="C958" i="5"/>
  <c r="B958" i="5"/>
  <c r="P24" i="11"/>
  <c r="P20" i="11"/>
  <c r="P17" i="11"/>
  <c r="P16" i="11"/>
  <c r="P12" i="11"/>
  <c r="P13" i="11"/>
  <c r="C616" i="1"/>
  <c r="C615" i="1"/>
  <c r="X88" i="10"/>
  <c r="Y88" i="10"/>
  <c r="Z88" i="10" s="1"/>
  <c r="H88" i="10"/>
  <c r="E958" i="5" l="1"/>
  <c r="C295" i="3" l="1"/>
  <c r="C294" i="3"/>
  <c r="C292" i="3"/>
  <c r="C291" i="3"/>
  <c r="C290" i="3"/>
  <c r="C289" i="3"/>
  <c r="C288" i="3"/>
  <c r="C282" i="3"/>
  <c r="C281" i="3"/>
  <c r="C280" i="3"/>
  <c r="C279" i="3"/>
  <c r="C278" i="3"/>
  <c r="C277" i="3"/>
  <c r="C276" i="3"/>
  <c r="C273" i="3"/>
  <c r="C272" i="3"/>
  <c r="C271" i="3"/>
  <c r="C270" i="3"/>
  <c r="C269" i="3"/>
  <c r="C268" i="3"/>
  <c r="C267" i="3"/>
  <c r="C260" i="3"/>
  <c r="C259" i="3"/>
  <c r="X30" i="11"/>
  <c r="T30" i="11" s="1"/>
  <c r="Y30" i="11" s="1"/>
  <c r="Z30" i="11" s="1"/>
  <c r="X29" i="11"/>
  <c r="T29" i="11" s="1"/>
  <c r="Y29" i="11" s="1"/>
  <c r="Z29" i="11" s="1"/>
  <c r="H35" i="11"/>
  <c r="H29" i="11"/>
  <c r="H30" i="11"/>
  <c r="Y98" i="10"/>
  <c r="Z98" i="10" s="1"/>
  <c r="X98" i="10"/>
  <c r="H98" i="10"/>
  <c r="P7" i="11"/>
  <c r="X7" i="11" s="1"/>
  <c r="F7" i="11"/>
  <c r="H7" i="11" s="1"/>
  <c r="U6" i="11"/>
  <c r="S6" i="11"/>
  <c r="R6" i="11"/>
  <c r="H6" i="11"/>
  <c r="U5" i="11"/>
  <c r="S5" i="11"/>
  <c r="R5" i="11"/>
  <c r="H5" i="11"/>
  <c r="P4" i="11"/>
  <c r="F4" i="11"/>
  <c r="H4" i="11" s="1"/>
  <c r="X50" i="11"/>
  <c r="T50" i="11" s="1"/>
  <c r="Y50" i="11" s="1"/>
  <c r="Z50" i="11" s="1"/>
  <c r="H50" i="11"/>
  <c r="U47" i="11"/>
  <c r="S47" i="11"/>
  <c r="R47" i="11"/>
  <c r="H47" i="11"/>
  <c r="U46" i="11"/>
  <c r="S46" i="11"/>
  <c r="R46" i="11"/>
  <c r="H46" i="11"/>
  <c r="X45" i="11"/>
  <c r="T45" i="11" s="1"/>
  <c r="Y45" i="11" s="1"/>
  <c r="Z45" i="11" s="1"/>
  <c r="H45" i="11"/>
  <c r="U43" i="11"/>
  <c r="S43" i="11"/>
  <c r="R43" i="11"/>
  <c r="H43" i="11"/>
  <c r="U42" i="11"/>
  <c r="S42" i="11"/>
  <c r="R42" i="11"/>
  <c r="H42" i="11"/>
  <c r="X41" i="11"/>
  <c r="T41" i="11" s="1"/>
  <c r="Y41" i="11" s="1"/>
  <c r="Z41" i="11" s="1"/>
  <c r="H41" i="11"/>
  <c r="U37" i="11"/>
  <c r="S37" i="11"/>
  <c r="R37" i="11"/>
  <c r="H37" i="11"/>
  <c r="X36" i="11"/>
  <c r="T36" i="11" s="1"/>
  <c r="Y36" i="11" s="1"/>
  <c r="Z36" i="11" s="1"/>
  <c r="H36" i="11"/>
  <c r="U33" i="11"/>
  <c r="S33" i="11"/>
  <c r="R33" i="11"/>
  <c r="H33" i="11"/>
  <c r="U32" i="11"/>
  <c r="S32" i="11"/>
  <c r="R32" i="11"/>
  <c r="H32" i="11"/>
  <c r="C613" i="1"/>
  <c r="C612" i="1"/>
  <c r="T7" i="11" l="1"/>
  <c r="Y7" i="11" s="1"/>
  <c r="Z7" i="11" s="1"/>
  <c r="X6" i="11"/>
  <c r="T6" i="11" s="1"/>
  <c r="Y6" i="11" s="1"/>
  <c r="Z6" i="11" s="1"/>
  <c r="X46" i="11"/>
  <c r="T46" i="11" s="1"/>
  <c r="Y46" i="11" s="1"/>
  <c r="Z46" i="11" s="1"/>
  <c r="X47" i="11"/>
  <c r="T47" i="11" s="1"/>
  <c r="Y47" i="11" s="1"/>
  <c r="Z47" i="11" s="1"/>
  <c r="X37" i="11"/>
  <c r="T37" i="11" s="1"/>
  <c r="Y37" i="11" s="1"/>
  <c r="Z37" i="11" s="1"/>
  <c r="X42" i="11"/>
  <c r="T42" i="11" s="1"/>
  <c r="Y42" i="11" s="1"/>
  <c r="Z42" i="11" s="1"/>
  <c r="X32" i="11"/>
  <c r="T32" i="11" s="1"/>
  <c r="Y32" i="11" s="1"/>
  <c r="Z32" i="11" s="1"/>
  <c r="X33" i="11"/>
  <c r="T33" i="11" s="1"/>
  <c r="X4" i="11"/>
  <c r="T4" i="11" s="1"/>
  <c r="Y4" i="11" s="1"/>
  <c r="Z4" i="11" s="1"/>
  <c r="X5" i="11"/>
  <c r="T5" i="11" s="1"/>
  <c r="Y5" i="11" s="1"/>
  <c r="Z5" i="11" s="1"/>
  <c r="X43" i="11"/>
  <c r="T43" i="11" s="1"/>
  <c r="Y43" i="11" s="1"/>
  <c r="Z43" i="11" s="1"/>
  <c r="Y33" i="11" l="1"/>
  <c r="Z33" i="11" s="1"/>
  <c r="H76" i="10"/>
  <c r="H75" i="10"/>
  <c r="X75" i="10"/>
  <c r="Y75" i="10"/>
  <c r="Z75" i="10" s="1"/>
  <c r="X76" i="10"/>
  <c r="Y76" i="10"/>
  <c r="Z76" i="10" s="1"/>
  <c r="C607" i="1"/>
  <c r="G94" i="10"/>
  <c r="C606" i="1" l="1"/>
  <c r="C605" i="1"/>
  <c r="C604" i="1"/>
  <c r="C603" i="1"/>
  <c r="C593" i="1"/>
  <c r="C592" i="1"/>
  <c r="C590" i="1"/>
  <c r="C589" i="1"/>
  <c r="C584" i="1"/>
  <c r="C583" i="1"/>
  <c r="C582" i="1"/>
  <c r="C581" i="1"/>
  <c r="C580" i="1"/>
  <c r="G64" i="10"/>
  <c r="F64" i="10"/>
  <c r="E64" i="10"/>
  <c r="C570" i="1"/>
  <c r="C569" i="1"/>
  <c r="C566" i="1"/>
  <c r="C565" i="1"/>
  <c r="C595" i="1"/>
  <c r="C594" i="1"/>
  <c r="F92" i="10" l="1"/>
  <c r="C562" i="1"/>
  <c r="C561" i="1"/>
  <c r="C568" i="1"/>
  <c r="C587" i="1" l="1"/>
  <c r="C567" i="1"/>
  <c r="G91" i="10"/>
  <c r="C560" i="1" l="1"/>
  <c r="C559" i="1"/>
  <c r="G87" i="10" l="1"/>
  <c r="C579" i="1" l="1"/>
  <c r="F90" i="10"/>
  <c r="F89" i="10"/>
  <c r="C558" i="1" l="1"/>
  <c r="C557" i="1"/>
  <c r="U86" i="10"/>
  <c r="S86" i="10"/>
  <c r="R86" i="10"/>
  <c r="H86" i="10"/>
  <c r="X86" i="10" l="1"/>
  <c r="T86" i="10" s="1"/>
  <c r="Y86" i="10" s="1"/>
  <c r="Z86" i="10" s="1"/>
  <c r="F83" i="10"/>
  <c r="C563" i="1"/>
  <c r="B948" i="5" l="1"/>
  <c r="C948" i="5"/>
  <c r="E948" i="5" l="1"/>
  <c r="R26" i="11" l="1"/>
  <c r="R25" i="11"/>
  <c r="R22" i="11"/>
  <c r="R21" i="11"/>
  <c r="R18" i="11"/>
  <c r="R14" i="11"/>
  <c r="R11" i="11"/>
  <c r="R10" i="11"/>
  <c r="R97" i="10"/>
  <c r="R96" i="10"/>
  <c r="R94" i="10"/>
  <c r="R91" i="10"/>
  <c r="R87" i="10"/>
  <c r="R85" i="10"/>
  <c r="R82" i="10"/>
  <c r="R81" i="10"/>
  <c r="R79" i="10"/>
  <c r="R74" i="10"/>
  <c r="R67" i="10"/>
  <c r="R65" i="10"/>
  <c r="E78" i="10" l="1"/>
  <c r="R78" i="10" s="1"/>
  <c r="F78" i="10"/>
  <c r="G78" i="10"/>
  <c r="Q78" i="10"/>
  <c r="C564" i="1" l="1"/>
  <c r="C554" i="1"/>
  <c r="P92" i="10"/>
  <c r="P89" i="10"/>
  <c r="F80" i="10"/>
  <c r="G74" i="10" l="1"/>
  <c r="C541" i="1"/>
  <c r="G71" i="10"/>
  <c r="F71" i="10"/>
  <c r="E71" i="10"/>
  <c r="R71" i="10" s="1"/>
  <c r="F77" i="10" l="1"/>
  <c r="B945" i="5"/>
  <c r="C945" i="5"/>
  <c r="B942" i="5"/>
  <c r="C942" i="5"/>
  <c r="C938" i="5"/>
  <c r="B938" i="5"/>
  <c r="E945" i="5" l="1"/>
  <c r="E942" i="5"/>
  <c r="E938" i="5"/>
  <c r="P83" i="10"/>
  <c r="Q64" i="10" l="1"/>
  <c r="G67" i="10"/>
  <c r="R64" i="10"/>
  <c r="U65" i="10"/>
  <c r="S65" i="10"/>
  <c r="H65" i="10"/>
  <c r="Q60" i="10"/>
  <c r="G60" i="10"/>
  <c r="F60" i="10"/>
  <c r="E60" i="10"/>
  <c r="F73" i="10"/>
  <c r="C547" i="1"/>
  <c r="C540" i="1"/>
  <c r="X65" i="10" l="1"/>
  <c r="T65" i="10" s="1"/>
  <c r="Y65" i="10" s="1"/>
  <c r="Z65" i="10" s="1"/>
  <c r="F69" i="10"/>
  <c r="F70" i="10"/>
  <c r="F72" i="10"/>
  <c r="F68" i="10"/>
  <c r="Y62" i="10" l="1"/>
  <c r="Z62" i="10" s="1"/>
  <c r="X62" i="10"/>
  <c r="H62" i="10"/>
  <c r="H53" i="10"/>
  <c r="X53" i="10"/>
  <c r="Y53" i="10"/>
  <c r="Z53" i="10" s="1"/>
  <c r="H39" i="10"/>
  <c r="H38" i="10"/>
  <c r="X39" i="10"/>
  <c r="Y39" i="10"/>
  <c r="Z39" i="10" s="1"/>
  <c r="X38" i="10"/>
  <c r="Y38" i="10"/>
  <c r="Z38" i="10" s="1"/>
  <c r="H18" i="10"/>
  <c r="X18" i="10"/>
  <c r="Y18" i="10"/>
  <c r="Z18" i="10" s="1"/>
  <c r="H23" i="10"/>
  <c r="X23" i="10"/>
  <c r="Y23" i="10"/>
  <c r="Z23" i="10" s="1"/>
  <c r="H13" i="10"/>
  <c r="X13" i="10"/>
  <c r="Y13" i="10"/>
  <c r="Z13" i="10" s="1"/>
  <c r="C556" i="1"/>
  <c r="C550" i="1"/>
  <c r="C539" i="1"/>
  <c r="C542" i="1"/>
  <c r="C533" i="1"/>
  <c r="P80" i="10"/>
  <c r="P77" i="10"/>
  <c r="H66" i="10"/>
  <c r="X66" i="10"/>
  <c r="Y66" i="10"/>
  <c r="Z66" i="10" s="1"/>
  <c r="P73" i="10" l="1"/>
  <c r="P59" i="10"/>
  <c r="F59" i="10"/>
  <c r="F58" i="10"/>
  <c r="E51" i="10"/>
  <c r="F51" i="10"/>
  <c r="G51" i="10"/>
  <c r="Q51" i="10"/>
  <c r="F54" i="10" l="1"/>
  <c r="P70" i="10" l="1"/>
  <c r="P69" i="10"/>
  <c r="C534" i="1"/>
  <c r="C529" i="1"/>
  <c r="C525" i="1"/>
  <c r="C930" i="5" l="1"/>
  <c r="B930" i="5"/>
  <c r="C926" i="5"/>
  <c r="B926" i="5"/>
  <c r="F55" i="10"/>
  <c r="E50" i="10"/>
  <c r="G50" i="10"/>
  <c r="P68" i="10"/>
  <c r="E930" i="5" l="1"/>
  <c r="E926" i="5"/>
  <c r="C548" i="1"/>
  <c r="C544" i="1"/>
  <c r="C543" i="1"/>
  <c r="C538" i="1"/>
  <c r="C537" i="1"/>
  <c r="C536" i="1"/>
  <c r="C535" i="1"/>
  <c r="C528" i="1" l="1"/>
  <c r="C527" i="1"/>
  <c r="C523" i="1"/>
  <c r="C522" i="1"/>
  <c r="C519" i="1"/>
  <c r="B915" i="5"/>
  <c r="C915" i="5"/>
  <c r="E915" i="5" s="1"/>
  <c r="G47" i="10"/>
  <c r="C517" i="1"/>
  <c r="C524" i="1" l="1"/>
  <c r="C521" i="1"/>
  <c r="C520" i="1"/>
  <c r="X41" i="10"/>
  <c r="Y41" i="10"/>
  <c r="Z41" i="10" s="1"/>
  <c r="X42" i="10"/>
  <c r="Y42" i="10"/>
  <c r="Z42" i="10"/>
  <c r="X43" i="10"/>
  <c r="Y43" i="10"/>
  <c r="Z43" i="10" s="1"/>
  <c r="H42" i="10"/>
  <c r="H43" i="10"/>
  <c r="Y37" i="10"/>
  <c r="Z37" i="10" s="1"/>
  <c r="X37" i="10"/>
  <c r="H37" i="10"/>
  <c r="F49" i="10"/>
  <c r="F48" i="10"/>
  <c r="E45" i="10"/>
  <c r="F45" i="10"/>
  <c r="G45" i="10"/>
  <c r="Q45" i="10"/>
  <c r="H52" i="10"/>
  <c r="R52" i="10"/>
  <c r="S52" i="10"/>
  <c r="U52" i="10"/>
  <c r="U47" i="10"/>
  <c r="S47" i="10"/>
  <c r="R47" i="10"/>
  <c r="X47" i="10" s="1"/>
  <c r="T47" i="10" s="1"/>
  <c r="H47" i="10"/>
  <c r="P58" i="10"/>
  <c r="X52" i="10" l="1"/>
  <c r="T52" i="10" s="1"/>
  <c r="Y52" i="10" s="1"/>
  <c r="Z52" i="10" s="1"/>
  <c r="Y47" i="10"/>
  <c r="Z47" i="10" s="1"/>
  <c r="B912" i="5" l="1"/>
  <c r="C912" i="5"/>
  <c r="E35" i="10"/>
  <c r="F35" i="10"/>
  <c r="G35" i="10"/>
  <c r="Q35" i="10"/>
  <c r="E912" i="5" l="1"/>
  <c r="P55" i="10"/>
  <c r="X55" i="10" s="1"/>
  <c r="T55" i="10" s="1"/>
  <c r="Y55" i="10" s="1"/>
  <c r="Z55" i="10" s="1"/>
  <c r="P54" i="10"/>
  <c r="H55" i="10"/>
  <c r="F40" i="10" l="1"/>
  <c r="C513" i="1"/>
  <c r="Y95" i="10"/>
  <c r="Z95" i="10" s="1"/>
  <c r="X95" i="10"/>
  <c r="H94" i="10"/>
  <c r="H95" i="10"/>
  <c r="H96" i="10"/>
  <c r="X35" i="11"/>
  <c r="T35" i="11" s="1"/>
  <c r="Y35" i="11" s="1"/>
  <c r="Z35" i="11" s="1"/>
  <c r="U26" i="11"/>
  <c r="S26" i="11"/>
  <c r="H26" i="11"/>
  <c r="U25" i="11"/>
  <c r="S25" i="11"/>
  <c r="H25" i="11"/>
  <c r="X24" i="11"/>
  <c r="T24" i="11" s="1"/>
  <c r="Y24" i="11" s="1"/>
  <c r="Z24" i="11" s="1"/>
  <c r="H24" i="11"/>
  <c r="U22" i="11"/>
  <c r="S22" i="11"/>
  <c r="H22" i="11"/>
  <c r="U21" i="11"/>
  <c r="S21" i="11"/>
  <c r="H21" i="11"/>
  <c r="X20" i="11"/>
  <c r="T20" i="11" s="1"/>
  <c r="Y20" i="11" s="1"/>
  <c r="Z20" i="11" s="1"/>
  <c r="H20" i="11"/>
  <c r="U18" i="11"/>
  <c r="S18" i="11"/>
  <c r="H18" i="11"/>
  <c r="X17" i="11"/>
  <c r="H17" i="11"/>
  <c r="U14" i="11"/>
  <c r="S14" i="11"/>
  <c r="H14" i="11"/>
  <c r="X16" i="11"/>
  <c r="T16" i="11" s="1"/>
  <c r="Y16" i="11" s="1"/>
  <c r="Z16" i="11" s="1"/>
  <c r="H16" i="11"/>
  <c r="X13" i="11"/>
  <c r="T13" i="11" s="1"/>
  <c r="Y13" i="11" s="1"/>
  <c r="Z13" i="11" s="1"/>
  <c r="H13" i="11"/>
  <c r="X12" i="11"/>
  <c r="T12" i="11" s="1"/>
  <c r="Y12" i="11" s="1"/>
  <c r="Z12" i="11" s="1"/>
  <c r="H12" i="11"/>
  <c r="U11" i="11"/>
  <c r="S11" i="11"/>
  <c r="H11" i="11"/>
  <c r="U10" i="11"/>
  <c r="S10" i="11"/>
  <c r="H10" i="11"/>
  <c r="X73" i="10"/>
  <c r="T73" i="10" s="1"/>
  <c r="Y73" i="10" s="1"/>
  <c r="Z73" i="10" s="1"/>
  <c r="H73" i="10"/>
  <c r="H41" i="10"/>
  <c r="X27" i="10"/>
  <c r="Y27" i="10"/>
  <c r="Z27" i="10" s="1"/>
  <c r="H27" i="10"/>
  <c r="F34" i="10"/>
  <c r="P48" i="10"/>
  <c r="P49" i="10"/>
  <c r="C506" i="1"/>
  <c r="C501" i="1"/>
  <c r="T17" i="11" l="1"/>
  <c r="Y17" i="11" s="1"/>
  <c r="Z17" i="11" s="1"/>
  <c r="X26" i="11"/>
  <c r="T26" i="11" s="1"/>
  <c r="Y26" i="11" s="1"/>
  <c r="Z26" i="11" s="1"/>
  <c r="X21" i="11"/>
  <c r="T21" i="11" s="1"/>
  <c r="Y21" i="11" s="1"/>
  <c r="Z21" i="11" s="1"/>
  <c r="X22" i="11"/>
  <c r="T22" i="11" s="1"/>
  <c r="Y22" i="11" s="1"/>
  <c r="Z22" i="11" s="1"/>
  <c r="X18" i="11"/>
  <c r="T18" i="11" s="1"/>
  <c r="Y18" i="11" s="1"/>
  <c r="Z18" i="11" s="1"/>
  <c r="X25" i="11"/>
  <c r="T25" i="11" s="1"/>
  <c r="Y25" i="11" s="1"/>
  <c r="Z25" i="11" s="1"/>
  <c r="X14" i="11"/>
  <c r="T14" i="11" s="1"/>
  <c r="Y14" i="11" s="1"/>
  <c r="Z14" i="11" s="1"/>
  <c r="X10" i="11"/>
  <c r="T10" i="11" s="1"/>
  <c r="Y10" i="11" s="1"/>
  <c r="Z10" i="11" s="1"/>
  <c r="X11" i="11"/>
  <c r="T11" i="11" s="1"/>
  <c r="Y11" i="11" s="1"/>
  <c r="Z11" i="11" s="1"/>
  <c r="G30" i="10"/>
  <c r="B907" i="5"/>
  <c r="C907" i="5"/>
  <c r="C893" i="5"/>
  <c r="B893" i="5"/>
  <c r="E893" i="5" l="1"/>
  <c r="E907" i="5"/>
  <c r="F29" i="10"/>
  <c r="G28" i="10"/>
  <c r="H28" i="10" s="1"/>
  <c r="P40" i="10" l="1"/>
  <c r="G22" i="10"/>
  <c r="P31" i="10"/>
  <c r="F31" i="10"/>
  <c r="C498" i="1" l="1"/>
  <c r="E20" i="10"/>
  <c r="F20" i="10"/>
  <c r="G20" i="10"/>
  <c r="Q20" i="10"/>
  <c r="U21" i="10"/>
  <c r="S21" i="10"/>
  <c r="R21" i="10"/>
  <c r="H21" i="10"/>
  <c r="F26" i="10"/>
  <c r="F25" i="10"/>
  <c r="F24" i="10"/>
  <c r="C500" i="1"/>
  <c r="X21" i="10" l="1"/>
  <c r="T21" i="10" s="1"/>
  <c r="Y21" i="10" s="1"/>
  <c r="Z21" i="10" s="1"/>
  <c r="C201" i="3" l="1"/>
  <c r="C202" i="3"/>
  <c r="C203" i="3"/>
  <c r="C204" i="3"/>
  <c r="C206" i="3"/>
  <c r="C205" i="3"/>
  <c r="C239" i="3"/>
  <c r="C236" i="3"/>
  <c r="C235" i="3"/>
  <c r="C233" i="3"/>
  <c r="C232" i="3"/>
  <c r="C231" i="3"/>
  <c r="C230" i="3"/>
  <c r="C229" i="3"/>
  <c r="C228" i="3"/>
  <c r="C226" i="3"/>
  <c r="C221" i="3"/>
  <c r="C220" i="3"/>
  <c r="C218" i="3"/>
  <c r="C217" i="3"/>
  <c r="C216" i="3"/>
  <c r="C215" i="3"/>
  <c r="C211" i="3"/>
  <c r="C210" i="3"/>
  <c r="C209" i="3"/>
  <c r="Y83" i="9"/>
  <c r="Z83" i="9" s="1"/>
  <c r="X83" i="9"/>
  <c r="H83" i="9"/>
  <c r="C516" i="1"/>
  <c r="C505" i="1"/>
  <c r="C502" i="1"/>
  <c r="C497" i="1"/>
  <c r="C496" i="1"/>
  <c r="C495" i="1"/>
  <c r="F6" i="10"/>
  <c r="C514" i="1"/>
  <c r="C507" i="1"/>
  <c r="C503" i="1"/>
  <c r="C508" i="1"/>
  <c r="C499" i="1"/>
  <c r="H128" i="4"/>
  <c r="H129" i="4"/>
  <c r="H130" i="4"/>
  <c r="H131" i="4"/>
  <c r="H132" i="4"/>
  <c r="H133" i="4"/>
  <c r="H134" i="4"/>
  <c r="H135" i="4"/>
  <c r="H136" i="4"/>
  <c r="H137" i="4"/>
  <c r="H138" i="4"/>
  <c r="C492" i="1"/>
  <c r="X92" i="10" l="1"/>
  <c r="T92" i="10" s="1"/>
  <c r="Y92" i="10" s="1"/>
  <c r="Z92" i="10" s="1"/>
  <c r="H92" i="10"/>
  <c r="U97" i="10"/>
  <c r="S97" i="10"/>
  <c r="H97" i="10"/>
  <c r="U96" i="10"/>
  <c r="S96" i="10"/>
  <c r="U94" i="10"/>
  <c r="S94" i="10"/>
  <c r="X93" i="10"/>
  <c r="T93" i="10" s="1"/>
  <c r="Y93" i="10" s="1"/>
  <c r="Z93" i="10" s="1"/>
  <c r="H93" i="10"/>
  <c r="U91" i="10"/>
  <c r="S91" i="10"/>
  <c r="H91" i="10"/>
  <c r="X90" i="10"/>
  <c r="T90" i="10" s="1"/>
  <c r="Y90" i="10" s="1"/>
  <c r="Z90" i="10" s="1"/>
  <c r="H90" i="10"/>
  <c r="X89" i="10"/>
  <c r="T89" i="10" s="1"/>
  <c r="Y89" i="10" s="1"/>
  <c r="Z89" i="10" s="1"/>
  <c r="H89" i="10"/>
  <c r="U87" i="10"/>
  <c r="S87" i="10"/>
  <c r="H87" i="10"/>
  <c r="U85" i="10"/>
  <c r="S85" i="10"/>
  <c r="H85" i="10"/>
  <c r="X83" i="10"/>
  <c r="T83" i="10" s="1"/>
  <c r="Y83" i="10" s="1"/>
  <c r="Z83" i="10" s="1"/>
  <c r="H83" i="10"/>
  <c r="U82" i="10"/>
  <c r="S82" i="10"/>
  <c r="H82" i="10"/>
  <c r="U81" i="10"/>
  <c r="S81" i="10"/>
  <c r="H81" i="10"/>
  <c r="X80" i="10"/>
  <c r="T80" i="10" s="1"/>
  <c r="Y80" i="10" s="1"/>
  <c r="Z80" i="10" s="1"/>
  <c r="H80" i="10"/>
  <c r="U79" i="10"/>
  <c r="S79" i="10"/>
  <c r="H79" i="10"/>
  <c r="U78" i="10"/>
  <c r="S78" i="10"/>
  <c r="H78" i="10"/>
  <c r="X77" i="10"/>
  <c r="T77" i="10" s="1"/>
  <c r="Y77" i="10" s="1"/>
  <c r="Z77" i="10" s="1"/>
  <c r="H77" i="10"/>
  <c r="U74" i="10"/>
  <c r="S74" i="10"/>
  <c r="H74" i="10"/>
  <c r="X72" i="10"/>
  <c r="T72" i="10" s="1"/>
  <c r="Y72" i="10" s="1"/>
  <c r="Z72" i="10" s="1"/>
  <c r="H72" i="10"/>
  <c r="U71" i="10"/>
  <c r="S71" i="10"/>
  <c r="H71" i="10"/>
  <c r="X70" i="10"/>
  <c r="T70" i="10" s="1"/>
  <c r="Y70" i="10" s="1"/>
  <c r="Z70" i="10" s="1"/>
  <c r="H70" i="10"/>
  <c r="X69" i="10"/>
  <c r="T69" i="10" s="1"/>
  <c r="Y69" i="10" s="1"/>
  <c r="Z69" i="10" s="1"/>
  <c r="H69" i="10"/>
  <c r="U67" i="10"/>
  <c r="S67" i="10"/>
  <c r="H67" i="10"/>
  <c r="U64" i="10"/>
  <c r="S64" i="10"/>
  <c r="H64" i="10"/>
  <c r="P17" i="10"/>
  <c r="X17" i="10" s="1"/>
  <c r="F17" i="10"/>
  <c r="H17" i="10" s="1"/>
  <c r="U16" i="10"/>
  <c r="S16" i="10"/>
  <c r="R16" i="10"/>
  <c r="H16" i="10"/>
  <c r="U15" i="10"/>
  <c r="S15" i="10"/>
  <c r="R15" i="10"/>
  <c r="H15" i="10"/>
  <c r="P14" i="10"/>
  <c r="F14" i="10"/>
  <c r="H14" i="10" s="1"/>
  <c r="U12" i="10"/>
  <c r="S12" i="10"/>
  <c r="R12" i="10"/>
  <c r="H12" i="10"/>
  <c r="Q11" i="10"/>
  <c r="G11" i="10"/>
  <c r="F11" i="10"/>
  <c r="E11" i="10"/>
  <c r="R11" i="10" s="1"/>
  <c r="P10" i="10"/>
  <c r="X10" i="10" s="1"/>
  <c r="F10" i="10"/>
  <c r="H10" i="10" s="1"/>
  <c r="P9" i="10"/>
  <c r="X9" i="10" s="1"/>
  <c r="F9" i="10"/>
  <c r="H9" i="10" s="1"/>
  <c r="U8" i="10"/>
  <c r="S8" i="10"/>
  <c r="R8" i="10"/>
  <c r="G8" i="10"/>
  <c r="H8" i="10" s="1"/>
  <c r="U7" i="10"/>
  <c r="S7" i="10"/>
  <c r="R7" i="10"/>
  <c r="G7" i="10"/>
  <c r="H7" i="10" s="1"/>
  <c r="X6" i="10"/>
  <c r="T6" i="10" s="1"/>
  <c r="Y6" i="10" s="1"/>
  <c r="Z6" i="10" s="1"/>
  <c r="H6" i="10"/>
  <c r="P5" i="10"/>
  <c r="F5" i="10"/>
  <c r="H5" i="10" s="1"/>
  <c r="P4" i="10"/>
  <c r="X4" i="10" s="1"/>
  <c r="F4" i="10"/>
  <c r="H4" i="10" s="1"/>
  <c r="B888" i="5"/>
  <c r="C888" i="5"/>
  <c r="P34" i="10"/>
  <c r="E888" i="5" l="1"/>
  <c r="X64" i="10"/>
  <c r="T64" i="10" s="1"/>
  <c r="Y64" i="10" s="1"/>
  <c r="Z64" i="10" s="1"/>
  <c r="X67" i="10"/>
  <c r="T67" i="10" s="1"/>
  <c r="Y67" i="10" s="1"/>
  <c r="Z67" i="10" s="1"/>
  <c r="T9" i="10"/>
  <c r="Y9" i="10" s="1"/>
  <c r="Z9" i="10" s="1"/>
  <c r="X71" i="10"/>
  <c r="T71" i="10" s="1"/>
  <c r="Y71" i="10" s="1"/>
  <c r="Z71" i="10" s="1"/>
  <c r="H11" i="10"/>
  <c r="T10" i="10"/>
  <c r="Y10" i="10" s="1"/>
  <c r="Z10" i="10" s="1"/>
  <c r="T17" i="10"/>
  <c r="Y17" i="10" s="1"/>
  <c r="Z17" i="10" s="1"/>
  <c r="X74" i="10"/>
  <c r="T74" i="10" s="1"/>
  <c r="Y74" i="10" s="1"/>
  <c r="Z74" i="10" s="1"/>
  <c r="X81" i="10"/>
  <c r="T81" i="10" s="1"/>
  <c r="Y81" i="10" s="1"/>
  <c r="Z81" i="10" s="1"/>
  <c r="X82" i="10"/>
  <c r="T82" i="10" s="1"/>
  <c r="Y82" i="10" s="1"/>
  <c r="Z82" i="10" s="1"/>
  <c r="X96" i="10"/>
  <c r="T96" i="10" s="1"/>
  <c r="Y96" i="10" s="1"/>
  <c r="Z96" i="10" s="1"/>
  <c r="X97" i="10"/>
  <c r="T97" i="10" s="1"/>
  <c r="Y97" i="10" s="1"/>
  <c r="Z97" i="10" s="1"/>
  <c r="X91" i="10"/>
  <c r="T91" i="10" s="1"/>
  <c r="Y91" i="10" s="1"/>
  <c r="Z91" i="10" s="1"/>
  <c r="X85" i="10"/>
  <c r="T85" i="10" s="1"/>
  <c r="Y85" i="10" s="1"/>
  <c r="Z85" i="10" s="1"/>
  <c r="X87" i="10"/>
  <c r="T87" i="10" s="1"/>
  <c r="Y87" i="10" s="1"/>
  <c r="Z87" i="10" s="1"/>
  <c r="X94" i="10"/>
  <c r="T94" i="10" s="1"/>
  <c r="Y94" i="10" s="1"/>
  <c r="Z94" i="10" s="1"/>
  <c r="X78" i="10"/>
  <c r="T78" i="10" s="1"/>
  <c r="Y78" i="10" s="1"/>
  <c r="Z78" i="10" s="1"/>
  <c r="X79" i="10"/>
  <c r="T79" i="10" s="1"/>
  <c r="Y79" i="10" s="1"/>
  <c r="Z79" i="10" s="1"/>
  <c r="S11" i="10"/>
  <c r="T4" i="10"/>
  <c r="Y4" i="10" s="1"/>
  <c r="Z4" i="10" s="1"/>
  <c r="X12" i="10"/>
  <c r="T12" i="10" s="1"/>
  <c r="Y12" i="10" s="1"/>
  <c r="Z12" i="10" s="1"/>
  <c r="X7" i="10"/>
  <c r="T7" i="10" s="1"/>
  <c r="Y7" i="10" s="1"/>
  <c r="Z7" i="10" s="1"/>
  <c r="X8" i="10"/>
  <c r="T8" i="10" s="1"/>
  <c r="Y8" i="10" s="1"/>
  <c r="Z8" i="10" s="1"/>
  <c r="X5" i="10"/>
  <c r="T5" i="10" s="1"/>
  <c r="Y5" i="10" s="1"/>
  <c r="Z5" i="10" s="1"/>
  <c r="U11" i="10"/>
  <c r="X14" i="10"/>
  <c r="T14" i="10" s="1"/>
  <c r="Y14" i="10" s="1"/>
  <c r="Z14" i="10" s="1"/>
  <c r="X15" i="10"/>
  <c r="T15" i="10" s="1"/>
  <c r="Y15" i="10" s="1"/>
  <c r="Z15" i="10" s="1"/>
  <c r="X16" i="10"/>
  <c r="T16" i="10" s="1"/>
  <c r="Y16" i="10" s="1"/>
  <c r="Z16" i="10" s="1"/>
  <c r="P26" i="10"/>
  <c r="P25" i="10"/>
  <c r="X25" i="10" s="1"/>
  <c r="T25" i="10" s="1"/>
  <c r="Y25" i="10" s="1"/>
  <c r="Z25" i="10" s="1"/>
  <c r="P29" i="10"/>
  <c r="X68" i="10"/>
  <c r="T68" i="10" s="1"/>
  <c r="Y68" i="10" s="1"/>
  <c r="Z68" i="10" s="1"/>
  <c r="H68" i="10"/>
  <c r="U61" i="10"/>
  <c r="S61" i="10"/>
  <c r="R61" i="10"/>
  <c r="H61" i="10"/>
  <c r="U60" i="10"/>
  <c r="S60" i="10"/>
  <c r="R60" i="10"/>
  <c r="H60" i="10"/>
  <c r="X58" i="10"/>
  <c r="T58" i="10" s="1"/>
  <c r="Y58" i="10" s="1"/>
  <c r="Z58" i="10" s="1"/>
  <c r="H58" i="10"/>
  <c r="U57" i="10"/>
  <c r="S57" i="10"/>
  <c r="R57" i="10"/>
  <c r="H57" i="10"/>
  <c r="U56" i="10"/>
  <c r="S56" i="10"/>
  <c r="R56" i="10"/>
  <c r="H56" i="10"/>
  <c r="X54" i="10"/>
  <c r="T54" i="10" s="1"/>
  <c r="Y54" i="10" s="1"/>
  <c r="Z54" i="10" s="1"/>
  <c r="H54" i="10"/>
  <c r="U51" i="10"/>
  <c r="S51" i="10"/>
  <c r="R51" i="10"/>
  <c r="H51" i="10"/>
  <c r="X59" i="10"/>
  <c r="T59" i="10" s="1"/>
  <c r="Y59" i="10" s="1"/>
  <c r="Z59" i="10" s="1"/>
  <c r="H59" i="10"/>
  <c r="U50" i="10"/>
  <c r="S50" i="10"/>
  <c r="R50" i="10"/>
  <c r="H50" i="10"/>
  <c r="X49" i="10"/>
  <c r="T49" i="10" s="1"/>
  <c r="Y49" i="10" s="1"/>
  <c r="Z49" i="10" s="1"/>
  <c r="H49" i="10"/>
  <c r="X48" i="10"/>
  <c r="T48" i="10" s="1"/>
  <c r="Y48" i="10" s="1"/>
  <c r="Z48" i="10" s="1"/>
  <c r="H48" i="10"/>
  <c r="U46" i="10"/>
  <c r="S46" i="10"/>
  <c r="R46" i="10"/>
  <c r="H46" i="10"/>
  <c r="U45" i="10"/>
  <c r="S45" i="10"/>
  <c r="R45" i="10"/>
  <c r="H45" i="10"/>
  <c r="P24" i="10"/>
  <c r="H25" i="10"/>
  <c r="H26" i="10"/>
  <c r="X51" i="10" l="1"/>
  <c r="T51" i="10" s="1"/>
  <c r="Y51" i="10" s="1"/>
  <c r="Z51" i="10" s="1"/>
  <c r="X11" i="10"/>
  <c r="T11" i="10" s="1"/>
  <c r="Y11" i="10" s="1"/>
  <c r="Z11" i="10" s="1"/>
  <c r="X50" i="10"/>
  <c r="T50" i="10" s="1"/>
  <c r="Y50" i="10" s="1"/>
  <c r="Z50" i="10" s="1"/>
  <c r="X45" i="10"/>
  <c r="T45" i="10" s="1"/>
  <c r="Y45" i="10" s="1"/>
  <c r="Z45" i="10" s="1"/>
  <c r="X46" i="10"/>
  <c r="T46" i="10" s="1"/>
  <c r="Y46" i="10" s="1"/>
  <c r="Z46" i="10" s="1"/>
  <c r="X56" i="10"/>
  <c r="T56" i="10" s="1"/>
  <c r="Y56" i="10" s="1"/>
  <c r="Z56" i="10" s="1"/>
  <c r="X57" i="10"/>
  <c r="T57" i="10" s="1"/>
  <c r="Y57" i="10" s="1"/>
  <c r="Z57" i="10" s="1"/>
  <c r="X60" i="10"/>
  <c r="T60" i="10" s="1"/>
  <c r="Y60" i="10" s="1"/>
  <c r="Z60" i="10" s="1"/>
  <c r="X61" i="10"/>
  <c r="T61" i="10" s="1"/>
  <c r="Y61" i="10" s="1"/>
  <c r="Z61" i="10" s="1"/>
  <c r="B884" i="5" l="1"/>
  <c r="C884" i="5"/>
  <c r="B881" i="5"/>
  <c r="C881" i="5"/>
  <c r="E881" i="5" s="1"/>
  <c r="E884" i="5" l="1"/>
  <c r="C483" i="1"/>
  <c r="G82" i="9" l="1"/>
  <c r="C478" i="1"/>
  <c r="C466" i="1" l="1"/>
  <c r="C470" i="1"/>
  <c r="C467" i="1"/>
  <c r="G81" i="9"/>
  <c r="F81" i="9"/>
  <c r="E81" i="9"/>
  <c r="X73" i="9" l="1"/>
  <c r="Y73" i="9"/>
  <c r="Z73" i="9" s="1"/>
  <c r="H73" i="9"/>
  <c r="B876" i="5"/>
  <c r="C876" i="5"/>
  <c r="H202" i="6"/>
  <c r="H203" i="6"/>
  <c r="H204" i="6"/>
  <c r="H205" i="6"/>
  <c r="H199" i="6"/>
  <c r="H200" i="6"/>
  <c r="H201" i="6"/>
  <c r="H206" i="6"/>
  <c r="H207" i="6"/>
  <c r="H208" i="6"/>
  <c r="E77" i="9"/>
  <c r="F77" i="9"/>
  <c r="G77" i="9"/>
  <c r="Q77" i="9"/>
  <c r="E876" i="5" l="1"/>
  <c r="C871" i="5"/>
  <c r="B871" i="5"/>
  <c r="E871" i="5" l="1"/>
  <c r="F62" i="9"/>
  <c r="G62" i="9"/>
  <c r="AH82" i="9"/>
  <c r="AF82" i="9"/>
  <c r="C455" i="1"/>
  <c r="AI82" i="9" l="1"/>
  <c r="C456" i="1"/>
  <c r="C453" i="1"/>
  <c r="F79" i="9"/>
  <c r="E74" i="9"/>
  <c r="F74" i="9"/>
  <c r="G74" i="9"/>
  <c r="Q74" i="9"/>
  <c r="C867" i="5"/>
  <c r="B867" i="5"/>
  <c r="E867" i="5" l="1"/>
  <c r="C864" i="5"/>
  <c r="B864" i="5"/>
  <c r="E864" i="5" l="1"/>
  <c r="C484" i="1"/>
  <c r="C493" i="1"/>
  <c r="F76" i="9"/>
  <c r="G71" i="9"/>
  <c r="C462" i="1" l="1"/>
  <c r="F72" i="9" l="1"/>
  <c r="G69" i="9" l="1"/>
  <c r="G61" i="9"/>
  <c r="P79" i="9" l="1"/>
  <c r="C457" i="1"/>
  <c r="C487" i="1"/>
  <c r="C486" i="1"/>
  <c r="C482" i="1"/>
  <c r="C481" i="1"/>
  <c r="C480" i="1"/>
  <c r="C475" i="1"/>
  <c r="C474" i="1"/>
  <c r="C473" i="1"/>
  <c r="X63" i="9"/>
  <c r="Y63" i="9"/>
  <c r="Z63" i="9" s="1"/>
  <c r="X64" i="9"/>
  <c r="Y64" i="9"/>
  <c r="Z64" i="9" s="1"/>
  <c r="H63" i="9"/>
  <c r="H64" i="9"/>
  <c r="X58" i="9"/>
  <c r="Y58" i="9"/>
  <c r="Z58" i="9" s="1"/>
  <c r="H58" i="9"/>
  <c r="X54" i="9"/>
  <c r="Y54" i="9"/>
  <c r="Z54" i="9" s="1"/>
  <c r="H54" i="9"/>
  <c r="X53" i="9"/>
  <c r="Y53" i="9"/>
  <c r="Z53" i="9" s="1"/>
  <c r="H53" i="9"/>
  <c r="F70" i="9"/>
  <c r="H36" i="9" l="1"/>
  <c r="X36" i="9"/>
  <c r="Y36" i="9"/>
  <c r="Z36" i="9" s="1"/>
  <c r="C438" i="1"/>
  <c r="Y35" i="9"/>
  <c r="Z35" i="9" s="1"/>
  <c r="X35" i="9"/>
  <c r="H35" i="9"/>
  <c r="F61" i="9" l="1"/>
  <c r="E61" i="9"/>
  <c r="F66" i="9"/>
  <c r="C446" i="1"/>
  <c r="P67" i="9"/>
  <c r="F68" i="9"/>
  <c r="F67" i="9"/>
  <c r="C454" i="1" l="1"/>
  <c r="C451" i="1"/>
  <c r="C445" i="1"/>
  <c r="C463" i="1"/>
  <c r="C468" i="1"/>
  <c r="R68" i="9"/>
  <c r="R67" i="9"/>
  <c r="Q68" i="9"/>
  <c r="Q67" i="9"/>
  <c r="B857" i="5"/>
  <c r="C857" i="5"/>
  <c r="E857" i="5" s="1"/>
  <c r="H67" i="9"/>
  <c r="H68" i="9"/>
  <c r="P76" i="9"/>
  <c r="P72" i="9"/>
  <c r="C850" i="5"/>
  <c r="B850" i="5"/>
  <c r="X67" i="9" l="1"/>
  <c r="T67" i="9" s="1"/>
  <c r="E850" i="5"/>
  <c r="X68" i="9"/>
  <c r="T68" i="9" s="1"/>
  <c r="Y68" i="9" s="1"/>
  <c r="Z68" i="9" s="1"/>
  <c r="Y67" i="9"/>
  <c r="Z67" i="9" s="1"/>
  <c r="AF62" i="9"/>
  <c r="AF20" i="9"/>
  <c r="AH62" i="9"/>
  <c r="AH43" i="9"/>
  <c r="AF43" i="9"/>
  <c r="AH20" i="9"/>
  <c r="AI43" i="9" l="1"/>
  <c r="AI20" i="9"/>
  <c r="AI62" i="9"/>
  <c r="F59" i="9"/>
  <c r="F55" i="9"/>
  <c r="G51" i="9" l="1"/>
  <c r="F51" i="9"/>
  <c r="E51" i="9"/>
  <c r="H27" i="9"/>
  <c r="X23" i="9"/>
  <c r="Y23" i="9"/>
  <c r="Z23" i="9" s="1"/>
  <c r="H23" i="9"/>
  <c r="P70" i="9" l="1"/>
  <c r="F65" i="9"/>
  <c r="G49" i="9"/>
  <c r="P66" i="9" l="1"/>
  <c r="P65" i="9"/>
  <c r="P59" i="9"/>
  <c r="C846" i="5"/>
  <c r="E846" i="5" s="1"/>
  <c r="B846" i="5"/>
  <c r="F50" i="9"/>
  <c r="B842" i="5"/>
  <c r="C842" i="5"/>
  <c r="E842" i="5" s="1"/>
  <c r="G46" i="9" l="1"/>
  <c r="F48" i="9"/>
  <c r="F47" i="9"/>
  <c r="U43" i="9" l="1"/>
  <c r="G42" i="9" l="1"/>
  <c r="F42" i="9"/>
  <c r="E42" i="9"/>
  <c r="F45" i="9"/>
  <c r="F44" i="9"/>
  <c r="C428" i="1"/>
  <c r="C460" i="1" l="1"/>
  <c r="C459" i="1"/>
  <c r="C449" i="1"/>
  <c r="C447" i="1"/>
  <c r="C436" i="1"/>
  <c r="C432" i="1"/>
  <c r="C429" i="1"/>
  <c r="C452" i="1"/>
  <c r="C441" i="1"/>
  <c r="X40" i="10"/>
  <c r="T40" i="10" s="1"/>
  <c r="Y40" i="10" s="1"/>
  <c r="Z40" i="10" s="1"/>
  <c r="H40" i="10"/>
  <c r="U36" i="10"/>
  <c r="S36" i="10"/>
  <c r="R36" i="10"/>
  <c r="H36" i="10"/>
  <c r="U35" i="10"/>
  <c r="S35" i="10"/>
  <c r="R35" i="10"/>
  <c r="H35" i="10"/>
  <c r="X34" i="10"/>
  <c r="T34" i="10" s="1"/>
  <c r="Y34" i="10" s="1"/>
  <c r="Z34" i="10" s="1"/>
  <c r="H34" i="10"/>
  <c r="U33" i="10"/>
  <c r="S33" i="10"/>
  <c r="R33" i="10"/>
  <c r="H33" i="10"/>
  <c r="U32" i="10"/>
  <c r="S32" i="10"/>
  <c r="R32" i="10"/>
  <c r="H32" i="10"/>
  <c r="X31" i="10"/>
  <c r="T31" i="10" s="1"/>
  <c r="Y31" i="10" s="1"/>
  <c r="Z31" i="10" s="1"/>
  <c r="H31" i="10"/>
  <c r="U30" i="10"/>
  <c r="S30" i="10"/>
  <c r="R30" i="10"/>
  <c r="H30" i="10"/>
  <c r="X29" i="10"/>
  <c r="T29" i="10" s="1"/>
  <c r="Y29" i="10" s="1"/>
  <c r="Z29" i="10" s="1"/>
  <c r="H29" i="10"/>
  <c r="U28" i="10"/>
  <c r="S28" i="10"/>
  <c r="R28" i="10"/>
  <c r="X26" i="10"/>
  <c r="T26" i="10" s="1"/>
  <c r="Y26" i="10" s="1"/>
  <c r="Z26" i="10" s="1"/>
  <c r="X24" i="10"/>
  <c r="T24" i="10" s="1"/>
  <c r="Y24" i="10" s="1"/>
  <c r="Z24" i="10" s="1"/>
  <c r="H24" i="10"/>
  <c r="U22" i="10"/>
  <c r="S22" i="10"/>
  <c r="R22" i="10"/>
  <c r="H22" i="10"/>
  <c r="U20" i="10"/>
  <c r="S20" i="10"/>
  <c r="R20" i="10"/>
  <c r="H20" i="10"/>
  <c r="U82" i="9"/>
  <c r="H82" i="9"/>
  <c r="U81" i="9"/>
  <c r="S81" i="9"/>
  <c r="R81" i="9"/>
  <c r="H81" i="9"/>
  <c r="P55" i="9"/>
  <c r="P50" i="9"/>
  <c r="C836" i="5"/>
  <c r="E836" i="5" s="1"/>
  <c r="B836" i="5"/>
  <c r="B831" i="5"/>
  <c r="C831" i="5"/>
  <c r="E831" i="5" l="1"/>
  <c r="X35" i="10"/>
  <c r="T35" i="10" s="1"/>
  <c r="Y35" i="10" s="1"/>
  <c r="Z35" i="10" s="1"/>
  <c r="X36" i="10"/>
  <c r="T36" i="10" s="1"/>
  <c r="Y36" i="10" s="1"/>
  <c r="Z36" i="10" s="1"/>
  <c r="X82" i="9"/>
  <c r="X28" i="10"/>
  <c r="T28" i="10" s="1"/>
  <c r="Y28" i="10" s="1"/>
  <c r="Z28" i="10" s="1"/>
  <c r="X30" i="10"/>
  <c r="T30" i="10" s="1"/>
  <c r="Y30" i="10" s="1"/>
  <c r="Z30" i="10" s="1"/>
  <c r="X20" i="10"/>
  <c r="T20" i="10" s="1"/>
  <c r="Y20" i="10" s="1"/>
  <c r="Z20" i="10" s="1"/>
  <c r="X22" i="10"/>
  <c r="T22" i="10" s="1"/>
  <c r="Y22" i="10" s="1"/>
  <c r="Z22" i="10" s="1"/>
  <c r="X32" i="10"/>
  <c r="T32" i="10" s="1"/>
  <c r="Y32" i="10" s="1"/>
  <c r="Z32" i="10" s="1"/>
  <c r="X33" i="10"/>
  <c r="T33" i="10" s="1"/>
  <c r="Y33" i="10" s="1"/>
  <c r="Z33" i="10" s="1"/>
  <c r="X81" i="9"/>
  <c r="T81" i="9" s="1"/>
  <c r="Y81" i="9" s="1"/>
  <c r="Z81" i="9" s="1"/>
  <c r="T82" i="9" l="1"/>
  <c r="Y82" i="9" s="1"/>
  <c r="Z82" i="9" s="1"/>
  <c r="F40" i="9"/>
  <c r="C422" i="1"/>
  <c r="P48" i="9" l="1"/>
  <c r="P47" i="9"/>
  <c r="X47" i="9" s="1"/>
  <c r="T47" i="9" s="1"/>
  <c r="Y47" i="9" s="1"/>
  <c r="Z47" i="9" s="1"/>
  <c r="P45" i="9"/>
  <c r="P44" i="9"/>
  <c r="H47" i="9"/>
  <c r="F37" i="9" l="1"/>
  <c r="G29" i="9"/>
  <c r="E29" i="9"/>
  <c r="F29" i="9"/>
  <c r="B825" i="5" l="1"/>
  <c r="C825" i="5"/>
  <c r="E825" i="5" l="1"/>
  <c r="F32" i="9"/>
  <c r="G26" i="9"/>
  <c r="P40" i="9" l="1"/>
  <c r="X27" i="9"/>
  <c r="Y27" i="9"/>
  <c r="Z27" i="9" s="1"/>
  <c r="C818" i="5"/>
  <c r="B818" i="5"/>
  <c r="B815" i="5"/>
  <c r="C815" i="5"/>
  <c r="E815" i="5" s="1"/>
  <c r="F28" i="9"/>
  <c r="G20" i="9"/>
  <c r="E818" i="5" l="1"/>
  <c r="F25" i="9"/>
  <c r="U38" i="9"/>
  <c r="S38" i="9"/>
  <c r="R38" i="9"/>
  <c r="G19" i="9" l="1"/>
  <c r="F19" i="9"/>
  <c r="E19" i="9"/>
  <c r="C419" i="1"/>
  <c r="C418" i="1" l="1"/>
  <c r="C417" i="1"/>
  <c r="C416" i="1"/>
  <c r="H123" i="4"/>
  <c r="H124" i="4"/>
  <c r="H125" i="4"/>
  <c r="H126" i="4"/>
  <c r="H127" i="4"/>
  <c r="C411" i="1"/>
  <c r="H31" i="9" l="1"/>
  <c r="H32" i="9"/>
  <c r="Y31" i="9"/>
  <c r="Z31" i="9" s="1"/>
  <c r="X31" i="9"/>
  <c r="C812" i="5"/>
  <c r="B812" i="5"/>
  <c r="C440" i="1"/>
  <c r="C439" i="1"/>
  <c r="C435" i="1"/>
  <c r="C434" i="1"/>
  <c r="C430" i="1"/>
  <c r="C427" i="1"/>
  <c r="C426" i="1"/>
  <c r="C425" i="1"/>
  <c r="C424" i="1"/>
  <c r="E812" i="5" l="1"/>
  <c r="B807" i="5"/>
  <c r="C807" i="5"/>
  <c r="E807" i="5" s="1"/>
  <c r="C423" i="1"/>
  <c r="F24" i="9"/>
  <c r="P37" i="9" l="1"/>
  <c r="P32" i="9"/>
  <c r="B804" i="5"/>
  <c r="C804" i="5"/>
  <c r="F17" i="9"/>
  <c r="X30" i="9"/>
  <c r="Y30" i="9"/>
  <c r="Z30" i="9" s="1"/>
  <c r="H29" i="9"/>
  <c r="H30" i="9"/>
  <c r="Y22" i="9"/>
  <c r="Z22" i="9" s="1"/>
  <c r="X22" i="9"/>
  <c r="Y21" i="9"/>
  <c r="Z21" i="9" s="1"/>
  <c r="X21" i="9"/>
  <c r="H22" i="9"/>
  <c r="H21" i="9"/>
  <c r="E804" i="5" l="1"/>
  <c r="P24" i="9"/>
  <c r="P28" i="9"/>
  <c r="F14" i="9"/>
  <c r="C798" i="5" l="1"/>
  <c r="E798" i="5" s="1"/>
  <c r="B798" i="5"/>
  <c r="G10" i="9"/>
  <c r="S19" i="9"/>
  <c r="R19" i="9"/>
  <c r="P25" i="9" l="1"/>
  <c r="F11" i="9"/>
  <c r="B794" i="5"/>
  <c r="C794" i="5"/>
  <c r="E794" i="5" s="1"/>
  <c r="G8" i="9"/>
  <c r="H8" i="9" s="1"/>
  <c r="X79" i="9" l="1"/>
  <c r="T79" i="9" s="1"/>
  <c r="Y79" i="9" s="1"/>
  <c r="Z79" i="9" s="1"/>
  <c r="H79" i="9"/>
  <c r="U78" i="9"/>
  <c r="S78" i="9"/>
  <c r="R78" i="9"/>
  <c r="H78" i="9"/>
  <c r="U77" i="9"/>
  <c r="S77" i="9"/>
  <c r="R77" i="9"/>
  <c r="H77" i="9"/>
  <c r="X76" i="9"/>
  <c r="T76" i="9" s="1"/>
  <c r="Y76" i="9" s="1"/>
  <c r="Z76" i="9" s="1"/>
  <c r="H76" i="9"/>
  <c r="U75" i="9"/>
  <c r="S75" i="9"/>
  <c r="R75" i="9"/>
  <c r="H75" i="9"/>
  <c r="U74" i="9"/>
  <c r="S74" i="9"/>
  <c r="R74" i="9"/>
  <c r="H74" i="9"/>
  <c r="X72" i="9"/>
  <c r="T72" i="9" s="1"/>
  <c r="Y72" i="9" s="1"/>
  <c r="Z72" i="9" s="1"/>
  <c r="H72" i="9"/>
  <c r="U71" i="9"/>
  <c r="S71" i="9"/>
  <c r="R71" i="9"/>
  <c r="H71" i="9"/>
  <c r="X70" i="9"/>
  <c r="T70" i="9" s="1"/>
  <c r="Y70" i="9" s="1"/>
  <c r="Z70" i="9" s="1"/>
  <c r="H70" i="9"/>
  <c r="U69" i="9"/>
  <c r="S69" i="9"/>
  <c r="R69" i="9"/>
  <c r="H69" i="9"/>
  <c r="X66" i="9"/>
  <c r="T66" i="9" s="1"/>
  <c r="Y66" i="9" s="1"/>
  <c r="Z66" i="9" s="1"/>
  <c r="H66" i="9"/>
  <c r="X65" i="9"/>
  <c r="T65" i="9" s="1"/>
  <c r="Y65" i="9" s="1"/>
  <c r="Z65" i="9" s="1"/>
  <c r="H65" i="9"/>
  <c r="U62" i="9"/>
  <c r="H62" i="9"/>
  <c r="U61" i="9"/>
  <c r="S61" i="9"/>
  <c r="R61" i="9"/>
  <c r="H61" i="9"/>
  <c r="X59" i="9"/>
  <c r="T59" i="9" s="1"/>
  <c r="Y59" i="9" s="1"/>
  <c r="Z59" i="9" s="1"/>
  <c r="H59" i="9"/>
  <c r="U57" i="9"/>
  <c r="S57" i="9"/>
  <c r="R57" i="9"/>
  <c r="H57" i="9"/>
  <c r="U56" i="9"/>
  <c r="S56" i="9"/>
  <c r="R56" i="9"/>
  <c r="H56" i="9"/>
  <c r="X55" i="9"/>
  <c r="T55" i="9" s="1"/>
  <c r="Y55" i="9" s="1"/>
  <c r="Z55" i="9" s="1"/>
  <c r="H55" i="9"/>
  <c r="U52" i="9"/>
  <c r="S52" i="9"/>
  <c r="R52" i="9"/>
  <c r="H52" i="9"/>
  <c r="U51" i="9"/>
  <c r="S51" i="9"/>
  <c r="R51" i="9"/>
  <c r="H51" i="9"/>
  <c r="X50" i="9"/>
  <c r="T50" i="9" s="1"/>
  <c r="Y50" i="9" s="1"/>
  <c r="Z50" i="9" s="1"/>
  <c r="H50" i="9"/>
  <c r="U49" i="9"/>
  <c r="S49" i="9"/>
  <c r="R49" i="9"/>
  <c r="H49" i="9"/>
  <c r="X48" i="9"/>
  <c r="T48" i="9" s="1"/>
  <c r="Y48" i="9" s="1"/>
  <c r="Z48" i="9" s="1"/>
  <c r="H48" i="9"/>
  <c r="U46" i="9"/>
  <c r="S46" i="9"/>
  <c r="R46" i="9"/>
  <c r="H46" i="9"/>
  <c r="X45" i="9"/>
  <c r="T45" i="9" s="1"/>
  <c r="Y45" i="9" s="1"/>
  <c r="Z45" i="9" s="1"/>
  <c r="H45" i="9"/>
  <c r="X44" i="9"/>
  <c r="T44" i="9" s="1"/>
  <c r="Y44" i="9" s="1"/>
  <c r="Z44" i="9" s="1"/>
  <c r="H44" i="9"/>
  <c r="H43" i="9"/>
  <c r="U42" i="9"/>
  <c r="S42" i="9"/>
  <c r="R42" i="9"/>
  <c r="H42" i="9"/>
  <c r="X74" i="9" l="1"/>
  <c r="T74" i="9" s="1"/>
  <c r="Y74" i="9" s="1"/>
  <c r="Z74" i="9" s="1"/>
  <c r="X75" i="9"/>
  <c r="T75" i="9" s="1"/>
  <c r="Y75" i="9" s="1"/>
  <c r="Z75" i="9" s="1"/>
  <c r="X51" i="9"/>
  <c r="T51" i="9" s="1"/>
  <c r="Y51" i="9" s="1"/>
  <c r="Z51" i="9" s="1"/>
  <c r="X52" i="9"/>
  <c r="T52" i="9" s="1"/>
  <c r="Y52" i="9" s="1"/>
  <c r="Z52" i="9" s="1"/>
  <c r="X78" i="9"/>
  <c r="T78" i="9" s="1"/>
  <c r="Y78" i="9" s="1"/>
  <c r="Z78" i="9" s="1"/>
  <c r="X42" i="9"/>
  <c r="T42" i="9" s="1"/>
  <c r="Y42" i="9" s="1"/>
  <c r="Z42" i="9" s="1"/>
  <c r="X43" i="9"/>
  <c r="X61" i="9"/>
  <c r="T61" i="9" s="1"/>
  <c r="Y61" i="9" s="1"/>
  <c r="Z61" i="9" s="1"/>
  <c r="X62" i="9"/>
  <c r="Y62" i="9" s="1"/>
  <c r="Z62" i="9" s="1"/>
  <c r="X56" i="9"/>
  <c r="T56" i="9" s="1"/>
  <c r="Y56" i="9" s="1"/>
  <c r="Z56" i="9" s="1"/>
  <c r="X57" i="9"/>
  <c r="T57" i="9" s="1"/>
  <c r="Y57" i="9" s="1"/>
  <c r="Z57" i="9" s="1"/>
  <c r="X69" i="9"/>
  <c r="T69" i="9" s="1"/>
  <c r="Y69" i="9" s="1"/>
  <c r="Z69" i="9" s="1"/>
  <c r="X77" i="9"/>
  <c r="T77" i="9" s="1"/>
  <c r="Y77" i="9" s="1"/>
  <c r="Z77" i="9" s="1"/>
  <c r="X71" i="9"/>
  <c r="T71" i="9" s="1"/>
  <c r="Y71" i="9" s="1"/>
  <c r="Z71" i="9" s="1"/>
  <c r="X46" i="9"/>
  <c r="T46" i="9" s="1"/>
  <c r="Y46" i="9" s="1"/>
  <c r="Z46" i="9" s="1"/>
  <c r="X49" i="9"/>
  <c r="T49" i="9" s="1"/>
  <c r="Y49" i="9" s="1"/>
  <c r="Z49" i="9" s="1"/>
  <c r="AD9" i="9"/>
  <c r="F9" i="9"/>
  <c r="T43" i="9" l="1"/>
  <c r="Y43" i="9" s="1"/>
  <c r="Z43" i="9" s="1"/>
  <c r="G4" i="9"/>
  <c r="B785" i="5"/>
  <c r="C785" i="5"/>
  <c r="E785" i="5" l="1"/>
  <c r="P17" i="9"/>
  <c r="P14" i="9"/>
  <c r="F7" i="9"/>
  <c r="F6" i="9"/>
  <c r="C395" i="1"/>
  <c r="F5" i="9"/>
  <c r="G3" i="9"/>
  <c r="F3" i="9"/>
  <c r="E3" i="9"/>
  <c r="C181" i="3" l="1"/>
  <c r="C180" i="3"/>
  <c r="C178" i="3"/>
  <c r="C177" i="3"/>
  <c r="C175" i="3"/>
  <c r="C174" i="3"/>
  <c r="C169" i="3"/>
  <c r="C168" i="3"/>
  <c r="C166" i="3"/>
  <c r="C165" i="3"/>
  <c r="C164" i="3"/>
  <c r="C163" i="3"/>
  <c r="C156" i="3"/>
  <c r="C155" i="3"/>
  <c r="C154" i="3"/>
  <c r="C153" i="3"/>
  <c r="C152" i="3"/>
  <c r="C151" i="3"/>
  <c r="C150" i="3"/>
  <c r="C146" i="3"/>
  <c r="C145" i="3"/>
  <c r="C144" i="3"/>
  <c r="C142" i="3"/>
  <c r="C141" i="3"/>
  <c r="C140" i="3"/>
  <c r="C139" i="3"/>
  <c r="C137" i="3"/>
  <c r="C136" i="3"/>
  <c r="C133" i="3"/>
  <c r="C131" i="3"/>
  <c r="C130" i="3"/>
  <c r="C129" i="3"/>
  <c r="C128" i="3"/>
  <c r="C127" i="3"/>
  <c r="C126" i="3"/>
  <c r="C125" i="3"/>
  <c r="C397" i="1" l="1"/>
  <c r="C403" i="1"/>
  <c r="C408" i="1"/>
  <c r="C407" i="1"/>
  <c r="C405" i="1" l="1"/>
  <c r="C404" i="1"/>
  <c r="C401" i="1"/>
  <c r="C400" i="1"/>
  <c r="H81" i="8"/>
  <c r="X81" i="8"/>
  <c r="Y81" i="8"/>
  <c r="Z81" i="8" s="1"/>
  <c r="P11" i="9"/>
  <c r="P6" i="9"/>
  <c r="H74" i="8" l="1"/>
  <c r="X74" i="8"/>
  <c r="Y74" i="8"/>
  <c r="Z74" i="8" s="1"/>
  <c r="P5" i="9"/>
  <c r="F59" i="8"/>
  <c r="H59" i="8" s="1"/>
  <c r="X59" i="8"/>
  <c r="Y59" i="8"/>
  <c r="Y35" i="8"/>
  <c r="Z35" i="8" s="1"/>
  <c r="X35" i="8"/>
  <c r="H35" i="8"/>
  <c r="X48" i="8"/>
  <c r="Y48" i="8"/>
  <c r="Z48" i="8" s="1"/>
  <c r="H48" i="8"/>
  <c r="Y73" i="8"/>
  <c r="Z73" i="8" s="1"/>
  <c r="X73" i="8"/>
  <c r="H73" i="8"/>
  <c r="H52" i="8"/>
  <c r="X52" i="8"/>
  <c r="Y52" i="8"/>
  <c r="Z52" i="8" s="1"/>
  <c r="B782" i="5"/>
  <c r="C782" i="5"/>
  <c r="E782" i="5" s="1"/>
  <c r="B776" i="5"/>
  <c r="C776" i="5"/>
  <c r="E776" i="5" s="1"/>
  <c r="Z59" i="8" l="1"/>
  <c r="P7" i="9" l="1"/>
  <c r="B773" i="5"/>
  <c r="C773" i="5"/>
  <c r="E773" i="5" s="1"/>
  <c r="F83" i="8"/>
  <c r="F82" i="8"/>
  <c r="C393" i="1"/>
  <c r="G77" i="8"/>
  <c r="E77" i="8"/>
  <c r="F78" i="8" l="1"/>
  <c r="F79" i="8" l="1"/>
  <c r="F75" i="8"/>
  <c r="H75" i="8" s="1"/>
  <c r="U80" i="8"/>
  <c r="U77" i="8"/>
  <c r="U71" i="8"/>
  <c r="U72" i="8"/>
  <c r="G71" i="8"/>
  <c r="C363" i="1"/>
  <c r="F76" i="8"/>
  <c r="C378" i="1" l="1"/>
  <c r="C377" i="1"/>
  <c r="H190" i="6"/>
  <c r="H191" i="6"/>
  <c r="H192" i="6"/>
  <c r="H193" i="6"/>
  <c r="H194" i="6"/>
  <c r="H195" i="6"/>
  <c r="H196" i="6"/>
  <c r="H197" i="6"/>
  <c r="H198" i="6"/>
  <c r="C372" i="1"/>
  <c r="C371" i="1"/>
  <c r="B766" i="5" l="1"/>
  <c r="C766" i="5"/>
  <c r="E766" i="5" l="1"/>
  <c r="C396" i="1"/>
  <c r="C391" i="1"/>
  <c r="C390" i="1"/>
  <c r="C389" i="1"/>
  <c r="C388" i="1"/>
  <c r="P83" i="8" l="1"/>
  <c r="P82" i="8"/>
  <c r="C360" i="1" l="1"/>
  <c r="Q64" i="8"/>
  <c r="G64" i="8"/>
  <c r="F64" i="8"/>
  <c r="E64" i="8"/>
  <c r="X40" i="9"/>
  <c r="T40" i="9" s="1"/>
  <c r="Y40" i="9" s="1"/>
  <c r="Z40" i="9" s="1"/>
  <c r="H40" i="9"/>
  <c r="U39" i="9"/>
  <c r="S39" i="9"/>
  <c r="R39" i="9"/>
  <c r="H39" i="9"/>
  <c r="H38" i="9"/>
  <c r="X37" i="9"/>
  <c r="T37" i="9" s="1"/>
  <c r="Y37" i="9" s="1"/>
  <c r="Z37" i="9" s="1"/>
  <c r="H37" i="9"/>
  <c r="U34" i="9"/>
  <c r="S34" i="9"/>
  <c r="R34" i="9"/>
  <c r="H34" i="9"/>
  <c r="U33" i="9"/>
  <c r="S33" i="9"/>
  <c r="R33" i="9"/>
  <c r="H33" i="9"/>
  <c r="X32" i="9"/>
  <c r="T32" i="9" s="1"/>
  <c r="Y32" i="9" s="1"/>
  <c r="Z32" i="9" s="1"/>
  <c r="U29" i="9"/>
  <c r="S29" i="9"/>
  <c r="R29" i="9"/>
  <c r="X28" i="9"/>
  <c r="T28" i="9" s="1"/>
  <c r="Y28" i="9" s="1"/>
  <c r="Z28" i="9" s="1"/>
  <c r="H28" i="9"/>
  <c r="U26" i="9"/>
  <c r="S26" i="9"/>
  <c r="R26" i="9"/>
  <c r="H26" i="9"/>
  <c r="X25" i="9"/>
  <c r="T25" i="9" s="1"/>
  <c r="Y25" i="9" s="1"/>
  <c r="Z25" i="9" s="1"/>
  <c r="H25" i="9"/>
  <c r="X24" i="9"/>
  <c r="T24" i="9" s="1"/>
  <c r="Y24" i="9" s="1"/>
  <c r="Z24" i="9" s="1"/>
  <c r="H24" i="9"/>
  <c r="U20" i="9"/>
  <c r="H20" i="9"/>
  <c r="U19" i="9"/>
  <c r="H19" i="9"/>
  <c r="X7" i="9"/>
  <c r="T7" i="9" s="1"/>
  <c r="Y7" i="9" s="1"/>
  <c r="Z7" i="9" s="1"/>
  <c r="H7" i="9"/>
  <c r="X26" i="9" l="1"/>
  <c r="T26" i="9" s="1"/>
  <c r="Y26" i="9" s="1"/>
  <c r="Z26" i="9" s="1"/>
  <c r="X33" i="9"/>
  <c r="T33" i="9" s="1"/>
  <c r="Y33" i="9" s="1"/>
  <c r="Z33" i="9" s="1"/>
  <c r="X34" i="9"/>
  <c r="T34" i="9" s="1"/>
  <c r="Y34" i="9" s="1"/>
  <c r="Z34" i="9" s="1"/>
  <c r="X39" i="9"/>
  <c r="T39" i="9" s="1"/>
  <c r="Y39" i="9" s="1"/>
  <c r="Z39" i="9" s="1"/>
  <c r="X29" i="9"/>
  <c r="T29" i="9" s="1"/>
  <c r="Y29" i="9" s="1"/>
  <c r="Z29" i="9" s="1"/>
  <c r="X38" i="9"/>
  <c r="T38" i="9" s="1"/>
  <c r="Y38" i="9" s="1"/>
  <c r="Z38" i="9" s="1"/>
  <c r="X19" i="9"/>
  <c r="X20" i="9"/>
  <c r="T20" i="9" l="1"/>
  <c r="Y20" i="9" s="1"/>
  <c r="Z20" i="9" s="1"/>
  <c r="T19" i="9"/>
  <c r="Y19" i="9" s="1"/>
  <c r="Z19" i="9" s="1"/>
  <c r="F69" i="8"/>
  <c r="P78" i="8" l="1"/>
  <c r="P79" i="8"/>
  <c r="P75" i="8"/>
  <c r="B759" i="5"/>
  <c r="C759" i="5"/>
  <c r="B755" i="5"/>
  <c r="C755" i="5"/>
  <c r="C383" i="1"/>
  <c r="C382" i="1"/>
  <c r="C381" i="1"/>
  <c r="C380" i="1"/>
  <c r="C373" i="1"/>
  <c r="C369" i="1"/>
  <c r="C368" i="1"/>
  <c r="C394" i="1"/>
  <c r="F66" i="8"/>
  <c r="G62" i="8"/>
  <c r="E62" i="8"/>
  <c r="E759" i="5" l="1"/>
  <c r="E755" i="5"/>
  <c r="F63" i="8" l="1"/>
  <c r="P76" i="8"/>
  <c r="C367" i="1"/>
  <c r="C366" i="1"/>
  <c r="C752" i="5" l="1"/>
  <c r="B752" i="5"/>
  <c r="E752" i="5" l="1"/>
  <c r="C356" i="1"/>
  <c r="C355" i="1"/>
  <c r="G58" i="8" l="1"/>
  <c r="P69" i="8"/>
  <c r="F61" i="8"/>
  <c r="F60" i="8"/>
  <c r="G57" i="8"/>
  <c r="G56" i="8"/>
  <c r="F56" i="8"/>
  <c r="C352" i="1"/>
  <c r="E56" i="8"/>
  <c r="C344" i="1" l="1"/>
  <c r="B748" i="5" l="1"/>
  <c r="C748" i="5"/>
  <c r="E748" i="5" l="1"/>
  <c r="C350" i="1"/>
  <c r="C379" i="1" l="1"/>
  <c r="C364" i="1"/>
  <c r="F54" i="8"/>
  <c r="F53" i="8"/>
  <c r="P63" i="8"/>
  <c r="P66" i="8"/>
  <c r="B743" i="5"/>
  <c r="C743" i="5"/>
  <c r="C737" i="5"/>
  <c r="B737" i="5"/>
  <c r="E737" i="5" l="1"/>
  <c r="E743" i="5"/>
  <c r="P61" i="8"/>
  <c r="P60" i="8"/>
  <c r="E44" i="8"/>
  <c r="G44" i="8"/>
  <c r="F49" i="8"/>
  <c r="F45" i="8" l="1"/>
  <c r="B732" i="5" l="1"/>
  <c r="C732" i="5"/>
  <c r="G41" i="8"/>
  <c r="E732" i="5" l="1"/>
  <c r="C337" i="1"/>
  <c r="P53" i="8"/>
  <c r="G39" i="8" l="1"/>
  <c r="H36" i="8"/>
  <c r="X36" i="8"/>
  <c r="Y36" i="8"/>
  <c r="Z36" i="8" s="1"/>
  <c r="Y25" i="8"/>
  <c r="Z25" i="8" s="1"/>
  <c r="X25" i="8"/>
  <c r="H25" i="8"/>
  <c r="F43" i="8"/>
  <c r="F42" i="8"/>
  <c r="P54" i="8" l="1"/>
  <c r="C723" i="5"/>
  <c r="B723" i="5"/>
  <c r="B720" i="5"/>
  <c r="C720" i="5"/>
  <c r="E723" i="5" l="1"/>
  <c r="E720" i="5"/>
  <c r="F40" i="8" l="1"/>
  <c r="C332" i="1"/>
  <c r="G38" i="8"/>
  <c r="F38" i="8"/>
  <c r="E38" i="8"/>
  <c r="C334" i="1"/>
  <c r="C333" i="1"/>
  <c r="C358" i="1" l="1"/>
  <c r="C357" i="1"/>
  <c r="C354" i="1"/>
  <c r="C353" i="1"/>
  <c r="C349" i="1"/>
  <c r="C348" i="1"/>
  <c r="C347" i="1"/>
  <c r="P43" i="8"/>
  <c r="P49" i="8"/>
  <c r="P42" i="8"/>
  <c r="P45" i="8"/>
  <c r="F34" i="8" l="1"/>
  <c r="R16" i="9"/>
  <c r="R15" i="9"/>
  <c r="R13" i="9"/>
  <c r="R12" i="9"/>
  <c r="R10" i="9"/>
  <c r="R8" i="9"/>
  <c r="R4" i="9"/>
  <c r="R3" i="9"/>
  <c r="R68" i="8"/>
  <c r="R67" i="8"/>
  <c r="R65" i="8"/>
  <c r="R64" i="8"/>
  <c r="R62" i="8"/>
  <c r="R58" i="8"/>
  <c r="R57" i="8"/>
  <c r="R56" i="8"/>
  <c r="R51" i="8"/>
  <c r="R50" i="8"/>
  <c r="R47" i="8"/>
  <c r="R46" i="8"/>
  <c r="R44" i="8"/>
  <c r="R41" i="8"/>
  <c r="R39" i="8"/>
  <c r="R38" i="8"/>
  <c r="R33" i="8"/>
  <c r="R32" i="8"/>
  <c r="R30" i="8"/>
  <c r="R29" i="8"/>
  <c r="R24" i="8"/>
  <c r="C338" i="1" l="1"/>
  <c r="C319" i="1"/>
  <c r="B717" i="5"/>
  <c r="C717" i="5"/>
  <c r="E717" i="5" s="1"/>
  <c r="B711" i="5"/>
  <c r="C711" i="5"/>
  <c r="E711" i="5" s="1"/>
  <c r="C345" i="1" l="1"/>
  <c r="C340" i="1"/>
  <c r="F31" i="8"/>
  <c r="F28" i="8" l="1"/>
  <c r="P40" i="8" l="1"/>
  <c r="C324" i="1"/>
  <c r="C325" i="1"/>
  <c r="G24" i="8"/>
  <c r="B703" i="5" l="1"/>
  <c r="C703" i="5"/>
  <c r="P34" i="8"/>
  <c r="E703" i="5" l="1"/>
  <c r="G21" i="8"/>
  <c r="F26" i="8" l="1"/>
  <c r="B700" i="5" l="1"/>
  <c r="C700" i="5"/>
  <c r="B695" i="5"/>
  <c r="C695" i="5"/>
  <c r="E695" i="5" s="1"/>
  <c r="B689" i="5"/>
  <c r="C689" i="5"/>
  <c r="E689" i="5" s="1"/>
  <c r="G20" i="8"/>
  <c r="F23" i="8"/>
  <c r="F22" i="8"/>
  <c r="C317" i="1"/>
  <c r="C307" i="1"/>
  <c r="C313" i="1"/>
  <c r="E700" i="5" l="1"/>
  <c r="C339" i="1"/>
  <c r="C336" i="1"/>
  <c r="C335" i="1"/>
  <c r="X7" i="8"/>
  <c r="Y7" i="8"/>
  <c r="Z7" i="8" s="1"/>
  <c r="H7" i="8"/>
  <c r="P28" i="8"/>
  <c r="P31" i="8"/>
  <c r="X17" i="9"/>
  <c r="T17" i="9" s="1"/>
  <c r="Y17" i="9" s="1"/>
  <c r="Z17" i="9" s="1"/>
  <c r="H17" i="9"/>
  <c r="U16" i="9"/>
  <c r="S16" i="9"/>
  <c r="H16" i="9"/>
  <c r="U15" i="9"/>
  <c r="S15" i="9"/>
  <c r="H15" i="9"/>
  <c r="X14" i="9"/>
  <c r="T14" i="9" s="1"/>
  <c r="Y14" i="9" s="1"/>
  <c r="Z14" i="9" s="1"/>
  <c r="H14" i="9"/>
  <c r="U13" i="9"/>
  <c r="S13" i="9"/>
  <c r="X13" i="9" s="1"/>
  <c r="T13" i="9" s="1"/>
  <c r="H13" i="9"/>
  <c r="U12" i="9"/>
  <c r="S12" i="9"/>
  <c r="H12" i="9"/>
  <c r="X11" i="9"/>
  <c r="T11" i="9" s="1"/>
  <c r="Y11" i="9" s="1"/>
  <c r="Z11" i="9" s="1"/>
  <c r="H11" i="9"/>
  <c r="U10" i="9"/>
  <c r="S10" i="9"/>
  <c r="H10" i="9"/>
  <c r="X9" i="9"/>
  <c r="T9" i="9" s="1"/>
  <c r="Y9" i="9" s="1"/>
  <c r="Z9" i="9" s="1"/>
  <c r="H9" i="9"/>
  <c r="X6" i="9"/>
  <c r="T6" i="9" s="1"/>
  <c r="Y6" i="9" s="1"/>
  <c r="Z6" i="9" s="1"/>
  <c r="H6" i="9"/>
  <c r="U8" i="9"/>
  <c r="S8" i="9"/>
  <c r="X5" i="9"/>
  <c r="T5" i="9" s="1"/>
  <c r="Y5" i="9" s="1"/>
  <c r="Z5" i="9" s="1"/>
  <c r="H5" i="9"/>
  <c r="U4" i="9"/>
  <c r="S4" i="9"/>
  <c r="H4" i="9"/>
  <c r="U3" i="9"/>
  <c r="S3" i="9"/>
  <c r="H3" i="9"/>
  <c r="X79" i="8"/>
  <c r="T79" i="8" s="1"/>
  <c r="Y79" i="8" s="1"/>
  <c r="Z79" i="8" s="1"/>
  <c r="H79" i="8"/>
  <c r="X83" i="8"/>
  <c r="T83" i="8" s="1"/>
  <c r="Y83" i="8" s="1"/>
  <c r="Z83" i="8" s="1"/>
  <c r="H83" i="8"/>
  <c r="U85" i="8"/>
  <c r="H85" i="8"/>
  <c r="U84" i="8"/>
  <c r="H84" i="8"/>
  <c r="X82" i="8"/>
  <c r="T82" i="8" s="1"/>
  <c r="Y82" i="8" s="1"/>
  <c r="Z82" i="8" s="1"/>
  <c r="H82" i="8"/>
  <c r="H80" i="8"/>
  <c r="X78" i="8"/>
  <c r="T78" i="8" s="1"/>
  <c r="Y78" i="8" s="1"/>
  <c r="Z78" i="8" s="1"/>
  <c r="H78" i="8"/>
  <c r="H77" i="8"/>
  <c r="X76" i="8"/>
  <c r="T76" i="8" s="1"/>
  <c r="Y76" i="8" s="1"/>
  <c r="Z76" i="8" s="1"/>
  <c r="H76" i="8"/>
  <c r="X75" i="8"/>
  <c r="T75" i="8" s="1"/>
  <c r="Y75" i="8" s="1"/>
  <c r="Z75" i="8" s="1"/>
  <c r="H72" i="8"/>
  <c r="H71" i="8"/>
  <c r="X69" i="8"/>
  <c r="T69" i="8" s="1"/>
  <c r="Y69" i="8" s="1"/>
  <c r="Z69" i="8" s="1"/>
  <c r="H69" i="8"/>
  <c r="U68" i="8"/>
  <c r="S68" i="8"/>
  <c r="H68" i="8"/>
  <c r="U67" i="8"/>
  <c r="S67" i="8"/>
  <c r="H67" i="8"/>
  <c r="X66" i="8"/>
  <c r="T66" i="8" s="1"/>
  <c r="Y66" i="8" s="1"/>
  <c r="Z66" i="8" s="1"/>
  <c r="H66" i="8"/>
  <c r="U65" i="8"/>
  <c r="S65" i="8"/>
  <c r="H65" i="8"/>
  <c r="U64" i="8"/>
  <c r="S64" i="8"/>
  <c r="H64" i="8"/>
  <c r="X63" i="8"/>
  <c r="T63" i="8" s="1"/>
  <c r="Y63" i="8" s="1"/>
  <c r="Z63" i="8" s="1"/>
  <c r="H63" i="8"/>
  <c r="U62" i="8"/>
  <c r="S62" i="8"/>
  <c r="H62" i="8"/>
  <c r="X61" i="8"/>
  <c r="T61" i="8" s="1"/>
  <c r="Y61" i="8" s="1"/>
  <c r="Z61" i="8" s="1"/>
  <c r="H61" i="8"/>
  <c r="U58" i="8"/>
  <c r="S58" i="8"/>
  <c r="H58" i="8"/>
  <c r="X60" i="8"/>
  <c r="T60" i="8" s="1"/>
  <c r="Y60" i="8" s="1"/>
  <c r="Z60" i="8" s="1"/>
  <c r="H60" i="8"/>
  <c r="X54" i="8"/>
  <c r="T54" i="8" s="1"/>
  <c r="Y54" i="8" s="1"/>
  <c r="Z54" i="8" s="1"/>
  <c r="H54" i="8"/>
  <c r="U57" i="8"/>
  <c r="S57" i="8"/>
  <c r="H57" i="8"/>
  <c r="U56" i="8"/>
  <c r="S56" i="8"/>
  <c r="H56" i="8"/>
  <c r="R18" i="8"/>
  <c r="R17" i="8"/>
  <c r="R16" i="8"/>
  <c r="R15" i="8"/>
  <c r="R14" i="8"/>
  <c r="X53" i="8"/>
  <c r="T53" i="8" s="1"/>
  <c r="Y53" i="8" s="1"/>
  <c r="Z53" i="8" s="1"/>
  <c r="H53" i="8"/>
  <c r="U51" i="8"/>
  <c r="S51" i="8"/>
  <c r="H51" i="8"/>
  <c r="U50" i="8"/>
  <c r="S50" i="8"/>
  <c r="H50" i="8"/>
  <c r="X49" i="8"/>
  <c r="T49" i="8" s="1"/>
  <c r="Y49" i="8" s="1"/>
  <c r="Z49" i="8" s="1"/>
  <c r="H49" i="8"/>
  <c r="U47" i="8"/>
  <c r="S47" i="8"/>
  <c r="H47" i="8"/>
  <c r="U46" i="8"/>
  <c r="S46" i="8"/>
  <c r="H46" i="8"/>
  <c r="H45" i="8"/>
  <c r="U44" i="8"/>
  <c r="S44" i="8"/>
  <c r="H44" i="8"/>
  <c r="X43" i="8"/>
  <c r="T43" i="8" s="1"/>
  <c r="Y43" i="8" s="1"/>
  <c r="Z43" i="8" s="1"/>
  <c r="H43" i="8"/>
  <c r="U41" i="8"/>
  <c r="S41" i="8"/>
  <c r="H41" i="8"/>
  <c r="H40" i="8"/>
  <c r="X42" i="8"/>
  <c r="T42" i="8" s="1"/>
  <c r="Y42" i="8" s="1"/>
  <c r="Z42" i="8" s="1"/>
  <c r="H42" i="8"/>
  <c r="U39" i="8"/>
  <c r="S39" i="8"/>
  <c r="H39" i="8"/>
  <c r="U38" i="8"/>
  <c r="S38" i="8"/>
  <c r="H38" i="8"/>
  <c r="U24" i="8"/>
  <c r="S24" i="8"/>
  <c r="H24" i="8"/>
  <c r="X12" i="9" l="1"/>
  <c r="T12" i="9" s="1"/>
  <c r="X15" i="9"/>
  <c r="T15" i="9" s="1"/>
  <c r="Y15" i="9" s="1"/>
  <c r="Z15" i="9" s="1"/>
  <c r="X8" i="9"/>
  <c r="T8" i="9" s="1"/>
  <c r="Y8" i="9" s="1"/>
  <c r="Z8" i="9" s="1"/>
  <c r="X16" i="9"/>
  <c r="T16" i="9" s="1"/>
  <c r="Y16" i="9" s="1"/>
  <c r="Z16" i="9" s="1"/>
  <c r="Y12" i="9"/>
  <c r="Z12" i="9" s="1"/>
  <c r="Y13" i="9"/>
  <c r="Z13" i="9" s="1"/>
  <c r="X3" i="9"/>
  <c r="T3" i="9" s="1"/>
  <c r="Y3" i="9" s="1"/>
  <c r="Z3" i="9" s="1"/>
  <c r="X10" i="9"/>
  <c r="T10" i="9" s="1"/>
  <c r="Y10" i="9" s="1"/>
  <c r="Z10" i="9" s="1"/>
  <c r="X4" i="9"/>
  <c r="T4" i="9" s="1"/>
  <c r="Y4" i="9" s="1"/>
  <c r="Z4" i="9" s="1"/>
  <c r="X84" i="8"/>
  <c r="Y84" i="8" s="1"/>
  <c r="Z84" i="8" s="1"/>
  <c r="X85" i="8"/>
  <c r="Y85" i="8" s="1"/>
  <c r="Z85" i="8" s="1"/>
  <c r="X64" i="8"/>
  <c r="T64" i="8" s="1"/>
  <c r="Y64" i="8" s="1"/>
  <c r="Z64" i="8" s="1"/>
  <c r="X56" i="8"/>
  <c r="T56" i="8" s="1"/>
  <c r="Y56" i="8" s="1"/>
  <c r="Z56" i="8" s="1"/>
  <c r="X72" i="8"/>
  <c r="Y72" i="8" s="1"/>
  <c r="Z72" i="8" s="1"/>
  <c r="X80" i="8"/>
  <c r="Y80" i="8" s="1"/>
  <c r="Z80" i="8" s="1"/>
  <c r="X77" i="8"/>
  <c r="Y77" i="8" s="1"/>
  <c r="Z77" i="8" s="1"/>
  <c r="X71" i="8"/>
  <c r="Y71" i="8" s="1"/>
  <c r="Z71" i="8" s="1"/>
  <c r="X51" i="8"/>
  <c r="T51" i="8" s="1"/>
  <c r="Y51" i="8" s="1"/>
  <c r="Z51" i="8" s="1"/>
  <c r="X67" i="8"/>
  <c r="T67" i="8" s="1"/>
  <c r="Y67" i="8" s="1"/>
  <c r="Z67" i="8" s="1"/>
  <c r="X68" i="8"/>
  <c r="T68" i="8" s="1"/>
  <c r="Y68" i="8" s="1"/>
  <c r="Z68" i="8" s="1"/>
  <c r="X41" i="8"/>
  <c r="T41" i="8" s="1"/>
  <c r="Y41" i="8" s="1"/>
  <c r="Z41" i="8" s="1"/>
  <c r="X62" i="8"/>
  <c r="T62" i="8" s="1"/>
  <c r="Y62" i="8" s="1"/>
  <c r="Z62" i="8" s="1"/>
  <c r="X57" i="8"/>
  <c r="T57" i="8" s="1"/>
  <c r="Y57" i="8" s="1"/>
  <c r="Z57" i="8" s="1"/>
  <c r="X65" i="8"/>
  <c r="T65" i="8" s="1"/>
  <c r="Y65" i="8" s="1"/>
  <c r="Z65" i="8" s="1"/>
  <c r="X58" i="8"/>
  <c r="T58" i="8" s="1"/>
  <c r="Y58" i="8" s="1"/>
  <c r="Z58" i="8" s="1"/>
  <c r="X44" i="8"/>
  <c r="T44" i="8" s="1"/>
  <c r="Y44" i="8" s="1"/>
  <c r="Z44" i="8" s="1"/>
  <c r="X50" i="8"/>
  <c r="T50" i="8" s="1"/>
  <c r="Y50" i="8" s="1"/>
  <c r="Z50" i="8" s="1"/>
  <c r="X38" i="8"/>
  <c r="T38" i="8" s="1"/>
  <c r="Y38" i="8" s="1"/>
  <c r="Z38" i="8" s="1"/>
  <c r="X39" i="8"/>
  <c r="T39" i="8" s="1"/>
  <c r="Y39" i="8" s="1"/>
  <c r="Z39" i="8" s="1"/>
  <c r="X40" i="8"/>
  <c r="T40" i="8" s="1"/>
  <c r="Y40" i="8" s="1"/>
  <c r="Z40" i="8" s="1"/>
  <c r="X45" i="8"/>
  <c r="T45" i="8" s="1"/>
  <c r="Y45" i="8" s="1"/>
  <c r="Z45" i="8" s="1"/>
  <c r="X46" i="8"/>
  <c r="T46" i="8" s="1"/>
  <c r="Y46" i="8" s="1"/>
  <c r="Z46" i="8" s="1"/>
  <c r="X47" i="8"/>
  <c r="T47" i="8" s="1"/>
  <c r="Y47" i="8" s="1"/>
  <c r="Z47" i="8" s="1"/>
  <c r="X24" i="8"/>
  <c r="T24" i="8" s="1"/>
  <c r="Y24" i="8" s="1"/>
  <c r="Z24" i="8" s="1"/>
  <c r="F18" i="8" l="1"/>
  <c r="H18" i="8" s="1"/>
  <c r="F17" i="8"/>
  <c r="H17" i="8" s="1"/>
  <c r="F16" i="8"/>
  <c r="H16" i="8" s="1"/>
  <c r="F15" i="8"/>
  <c r="H15" i="8" s="1"/>
  <c r="F14" i="8"/>
  <c r="H14" i="8" s="1"/>
  <c r="F13" i="8"/>
  <c r="H13" i="8" s="1"/>
  <c r="B683" i="5"/>
  <c r="C683" i="5"/>
  <c r="E683" i="5" l="1"/>
  <c r="H183" i="6"/>
  <c r="H184" i="6"/>
  <c r="H185" i="6"/>
  <c r="H186" i="6"/>
  <c r="H187" i="6"/>
  <c r="H188" i="6"/>
  <c r="H189" i="6"/>
  <c r="P23" i="8" l="1"/>
  <c r="P26" i="8"/>
  <c r="P22" i="8"/>
  <c r="Q18" i="8"/>
  <c r="Q17" i="8"/>
  <c r="Q16" i="8"/>
  <c r="Q15" i="8"/>
  <c r="Q14" i="8"/>
  <c r="P13" i="8"/>
  <c r="U12" i="8"/>
  <c r="S12" i="8"/>
  <c r="R12" i="8"/>
  <c r="H12" i="8"/>
  <c r="U11" i="8"/>
  <c r="S11" i="8"/>
  <c r="R11" i="8"/>
  <c r="H11" i="8"/>
  <c r="P10" i="8"/>
  <c r="X10" i="8" s="1"/>
  <c r="F10" i="8"/>
  <c r="H10" i="8" s="1"/>
  <c r="P9" i="8"/>
  <c r="X9" i="8" s="1"/>
  <c r="F9" i="8"/>
  <c r="H9" i="8" s="1"/>
  <c r="P8" i="8"/>
  <c r="F8" i="8"/>
  <c r="H8" i="8" s="1"/>
  <c r="U6" i="8"/>
  <c r="S6" i="8"/>
  <c r="R6" i="8"/>
  <c r="H6" i="8"/>
  <c r="U5" i="8"/>
  <c r="S5" i="8"/>
  <c r="R5" i="8"/>
  <c r="H5" i="8"/>
  <c r="P4" i="8"/>
  <c r="X4" i="8" s="1"/>
  <c r="F4" i="8"/>
  <c r="H4" i="8" s="1"/>
  <c r="R1093" i="5"/>
  <c r="B507" i="5"/>
  <c r="C507" i="5"/>
  <c r="E507" i="5" l="1"/>
  <c r="T10" i="8"/>
  <c r="Y10" i="8" s="1"/>
  <c r="Z10" i="8" s="1"/>
  <c r="T9" i="8"/>
  <c r="Y9" i="8" s="1"/>
  <c r="Z9" i="8" s="1"/>
  <c r="X5" i="8"/>
  <c r="T5" i="8" s="1"/>
  <c r="Y5" i="8" s="1"/>
  <c r="Z5" i="8" s="1"/>
  <c r="X6" i="8"/>
  <c r="T6" i="8" s="1"/>
  <c r="Y6" i="8" s="1"/>
  <c r="Z6" i="8" s="1"/>
  <c r="X16" i="8"/>
  <c r="T16" i="8" s="1"/>
  <c r="Y16" i="8" s="1"/>
  <c r="Z16" i="8" s="1"/>
  <c r="X14" i="8"/>
  <c r="T14" i="8" s="1"/>
  <c r="Y14" i="8" s="1"/>
  <c r="Z14" i="8" s="1"/>
  <c r="X18" i="8"/>
  <c r="T18" i="8" s="1"/>
  <c r="Y18" i="8" s="1"/>
  <c r="Z18" i="8" s="1"/>
  <c r="X12" i="8"/>
  <c r="T12" i="8" s="1"/>
  <c r="Y12" i="8" s="1"/>
  <c r="Z12" i="8" s="1"/>
  <c r="T4" i="8"/>
  <c r="Y4" i="8" s="1"/>
  <c r="Z4" i="8" s="1"/>
  <c r="X15" i="8"/>
  <c r="T15" i="8" s="1"/>
  <c r="Y15" i="8" s="1"/>
  <c r="Z15" i="8" s="1"/>
  <c r="X17" i="8"/>
  <c r="T17" i="8" s="1"/>
  <c r="Y17" i="8" s="1"/>
  <c r="Z17" i="8" s="1"/>
  <c r="X8" i="8"/>
  <c r="T8" i="8" s="1"/>
  <c r="Y8" i="8" s="1"/>
  <c r="Z8" i="8" s="1"/>
  <c r="X13" i="8"/>
  <c r="T13" i="8" s="1"/>
  <c r="Y13" i="8" s="1"/>
  <c r="Z13" i="8" s="1"/>
  <c r="X11" i="8"/>
  <c r="T11" i="8" s="1"/>
  <c r="Y11" i="8" s="1"/>
  <c r="Z11" i="8" s="1"/>
  <c r="G79" i="7"/>
  <c r="AB18" i="8" l="1"/>
  <c r="C101" i="3"/>
  <c r="C100" i="3"/>
  <c r="C99" i="3"/>
  <c r="C98" i="3"/>
  <c r="C97" i="3"/>
  <c r="C93" i="3"/>
  <c r="C92" i="3"/>
  <c r="C91" i="3"/>
  <c r="C90" i="3"/>
  <c r="C89" i="3"/>
  <c r="C88" i="3"/>
  <c r="C87" i="3"/>
  <c r="C86" i="3"/>
  <c r="C85" i="3"/>
  <c r="C84" i="3"/>
  <c r="C83" i="3"/>
  <c r="C79" i="3"/>
  <c r="C76" i="3"/>
  <c r="C75" i="3"/>
  <c r="C73" i="3"/>
  <c r="C72" i="3"/>
  <c r="C71" i="3"/>
  <c r="C69" i="3"/>
  <c r="C68" i="3"/>
  <c r="C67" i="3"/>
  <c r="C66" i="3"/>
  <c r="C65" i="3"/>
  <c r="C64" i="3"/>
  <c r="C63" i="3"/>
  <c r="C62" i="3"/>
  <c r="C304" i="1"/>
  <c r="C330" i="1"/>
  <c r="B680" i="5"/>
  <c r="C680" i="5"/>
  <c r="E680" i="5" s="1"/>
  <c r="C329" i="1"/>
  <c r="C297" i="1"/>
  <c r="C308" i="1"/>
  <c r="C298" i="1"/>
  <c r="G78" i="7" l="1"/>
  <c r="C296" i="1" l="1"/>
  <c r="B676" i="5" l="1"/>
  <c r="C676" i="5"/>
  <c r="B672" i="5"/>
  <c r="C672" i="5"/>
  <c r="E672" i="5" s="1"/>
  <c r="C328" i="1"/>
  <c r="C327" i="1"/>
  <c r="C326" i="1"/>
  <c r="C321" i="1"/>
  <c r="E676" i="5" l="1"/>
  <c r="G74" i="7"/>
  <c r="F77" i="7" l="1"/>
  <c r="F75" i="7"/>
  <c r="E73" i="7" l="1"/>
  <c r="F73" i="7"/>
  <c r="G73" i="7"/>
  <c r="C289" i="1"/>
  <c r="C292" i="1"/>
  <c r="C316" i="1" l="1"/>
  <c r="C320" i="1"/>
  <c r="C315" i="1"/>
  <c r="C314" i="1"/>
  <c r="C312" i="1"/>
  <c r="C311" i="1"/>
  <c r="X70" i="7"/>
  <c r="Y70" i="7"/>
  <c r="Z70" i="7" s="1"/>
  <c r="H70" i="7"/>
  <c r="X66" i="7"/>
  <c r="Y66" i="7"/>
  <c r="Z66" i="7" s="1"/>
  <c r="H66" i="7"/>
  <c r="X56" i="7"/>
  <c r="Y56" i="7"/>
  <c r="Z56" i="7" s="1"/>
  <c r="H56" i="7"/>
  <c r="H57" i="7"/>
  <c r="B668" i="5"/>
  <c r="C668" i="5"/>
  <c r="E668" i="5" l="1"/>
  <c r="F71" i="7"/>
  <c r="H112" i="4" l="1"/>
  <c r="H113" i="4"/>
  <c r="H114" i="4"/>
  <c r="H115" i="4"/>
  <c r="H116" i="4"/>
  <c r="H117" i="4"/>
  <c r="H118" i="4"/>
  <c r="H119" i="4"/>
  <c r="H120" i="4"/>
  <c r="H121" i="4"/>
  <c r="H122" i="4"/>
  <c r="P77" i="7"/>
  <c r="P76" i="7"/>
  <c r="P75" i="7"/>
  <c r="B663" i="5"/>
  <c r="E663" i="5" s="1"/>
  <c r="C663" i="5"/>
  <c r="G62" i="7" l="1"/>
  <c r="B660" i="5"/>
  <c r="C660" i="5"/>
  <c r="E660" i="5" s="1"/>
  <c r="F63" i="7" l="1"/>
  <c r="B655" i="5"/>
  <c r="C655" i="5"/>
  <c r="E655" i="5" s="1"/>
  <c r="G60" i="7"/>
  <c r="C283" i="1" l="1"/>
  <c r="C277" i="1"/>
  <c r="F61" i="7"/>
  <c r="C246" i="1"/>
  <c r="J246" i="1" s="1"/>
  <c r="C257" i="1"/>
  <c r="C256" i="1"/>
  <c r="C310" i="1"/>
  <c r="B650" i="5"/>
  <c r="C650" i="5"/>
  <c r="G55" i="7"/>
  <c r="E650" i="5" l="1"/>
  <c r="P71" i="7"/>
  <c r="P67" i="7"/>
  <c r="X67" i="7" s="1"/>
  <c r="B644" i="5" l="1"/>
  <c r="C644" i="5"/>
  <c r="E644" i="5" l="1"/>
  <c r="F58" i="7"/>
  <c r="F59" i="7"/>
  <c r="C309" i="1"/>
  <c r="C301" i="1"/>
  <c r="C300" i="1"/>
  <c r="G54" i="7"/>
  <c r="F47" i="7"/>
  <c r="C269" i="1"/>
  <c r="C294" i="1" l="1"/>
  <c r="C293" i="1"/>
  <c r="C291" i="1"/>
  <c r="C288" i="1"/>
  <c r="C287" i="1"/>
  <c r="C286" i="1"/>
  <c r="X38" i="7"/>
  <c r="Y38" i="7"/>
  <c r="Z38" i="7" s="1"/>
  <c r="H38" i="7"/>
  <c r="P63" i="7" l="1"/>
  <c r="C290" i="1"/>
  <c r="C284" i="1"/>
  <c r="F52" i="7"/>
  <c r="F49" i="7"/>
  <c r="H179" i="6"/>
  <c r="H180" i="6"/>
  <c r="X34" i="8" l="1"/>
  <c r="T34" i="8" s="1"/>
  <c r="Y34" i="8" s="1"/>
  <c r="Z34" i="8" s="1"/>
  <c r="H34" i="8"/>
  <c r="U33" i="8"/>
  <c r="S33" i="8"/>
  <c r="H33" i="8"/>
  <c r="U32" i="8"/>
  <c r="S32" i="8"/>
  <c r="H32" i="8"/>
  <c r="X31" i="8"/>
  <c r="T31" i="8" s="1"/>
  <c r="Y31" i="8" s="1"/>
  <c r="Z31" i="8" s="1"/>
  <c r="H31" i="8"/>
  <c r="U30" i="8"/>
  <c r="S30" i="8"/>
  <c r="H30" i="8"/>
  <c r="U29" i="8"/>
  <c r="S29" i="8"/>
  <c r="H29" i="8"/>
  <c r="X28" i="8"/>
  <c r="T28" i="8" s="1"/>
  <c r="Y28" i="8" s="1"/>
  <c r="Z28" i="8" s="1"/>
  <c r="H28" i="8"/>
  <c r="U27" i="8"/>
  <c r="S27" i="8"/>
  <c r="R27" i="8"/>
  <c r="H27" i="8"/>
  <c r="X26" i="8"/>
  <c r="T26" i="8" s="1"/>
  <c r="Y26" i="8" s="1"/>
  <c r="Z26" i="8" s="1"/>
  <c r="H26" i="8"/>
  <c r="X23" i="8"/>
  <c r="T23" i="8" s="1"/>
  <c r="Y23" i="8" s="1"/>
  <c r="Z23" i="8" s="1"/>
  <c r="H23" i="8"/>
  <c r="X22" i="8"/>
  <c r="T22" i="8" s="1"/>
  <c r="Y22" i="8" s="1"/>
  <c r="Z22" i="8" s="1"/>
  <c r="H22" i="8"/>
  <c r="U21" i="8"/>
  <c r="S21" i="8"/>
  <c r="R21" i="8"/>
  <c r="H21" i="8"/>
  <c r="U20" i="8"/>
  <c r="S20" i="8"/>
  <c r="R20" i="8"/>
  <c r="H20" i="8"/>
  <c r="X77" i="7"/>
  <c r="T77" i="7" s="1"/>
  <c r="Y77" i="7" s="1"/>
  <c r="Z77" i="7" s="1"/>
  <c r="X76" i="7"/>
  <c r="T76" i="7" s="1"/>
  <c r="Y76" i="7" s="1"/>
  <c r="Z76" i="7" s="1"/>
  <c r="H76" i="7"/>
  <c r="H77" i="7"/>
  <c r="H78" i="7"/>
  <c r="P61" i="7"/>
  <c r="P59" i="7"/>
  <c r="P58" i="7"/>
  <c r="G47" i="7"/>
  <c r="E47" i="7"/>
  <c r="X29" i="8" l="1"/>
  <c r="T29" i="8" s="1"/>
  <c r="Y29" i="8" s="1"/>
  <c r="Z29" i="8" s="1"/>
  <c r="X30" i="8"/>
  <c r="T30" i="8" s="1"/>
  <c r="Y30" i="8" s="1"/>
  <c r="Z30" i="8" s="1"/>
  <c r="X33" i="8"/>
  <c r="T33" i="8" s="1"/>
  <c r="Y33" i="8" s="1"/>
  <c r="Z33" i="8" s="1"/>
  <c r="X20" i="8"/>
  <c r="T20" i="8" s="1"/>
  <c r="Y20" i="8" s="1"/>
  <c r="Z20" i="8" s="1"/>
  <c r="X21" i="8"/>
  <c r="T21" i="8" s="1"/>
  <c r="Y21" i="8" s="1"/>
  <c r="Z21" i="8" s="1"/>
  <c r="X27" i="8"/>
  <c r="T27" i="8" s="1"/>
  <c r="Y27" i="8" s="1"/>
  <c r="Z27" i="8" s="1"/>
  <c r="X32" i="8"/>
  <c r="T32" i="8" s="1"/>
  <c r="Y32" i="8" s="1"/>
  <c r="Z32" i="8" s="1"/>
  <c r="C272" i="1"/>
  <c r="C271" i="1"/>
  <c r="F48" i="7" l="1"/>
  <c r="X57" i="7" l="1"/>
  <c r="Y57" i="7"/>
  <c r="Z57" i="7" s="1"/>
  <c r="X41" i="7"/>
  <c r="Y41" i="7"/>
  <c r="Z41" i="7" s="1"/>
  <c r="X42" i="7"/>
  <c r="Y42" i="7"/>
  <c r="Z42" i="7" s="1"/>
  <c r="X43" i="7"/>
  <c r="Y43" i="7"/>
  <c r="Z43" i="7" s="1"/>
  <c r="X44" i="7"/>
  <c r="Y44" i="7"/>
  <c r="Z44" i="7" s="1"/>
  <c r="X45" i="7"/>
  <c r="Y45" i="7"/>
  <c r="Z45" i="7" s="1"/>
  <c r="H41" i="7"/>
  <c r="H42" i="7"/>
  <c r="H43" i="7"/>
  <c r="H44" i="7"/>
  <c r="H45" i="7"/>
  <c r="C280" i="1"/>
  <c r="C261" i="1"/>
  <c r="G40" i="7"/>
  <c r="F46" i="7" l="1"/>
  <c r="B638" i="5" l="1"/>
  <c r="C638" i="5"/>
  <c r="U79" i="7"/>
  <c r="S79" i="7"/>
  <c r="R79" i="7"/>
  <c r="H79" i="7"/>
  <c r="U78" i="7"/>
  <c r="S78" i="7"/>
  <c r="R78" i="7"/>
  <c r="X75" i="7"/>
  <c r="T75" i="7" s="1"/>
  <c r="Y75" i="7" s="1"/>
  <c r="Z75" i="7" s="1"/>
  <c r="H75" i="7"/>
  <c r="U74" i="7"/>
  <c r="S74" i="7"/>
  <c r="R74" i="7"/>
  <c r="Q74" i="7"/>
  <c r="H74" i="7"/>
  <c r="U73" i="7"/>
  <c r="S73" i="7"/>
  <c r="R73" i="7"/>
  <c r="H73" i="7"/>
  <c r="G37" i="7"/>
  <c r="C259" i="1"/>
  <c r="E638" i="5" l="1"/>
  <c r="X79" i="7"/>
  <c r="T79" i="7" s="1"/>
  <c r="Y79" i="7" s="1"/>
  <c r="Z79" i="7" s="1"/>
  <c r="X73" i="7"/>
  <c r="T73" i="7" s="1"/>
  <c r="Y73" i="7" s="1"/>
  <c r="Z73" i="7" s="1"/>
  <c r="X78" i="7"/>
  <c r="T78" i="7" s="1"/>
  <c r="Y78" i="7" s="1"/>
  <c r="Z78" i="7" s="1"/>
  <c r="X74" i="7"/>
  <c r="T74" i="7" s="1"/>
  <c r="Y74" i="7" s="1"/>
  <c r="Z74" i="7" s="1"/>
  <c r="F39" i="7"/>
  <c r="P52" i="7"/>
  <c r="G34" i="7" l="1"/>
  <c r="P49" i="7" l="1"/>
  <c r="F36" i="7"/>
  <c r="F35" i="7"/>
  <c r="C279" i="1" l="1"/>
  <c r="C278" i="1"/>
  <c r="C276" i="1"/>
  <c r="C275" i="1"/>
  <c r="C274" i="1"/>
  <c r="C253" i="1"/>
  <c r="H174" i="6"/>
  <c r="H175" i="6"/>
  <c r="H176" i="6"/>
  <c r="X71" i="7"/>
  <c r="T71" i="7" s="1"/>
  <c r="Y71" i="7" s="1"/>
  <c r="Z71" i="7" s="1"/>
  <c r="H71" i="7"/>
  <c r="U69" i="7"/>
  <c r="S69" i="7"/>
  <c r="R69" i="7"/>
  <c r="H69" i="7"/>
  <c r="U68" i="7"/>
  <c r="S68" i="7"/>
  <c r="R68" i="7"/>
  <c r="H68" i="7"/>
  <c r="T67" i="7"/>
  <c r="Y67" i="7" s="1"/>
  <c r="Z67" i="7" s="1"/>
  <c r="H67" i="7"/>
  <c r="U65" i="7"/>
  <c r="S65" i="7"/>
  <c r="R65" i="7"/>
  <c r="H65" i="7"/>
  <c r="U64" i="7"/>
  <c r="S64" i="7"/>
  <c r="R64" i="7"/>
  <c r="H64" i="7"/>
  <c r="H63" i="7"/>
  <c r="U62" i="7"/>
  <c r="S62" i="7"/>
  <c r="R62" i="7"/>
  <c r="H62" i="7"/>
  <c r="X61" i="7"/>
  <c r="T61" i="7" s="1"/>
  <c r="Y61" i="7" s="1"/>
  <c r="Z61" i="7" s="1"/>
  <c r="H61" i="7"/>
  <c r="U60" i="7"/>
  <c r="S60" i="7"/>
  <c r="R60" i="7"/>
  <c r="H60" i="7"/>
  <c r="H59" i="7"/>
  <c r="X58" i="7"/>
  <c r="T58" i="7" s="1"/>
  <c r="Y58" i="7" s="1"/>
  <c r="Z58" i="7" s="1"/>
  <c r="H58" i="7"/>
  <c r="U55" i="7"/>
  <c r="S55" i="7"/>
  <c r="R55" i="7"/>
  <c r="Q55" i="7"/>
  <c r="H55" i="7"/>
  <c r="U54" i="7"/>
  <c r="S54" i="7"/>
  <c r="R54" i="7"/>
  <c r="H54" i="7"/>
  <c r="C270" i="1"/>
  <c r="C632" i="5"/>
  <c r="B632" i="5"/>
  <c r="B626" i="5"/>
  <c r="C626" i="5"/>
  <c r="E626" i="5" l="1"/>
  <c r="E632" i="5"/>
  <c r="X54" i="7"/>
  <c r="T54" i="7" s="1"/>
  <c r="Y54" i="7" s="1"/>
  <c r="Z54" i="7" s="1"/>
  <c r="X69" i="7"/>
  <c r="T69" i="7" s="1"/>
  <c r="Y69" i="7" s="1"/>
  <c r="Z69" i="7" s="1"/>
  <c r="X62" i="7"/>
  <c r="T62" i="7" s="1"/>
  <c r="Y62" i="7" s="1"/>
  <c r="Z62" i="7" s="1"/>
  <c r="X68" i="7"/>
  <c r="T68" i="7" s="1"/>
  <c r="Y68" i="7" s="1"/>
  <c r="Z68" i="7" s="1"/>
  <c r="X55" i="7"/>
  <c r="T55" i="7" s="1"/>
  <c r="Y55" i="7" s="1"/>
  <c r="Z55" i="7" s="1"/>
  <c r="X59" i="7"/>
  <c r="T59" i="7" s="1"/>
  <c r="Y59" i="7" s="1"/>
  <c r="Z59" i="7" s="1"/>
  <c r="X60" i="7"/>
  <c r="T60" i="7" s="1"/>
  <c r="Y60" i="7" s="1"/>
  <c r="Z60" i="7" s="1"/>
  <c r="X63" i="7"/>
  <c r="T63" i="7" s="1"/>
  <c r="Y63" i="7" s="1"/>
  <c r="Z63" i="7" s="1"/>
  <c r="X64" i="7"/>
  <c r="T64" i="7" s="1"/>
  <c r="Y64" i="7" s="1"/>
  <c r="Z64" i="7" s="1"/>
  <c r="X65" i="7"/>
  <c r="T65" i="7" s="1"/>
  <c r="Y65" i="7" s="1"/>
  <c r="Z65" i="7" s="1"/>
  <c r="P48" i="7"/>
  <c r="X49" i="7"/>
  <c r="T49" i="7" s="1"/>
  <c r="Y49" i="7" s="1"/>
  <c r="Z49" i="7" s="1"/>
  <c r="H49" i="7"/>
  <c r="P46" i="7"/>
  <c r="F30" i="7"/>
  <c r="C245" i="1"/>
  <c r="X46" i="7" l="1"/>
  <c r="B622" i="5"/>
  <c r="C622" i="5"/>
  <c r="B619" i="5"/>
  <c r="C619" i="5"/>
  <c r="P39" i="7"/>
  <c r="P36" i="7"/>
  <c r="X36" i="7" s="1"/>
  <c r="P35" i="7"/>
  <c r="X35" i="7" s="1"/>
  <c r="H36" i="7"/>
  <c r="E619" i="5" l="1"/>
  <c r="T36" i="7"/>
  <c r="Y36" i="7" s="1"/>
  <c r="Z36" i="7" s="1"/>
  <c r="E622" i="5"/>
  <c r="G21" i="7" l="1"/>
  <c r="X22" i="7" l="1"/>
  <c r="Y22" i="7"/>
  <c r="F22" i="7"/>
  <c r="H22" i="7" s="1"/>
  <c r="Z22" i="7" l="1"/>
  <c r="C267" i="1"/>
  <c r="C266" i="1"/>
  <c r="C265" i="1"/>
  <c r="H17" i="7"/>
  <c r="X17" i="7"/>
  <c r="Y17" i="7"/>
  <c r="Z17" i="7" s="1"/>
  <c r="X10" i="7"/>
  <c r="Y10" i="7"/>
  <c r="Z10" i="7" s="1"/>
  <c r="H10" i="7"/>
  <c r="B613" i="5" l="1"/>
  <c r="C613" i="5"/>
  <c r="B609" i="5"/>
  <c r="C609" i="5"/>
  <c r="E609" i="5" s="1"/>
  <c r="G16" i="7"/>
  <c r="C238" i="1"/>
  <c r="F23" i="7"/>
  <c r="H23" i="7" s="1"/>
  <c r="E613" i="5" l="1"/>
  <c r="P30" i="7" l="1"/>
  <c r="F19" i="7"/>
  <c r="F18" i="7"/>
  <c r="F20" i="7" l="1"/>
  <c r="C221" i="1"/>
  <c r="F27" i="7" l="1"/>
  <c r="C236" i="1" l="1"/>
  <c r="C231" i="1"/>
  <c r="C230" i="1"/>
  <c r="H169" i="6"/>
  <c r="H170" i="6"/>
  <c r="H171" i="6"/>
  <c r="H172" i="6"/>
  <c r="C239" i="1"/>
  <c r="C599" i="5" l="1"/>
  <c r="B599" i="5"/>
  <c r="E599" i="5" l="1"/>
  <c r="C260" i="1"/>
  <c r="C255" i="1"/>
  <c r="C252" i="1"/>
  <c r="H173" i="6"/>
  <c r="H177" i="6"/>
  <c r="H178" i="6"/>
  <c r="H181" i="6"/>
  <c r="H182" i="6"/>
  <c r="P27" i="7" l="1"/>
  <c r="P23" i="7"/>
  <c r="X23" i="7" s="1"/>
  <c r="F12" i="7" l="1"/>
  <c r="F11" i="7"/>
  <c r="X31" i="7" l="1"/>
  <c r="Y31" i="7"/>
  <c r="Z31" i="7" s="1"/>
  <c r="X26" i="7"/>
  <c r="Y26" i="7"/>
  <c r="Z26" i="7" s="1"/>
  <c r="H26" i="7"/>
  <c r="H27" i="7"/>
  <c r="H28" i="7"/>
  <c r="H29" i="7"/>
  <c r="H30" i="7"/>
  <c r="H31" i="7"/>
  <c r="P20" i="7"/>
  <c r="P19" i="7"/>
  <c r="P18" i="7"/>
  <c r="X52" i="7"/>
  <c r="T52" i="7" s="1"/>
  <c r="Y52" i="7" s="1"/>
  <c r="Z52" i="7" s="1"/>
  <c r="H52" i="7"/>
  <c r="U51" i="7"/>
  <c r="S51" i="7"/>
  <c r="R51" i="7"/>
  <c r="H51" i="7"/>
  <c r="U50" i="7"/>
  <c r="S50" i="7"/>
  <c r="R50" i="7"/>
  <c r="H50" i="7"/>
  <c r="X48" i="7"/>
  <c r="T48" i="7" s="1"/>
  <c r="Y48" i="7" s="1"/>
  <c r="Z48" i="7" s="1"/>
  <c r="H48" i="7"/>
  <c r="U47" i="7"/>
  <c r="S47" i="7"/>
  <c r="R47" i="7"/>
  <c r="H47" i="7"/>
  <c r="T46" i="7"/>
  <c r="Y46" i="7" s="1"/>
  <c r="Z46" i="7" s="1"/>
  <c r="H46" i="7"/>
  <c r="U40" i="7"/>
  <c r="S40" i="7"/>
  <c r="R40" i="7"/>
  <c r="H40" i="7"/>
  <c r="X39" i="7"/>
  <c r="T39" i="7" s="1"/>
  <c r="Y39" i="7" s="1"/>
  <c r="Z39" i="7" s="1"/>
  <c r="H39" i="7"/>
  <c r="U37" i="7"/>
  <c r="S37" i="7"/>
  <c r="R37" i="7"/>
  <c r="H37" i="7"/>
  <c r="T35" i="7"/>
  <c r="Y35" i="7" s="1"/>
  <c r="Z35" i="7" s="1"/>
  <c r="H35" i="7"/>
  <c r="U34" i="7"/>
  <c r="S34" i="7"/>
  <c r="R34" i="7"/>
  <c r="Q34" i="7"/>
  <c r="H34" i="7"/>
  <c r="U33" i="7"/>
  <c r="S33" i="7"/>
  <c r="R33" i="7"/>
  <c r="H33" i="7"/>
  <c r="X50" i="7" l="1"/>
  <c r="T50" i="7" s="1"/>
  <c r="Y50" i="7" s="1"/>
  <c r="Z50" i="7" s="1"/>
  <c r="X51" i="7"/>
  <c r="T51" i="7" s="1"/>
  <c r="Y51" i="7" s="1"/>
  <c r="Z51" i="7" s="1"/>
  <c r="X47" i="7"/>
  <c r="T47" i="7" s="1"/>
  <c r="Y47" i="7" s="1"/>
  <c r="Z47" i="7" s="1"/>
  <c r="X33" i="7"/>
  <c r="T33" i="7" s="1"/>
  <c r="Y33" i="7" s="1"/>
  <c r="Z33" i="7" s="1"/>
  <c r="X34" i="7"/>
  <c r="T34" i="7" s="1"/>
  <c r="Y34" i="7" s="1"/>
  <c r="Z34" i="7" s="1"/>
  <c r="X40" i="7"/>
  <c r="T40" i="7" s="1"/>
  <c r="Y40" i="7" s="1"/>
  <c r="Z40" i="7" s="1"/>
  <c r="X37" i="7"/>
  <c r="T37" i="7" s="1"/>
  <c r="Y37" i="7" s="1"/>
  <c r="Z37" i="7" s="1"/>
  <c r="C46" i="3" l="1"/>
  <c r="C45" i="3"/>
  <c r="C44" i="3"/>
  <c r="C43" i="3"/>
  <c r="C42" i="3"/>
  <c r="C37" i="3"/>
  <c r="C36" i="3"/>
  <c r="C35" i="3"/>
  <c r="C34" i="3"/>
  <c r="C33" i="3"/>
  <c r="C31" i="3"/>
  <c r="C28" i="3"/>
  <c r="C27" i="3"/>
  <c r="C26" i="3"/>
  <c r="C25" i="3"/>
  <c r="C24" i="3"/>
  <c r="C22" i="3"/>
  <c r="C21" i="3"/>
  <c r="C16" i="3"/>
  <c r="C15" i="3"/>
  <c r="C14" i="3"/>
  <c r="C13" i="3"/>
  <c r="C11" i="3"/>
  <c r="C10" i="3"/>
  <c r="C9" i="3"/>
  <c r="C8" i="3"/>
  <c r="C7" i="3"/>
  <c r="C6" i="3"/>
  <c r="C5" i="3"/>
  <c r="B592" i="5"/>
  <c r="C592" i="5"/>
  <c r="E592" i="5" s="1"/>
  <c r="F7" i="7"/>
  <c r="H7" i="7" s="1"/>
  <c r="P12" i="7"/>
  <c r="H12" i="7"/>
  <c r="P11" i="7"/>
  <c r="X11" i="7" s="1"/>
  <c r="T11" i="7" s="1"/>
  <c r="Y11" i="7" s="1"/>
  <c r="Z11" i="7" s="1"/>
  <c r="H11" i="7"/>
  <c r="U9" i="7"/>
  <c r="S9" i="7"/>
  <c r="R9" i="7"/>
  <c r="H9" i="7"/>
  <c r="Y8" i="7"/>
  <c r="Z8" i="7" s="1"/>
  <c r="X8" i="7"/>
  <c r="H8" i="7"/>
  <c r="P7" i="7"/>
  <c r="X7" i="7" s="1"/>
  <c r="U6" i="7"/>
  <c r="S6" i="7"/>
  <c r="R6" i="7"/>
  <c r="H6" i="7"/>
  <c r="U5" i="7"/>
  <c r="S5" i="7"/>
  <c r="R5" i="7"/>
  <c r="H5" i="7"/>
  <c r="P4" i="7"/>
  <c r="F4" i="7"/>
  <c r="H4" i="7" s="1"/>
  <c r="X30" i="7"/>
  <c r="T30" i="7" s="1"/>
  <c r="Y30" i="7" s="1"/>
  <c r="Z30" i="7" s="1"/>
  <c r="U29" i="7"/>
  <c r="S29" i="7"/>
  <c r="R29" i="7"/>
  <c r="U28" i="7"/>
  <c r="S28" i="7"/>
  <c r="R28" i="7"/>
  <c r="X27" i="7"/>
  <c r="T27" i="7" s="1"/>
  <c r="Y27" i="7" s="1"/>
  <c r="Z27" i="7" s="1"/>
  <c r="U25" i="7"/>
  <c r="S25" i="7"/>
  <c r="R25" i="7"/>
  <c r="H25" i="7"/>
  <c r="U24" i="7"/>
  <c r="S24" i="7"/>
  <c r="R24" i="7"/>
  <c r="H24" i="7"/>
  <c r="U21" i="7"/>
  <c r="S21" i="7"/>
  <c r="R21" i="7"/>
  <c r="H21" i="7"/>
  <c r="U16" i="7"/>
  <c r="S16" i="7"/>
  <c r="R16" i="7"/>
  <c r="H16" i="7"/>
  <c r="H20" i="7"/>
  <c r="X19" i="7"/>
  <c r="T19" i="7" s="1"/>
  <c r="Y19" i="7" s="1"/>
  <c r="Z19" i="7" s="1"/>
  <c r="H19" i="7"/>
  <c r="H18" i="7"/>
  <c r="U15" i="7"/>
  <c r="S15" i="7"/>
  <c r="R15" i="7"/>
  <c r="H15" i="7"/>
  <c r="U14" i="7"/>
  <c r="S14" i="7"/>
  <c r="R14" i="7"/>
  <c r="H14" i="7"/>
  <c r="X95" i="2"/>
  <c r="Y95" i="2"/>
  <c r="Z95" i="2" s="1"/>
  <c r="H95" i="2"/>
  <c r="C251" i="1"/>
  <c r="G94" i="2"/>
  <c r="C248" i="1"/>
  <c r="C249" i="1"/>
  <c r="X4" i="7" l="1"/>
  <c r="T4" i="7" s="1"/>
  <c r="Y4" i="7" s="1"/>
  <c r="Z4" i="7" s="1"/>
  <c r="X29" i="7"/>
  <c r="T29" i="7" s="1"/>
  <c r="Y29" i="7" s="1"/>
  <c r="Z29" i="7" s="1"/>
  <c r="T7" i="7"/>
  <c r="Y7" i="7" s="1"/>
  <c r="Z7" i="7" s="1"/>
  <c r="X15" i="7"/>
  <c r="T15" i="7" s="1"/>
  <c r="Y15" i="7" s="1"/>
  <c r="Z15" i="7" s="1"/>
  <c r="X28" i="7"/>
  <c r="T28" i="7" s="1"/>
  <c r="Y28" i="7" s="1"/>
  <c r="Z28" i="7" s="1"/>
  <c r="X5" i="7"/>
  <c r="T5" i="7" s="1"/>
  <c r="Y5" i="7" s="1"/>
  <c r="Z5" i="7" s="1"/>
  <c r="X6" i="7"/>
  <c r="T6" i="7" s="1"/>
  <c r="Y6" i="7" s="1"/>
  <c r="Z6" i="7" s="1"/>
  <c r="X9" i="7"/>
  <c r="T9" i="7" s="1"/>
  <c r="Y9" i="7" s="1"/>
  <c r="Z9" i="7" s="1"/>
  <c r="X12" i="7"/>
  <c r="T12" i="7" s="1"/>
  <c r="Y12" i="7" s="1"/>
  <c r="Z12" i="7" s="1"/>
  <c r="X20" i="7"/>
  <c r="T20" i="7" s="1"/>
  <c r="Y20" i="7" s="1"/>
  <c r="Z20" i="7" s="1"/>
  <c r="X24" i="7"/>
  <c r="T24" i="7" s="1"/>
  <c r="Y24" i="7" s="1"/>
  <c r="Z24" i="7" s="1"/>
  <c r="X25" i="7"/>
  <c r="T25" i="7" s="1"/>
  <c r="Y25" i="7" s="1"/>
  <c r="Z25" i="7" s="1"/>
  <c r="X21" i="7"/>
  <c r="T21" i="7" s="1"/>
  <c r="Y21" i="7" s="1"/>
  <c r="Z21" i="7" s="1"/>
  <c r="X14" i="7"/>
  <c r="T14" i="7" s="1"/>
  <c r="Y14" i="7" s="1"/>
  <c r="Z14" i="7" s="1"/>
  <c r="X18" i="7"/>
  <c r="T18" i="7" s="1"/>
  <c r="Y18" i="7" s="1"/>
  <c r="Z18" i="7" s="1"/>
  <c r="X16" i="7"/>
  <c r="T16" i="7" s="1"/>
  <c r="Y16" i="7" s="1"/>
  <c r="Z16" i="7" s="1"/>
  <c r="T23" i="7"/>
  <c r="Y23" i="7" s="1"/>
  <c r="Z23" i="7" s="1"/>
  <c r="C219" i="1" l="1"/>
  <c r="C247" i="1" l="1"/>
  <c r="C220" i="1"/>
  <c r="G92" i="2" l="1"/>
  <c r="B586" i="5" l="1"/>
  <c r="C586" i="5"/>
  <c r="F93" i="2"/>
  <c r="G87" i="2"/>
  <c r="E586" i="5" l="1"/>
  <c r="F90" i="2"/>
  <c r="F89" i="2"/>
  <c r="F91" i="2"/>
  <c r="C203" i="1"/>
  <c r="F87" i="2"/>
  <c r="E87" i="2"/>
  <c r="C237" i="1"/>
  <c r="H85" i="2" l="1"/>
  <c r="X85" i="2"/>
  <c r="Y85" i="2"/>
  <c r="Z85" i="2" s="1"/>
  <c r="C235" i="1"/>
  <c r="C234" i="1"/>
  <c r="C226" i="1"/>
  <c r="C225" i="1"/>
  <c r="C224" i="1"/>
  <c r="C223" i="1"/>
  <c r="C222" i="1"/>
  <c r="C213" i="1"/>
  <c r="C212" i="1"/>
  <c r="X65" i="2"/>
  <c r="Y65" i="2"/>
  <c r="Z65" i="2" s="1"/>
  <c r="X66" i="2"/>
  <c r="Y66" i="2"/>
  <c r="Z66" i="2" s="1"/>
  <c r="X67" i="2"/>
  <c r="Y67" i="2"/>
  <c r="Z67" i="2" s="1"/>
  <c r="X68" i="2"/>
  <c r="Y68" i="2"/>
  <c r="Z68" i="2" s="1"/>
  <c r="X69" i="2"/>
  <c r="Y69" i="2"/>
  <c r="Z69" i="2" s="1"/>
  <c r="X70" i="2"/>
  <c r="Y70" i="2"/>
  <c r="Z70" i="2" s="1"/>
  <c r="H65" i="2"/>
  <c r="H66" i="2"/>
  <c r="H67" i="2"/>
  <c r="H68" i="2"/>
  <c r="H69" i="2"/>
  <c r="H70" i="2"/>
  <c r="G58" i="2"/>
  <c r="F84" i="2" l="1"/>
  <c r="C211" i="1" l="1"/>
  <c r="C214" i="1"/>
  <c r="C205" i="1"/>
  <c r="C204" i="1"/>
  <c r="P91" i="2"/>
  <c r="P93" i="2"/>
  <c r="C228" i="1" l="1"/>
  <c r="F81" i="2"/>
  <c r="P90" i="2" l="1"/>
  <c r="P89" i="2"/>
  <c r="F78" i="2"/>
  <c r="C574" i="5"/>
  <c r="B574" i="5"/>
  <c r="C182" i="1"/>
  <c r="G74" i="2"/>
  <c r="E574" i="5" l="1"/>
  <c r="P84" i="2"/>
  <c r="F76" i="2"/>
  <c r="F75" i="2"/>
  <c r="C196" i="1"/>
  <c r="G64" i="2"/>
  <c r="E64" i="2"/>
  <c r="F64" i="2"/>
  <c r="C206" i="1" l="1"/>
  <c r="B562" i="5"/>
  <c r="C562" i="5"/>
  <c r="E562" i="5" s="1"/>
  <c r="F73" i="2" l="1"/>
  <c r="C189" i="1"/>
  <c r="X60" i="2"/>
  <c r="Y60" i="2"/>
  <c r="F60" i="2"/>
  <c r="H60" i="2" s="1"/>
  <c r="Z60" i="2" l="1"/>
  <c r="F71" i="2"/>
  <c r="F72" i="2"/>
  <c r="C175" i="1"/>
  <c r="C186" i="1" l="1"/>
  <c r="C183" i="1"/>
  <c r="P81" i="2"/>
  <c r="B558" i="5"/>
  <c r="C558" i="5"/>
  <c r="C209" i="1"/>
  <c r="C208" i="1"/>
  <c r="X59" i="2"/>
  <c r="Y59" i="2"/>
  <c r="Z59" i="2" s="1"/>
  <c r="H59" i="2"/>
  <c r="X58" i="2"/>
  <c r="Y58" i="2"/>
  <c r="Z58" i="2" s="1"/>
  <c r="H58" i="2"/>
  <c r="E558" i="5" l="1"/>
  <c r="P76" i="2" l="1"/>
  <c r="P78" i="2"/>
  <c r="C207" i="1" l="1"/>
  <c r="F57" i="2"/>
  <c r="P72" i="2" l="1"/>
  <c r="P71" i="2"/>
  <c r="P73" i="2"/>
  <c r="C192" i="1" l="1"/>
  <c r="F52" i="2"/>
  <c r="G51" i="2"/>
  <c r="B554" i="5" l="1"/>
  <c r="C554" i="5"/>
  <c r="C201" i="1"/>
  <c r="C200" i="1"/>
  <c r="C199" i="1"/>
  <c r="C198" i="1"/>
  <c r="C174" i="1"/>
  <c r="G49" i="2"/>
  <c r="E554" i="5" l="1"/>
  <c r="C191" i="1"/>
  <c r="C190" i="1"/>
  <c r="C188" i="1"/>
  <c r="C187" i="1"/>
  <c r="C184" i="1"/>
  <c r="C181" i="1"/>
  <c r="C180" i="1"/>
  <c r="C179" i="1"/>
  <c r="C178" i="1"/>
  <c r="F46" i="2" l="1"/>
  <c r="H46" i="2" s="1"/>
  <c r="X46" i="2"/>
  <c r="Y46" i="2"/>
  <c r="X34" i="2"/>
  <c r="Y34" i="2"/>
  <c r="Z34" i="2" s="1"/>
  <c r="H34" i="2"/>
  <c r="Z46" i="2" l="1"/>
  <c r="H102" i="4"/>
  <c r="H103" i="4"/>
  <c r="H104" i="4"/>
  <c r="H105" i="4"/>
  <c r="H106" i="4"/>
  <c r="H107" i="4"/>
  <c r="H108" i="4"/>
  <c r="H109" i="4"/>
  <c r="H110" i="4"/>
  <c r="H111" i="4"/>
  <c r="C158" i="1" l="1"/>
  <c r="X73" i="2" l="1"/>
  <c r="T73" i="2" s="1"/>
  <c r="Y73" i="2" s="1"/>
  <c r="Z73" i="2" s="1"/>
  <c r="H73" i="2"/>
  <c r="G45" i="2"/>
  <c r="P57" i="2" l="1"/>
  <c r="F48" i="2"/>
  <c r="F47" i="2"/>
  <c r="E43" i="2"/>
  <c r="F43" i="2"/>
  <c r="G43" i="2"/>
  <c r="Q43" i="2"/>
  <c r="C167" i="1" l="1"/>
  <c r="C185" i="1"/>
  <c r="C170" i="1"/>
  <c r="E35" i="2" l="1"/>
  <c r="F35" i="2"/>
  <c r="G35" i="2"/>
  <c r="Q35" i="2"/>
  <c r="P52" i="2"/>
  <c r="C550" i="5"/>
  <c r="B550" i="5"/>
  <c r="F41" i="2"/>
  <c r="C142" i="1"/>
  <c r="E550" i="5" l="1"/>
  <c r="H35" i="2"/>
  <c r="C162" i="1"/>
  <c r="C161" i="1"/>
  <c r="P38" i="2" l="1"/>
  <c r="F37" i="2"/>
  <c r="F38" i="2"/>
  <c r="F33" i="2"/>
  <c r="P50" i="2"/>
  <c r="P47" i="2"/>
  <c r="G32" i="2"/>
  <c r="P48" i="2" l="1"/>
  <c r="X90" i="2" l="1"/>
  <c r="T90" i="2" s="1"/>
  <c r="Y90" i="2" s="1"/>
  <c r="Z90" i="2" s="1"/>
  <c r="H90" i="2"/>
  <c r="G28" i="2"/>
  <c r="H31" i="2"/>
  <c r="C154" i="1"/>
  <c r="C543" i="5" l="1"/>
  <c r="B543" i="5"/>
  <c r="P41" i="2"/>
  <c r="E543" i="5" l="1"/>
  <c r="G21" i="2"/>
  <c r="F29" i="2"/>
  <c r="C145" i="1"/>
  <c r="X31" i="2"/>
  <c r="Y31" i="2"/>
  <c r="Z31" i="2" s="1"/>
  <c r="U94" i="2" l="1"/>
  <c r="S94" i="2"/>
  <c r="R94" i="2"/>
  <c r="H94" i="2"/>
  <c r="X93" i="2"/>
  <c r="T93" i="2" s="1"/>
  <c r="Y93" i="2" s="1"/>
  <c r="Z93" i="2" s="1"/>
  <c r="H93" i="2"/>
  <c r="U92" i="2"/>
  <c r="S92" i="2"/>
  <c r="R92" i="2"/>
  <c r="H92" i="2"/>
  <c r="X91" i="2"/>
  <c r="T91" i="2" s="1"/>
  <c r="Y91" i="2" s="1"/>
  <c r="Z91" i="2" s="1"/>
  <c r="H91" i="2"/>
  <c r="X89" i="2"/>
  <c r="T89" i="2" s="1"/>
  <c r="Y89" i="2" s="1"/>
  <c r="Z89" i="2" s="1"/>
  <c r="H89" i="2"/>
  <c r="H88" i="2"/>
  <c r="R88" i="2"/>
  <c r="U87" i="2"/>
  <c r="S87" i="2"/>
  <c r="R87" i="2"/>
  <c r="H87" i="2"/>
  <c r="S88" i="2" l="1"/>
  <c r="X87" i="2"/>
  <c r="T87" i="2" s="1"/>
  <c r="Y87" i="2" s="1"/>
  <c r="Z87" i="2" s="1"/>
  <c r="X92" i="2"/>
  <c r="T92" i="2" s="1"/>
  <c r="Y92" i="2" s="1"/>
  <c r="Z92" i="2" s="1"/>
  <c r="U88" i="2"/>
  <c r="X94" i="2"/>
  <c r="T94" i="2" s="1"/>
  <c r="Y94" i="2" s="1"/>
  <c r="Z94" i="2" s="1"/>
  <c r="C169" i="1"/>
  <c r="C168" i="1"/>
  <c r="C166" i="1"/>
  <c r="C165" i="1"/>
  <c r="C160" i="1"/>
  <c r="C159" i="1"/>
  <c r="X23" i="2"/>
  <c r="Y23" i="2"/>
  <c r="Z23" i="2" s="1"/>
  <c r="H23" i="2"/>
  <c r="X88" i="2" l="1"/>
  <c r="T88" i="2" s="1"/>
  <c r="Y88" i="2" s="1"/>
  <c r="Z88" i="2" s="1"/>
  <c r="X84" i="2"/>
  <c r="T84" i="2" s="1"/>
  <c r="Y84" i="2" s="1"/>
  <c r="Z84" i="2" s="1"/>
  <c r="H84" i="2"/>
  <c r="U83" i="2"/>
  <c r="S83" i="2"/>
  <c r="R83" i="2"/>
  <c r="H83" i="2"/>
  <c r="H82" i="2"/>
  <c r="X81" i="2"/>
  <c r="T81" i="2" s="1"/>
  <c r="Y81" i="2" s="1"/>
  <c r="Z81" i="2" s="1"/>
  <c r="H81" i="2"/>
  <c r="U80" i="2"/>
  <c r="S80" i="2"/>
  <c r="R80" i="2"/>
  <c r="H80" i="2"/>
  <c r="U79" i="2"/>
  <c r="S79" i="2"/>
  <c r="R79" i="2"/>
  <c r="H79" i="2"/>
  <c r="X78" i="2"/>
  <c r="T78" i="2" s="1"/>
  <c r="Y78" i="2" s="1"/>
  <c r="Z78" i="2" s="1"/>
  <c r="H78" i="2"/>
  <c r="U77" i="2"/>
  <c r="S77" i="2"/>
  <c r="R77" i="2"/>
  <c r="H77" i="2"/>
  <c r="X76" i="2"/>
  <c r="T76" i="2" s="1"/>
  <c r="Y76" i="2" s="1"/>
  <c r="Z76" i="2" s="1"/>
  <c r="H76" i="2"/>
  <c r="U74" i="2"/>
  <c r="S74" i="2"/>
  <c r="R74" i="2"/>
  <c r="H74" i="2"/>
  <c r="X72" i="2"/>
  <c r="T72" i="2" s="1"/>
  <c r="Y72" i="2" s="1"/>
  <c r="Z72" i="2" s="1"/>
  <c r="H72" i="2"/>
  <c r="X71" i="2"/>
  <c r="T71" i="2" s="1"/>
  <c r="Y71" i="2" s="1"/>
  <c r="Z71" i="2" s="1"/>
  <c r="H71" i="2"/>
  <c r="Q64" i="2"/>
  <c r="H64" i="2"/>
  <c r="U64" i="2"/>
  <c r="U63" i="2"/>
  <c r="S63" i="2"/>
  <c r="R63" i="2"/>
  <c r="H63" i="2"/>
  <c r="U62" i="2"/>
  <c r="S62" i="2"/>
  <c r="R62" i="2"/>
  <c r="H62" i="2"/>
  <c r="X25" i="2"/>
  <c r="Y25" i="2"/>
  <c r="Z25" i="2" s="1"/>
  <c r="X30" i="2"/>
  <c r="Y30" i="2"/>
  <c r="Z30" i="2" s="1"/>
  <c r="H25" i="2"/>
  <c r="H30" i="2"/>
  <c r="X80" i="2" l="1"/>
  <c r="T80" i="2" s="1"/>
  <c r="Y80" i="2" s="1"/>
  <c r="Z80" i="2" s="1"/>
  <c r="R64" i="2"/>
  <c r="X77" i="2"/>
  <c r="T77" i="2" s="1"/>
  <c r="Y77" i="2" s="1"/>
  <c r="Z77" i="2" s="1"/>
  <c r="X79" i="2"/>
  <c r="T79" i="2" s="1"/>
  <c r="Y79" i="2" s="1"/>
  <c r="Z79" i="2" s="1"/>
  <c r="S64" i="2"/>
  <c r="X82" i="2"/>
  <c r="Y82" i="2" s="1"/>
  <c r="Z82" i="2" s="1"/>
  <c r="X83" i="2"/>
  <c r="T83" i="2" s="1"/>
  <c r="Y83" i="2" s="1"/>
  <c r="Z83" i="2" s="1"/>
  <c r="X62" i="2"/>
  <c r="T62" i="2" s="1"/>
  <c r="Y62" i="2" s="1"/>
  <c r="Z62" i="2" s="1"/>
  <c r="X63" i="2"/>
  <c r="T63" i="2" s="1"/>
  <c r="Y63" i="2" s="1"/>
  <c r="Z63" i="2" s="1"/>
  <c r="X74" i="2"/>
  <c r="T74" i="2" s="1"/>
  <c r="Y74" i="2" s="1"/>
  <c r="Z74" i="2" s="1"/>
  <c r="F27" i="2"/>
  <c r="F26" i="2"/>
  <c r="C134" i="1"/>
  <c r="C133" i="1"/>
  <c r="C144" i="1"/>
  <c r="C141" i="1"/>
  <c r="X64" i="2" l="1"/>
  <c r="T64" i="2" s="1"/>
  <c r="Y64" i="2" s="1"/>
  <c r="Z64" i="2" s="1"/>
  <c r="B537" i="5"/>
  <c r="C537" i="5"/>
  <c r="E537" i="5" s="1"/>
  <c r="B526" i="5"/>
  <c r="C526" i="5"/>
  <c r="E526" i="5" s="1"/>
  <c r="X24" i="2" l="1"/>
  <c r="Y24" i="2"/>
  <c r="Z24" i="2" s="1"/>
  <c r="H24" i="2"/>
  <c r="P37" i="2" l="1"/>
  <c r="P33" i="2"/>
  <c r="B522" i="5"/>
  <c r="C522" i="5"/>
  <c r="E522" i="5" l="1"/>
  <c r="C151" i="1"/>
  <c r="C150" i="1"/>
  <c r="F14" i="2"/>
  <c r="P14" i="2"/>
  <c r="P17" i="2"/>
  <c r="F17" i="2"/>
  <c r="P29" i="2" l="1"/>
  <c r="P26" i="2"/>
  <c r="G11" i="2" l="1"/>
  <c r="F11" i="2"/>
  <c r="E11" i="2"/>
  <c r="C126" i="1" l="1"/>
  <c r="H163" i="6" l="1"/>
  <c r="H164" i="6"/>
  <c r="H165" i="6"/>
  <c r="H166" i="6"/>
  <c r="H167" i="6"/>
  <c r="H168" i="6"/>
  <c r="P27" i="2" l="1"/>
  <c r="F6" i="2" l="1"/>
  <c r="F8" i="2" l="1"/>
  <c r="F7" i="2"/>
  <c r="F10" i="2"/>
  <c r="F9" i="2"/>
  <c r="X4" i="2" l="1"/>
  <c r="Y4" i="2"/>
  <c r="Z4" i="2" s="1"/>
  <c r="X5" i="2"/>
  <c r="Y5" i="2"/>
  <c r="Z5" i="2" s="1"/>
  <c r="H4" i="2"/>
  <c r="H5" i="2"/>
  <c r="C513" i="5"/>
  <c r="E513" i="5" s="1"/>
  <c r="B513" i="5"/>
  <c r="C501" i="5"/>
  <c r="B501" i="5"/>
  <c r="C493" i="5"/>
  <c r="B493" i="5"/>
  <c r="C484" i="5"/>
  <c r="B484" i="5"/>
  <c r="C467" i="5"/>
  <c r="E467" i="5" s="1"/>
  <c r="B467" i="5"/>
  <c r="C464" i="5"/>
  <c r="B464" i="5"/>
  <c r="C458" i="5"/>
  <c r="E458" i="5" s="1"/>
  <c r="B458" i="5"/>
  <c r="C454" i="5"/>
  <c r="E454" i="5" s="1"/>
  <c r="B454" i="5"/>
  <c r="C451" i="5"/>
  <c r="E451" i="5" s="1"/>
  <c r="B451" i="5"/>
  <c r="C444" i="5"/>
  <c r="E444" i="5" s="1"/>
  <c r="B444" i="5"/>
  <c r="C437" i="5"/>
  <c r="E437" i="5" s="1"/>
  <c r="B437" i="5"/>
  <c r="C432" i="5"/>
  <c r="E432" i="5" s="1"/>
  <c r="B432" i="5"/>
  <c r="C427" i="5"/>
  <c r="E427" i="5" s="1"/>
  <c r="B427" i="5"/>
  <c r="C416" i="5"/>
  <c r="E416" i="5" s="1"/>
  <c r="B416" i="5"/>
  <c r="C413" i="5"/>
  <c r="E413" i="5" s="1"/>
  <c r="B413" i="5"/>
  <c r="C404" i="5"/>
  <c r="E404" i="5" s="1"/>
  <c r="B404" i="5"/>
  <c r="C399" i="5"/>
  <c r="B399" i="5"/>
  <c r="C395" i="5"/>
  <c r="E395" i="5" s="1"/>
  <c r="B395" i="5"/>
  <c r="C385" i="5"/>
  <c r="E385" i="5" s="1"/>
  <c r="B385" i="5"/>
  <c r="C381" i="5"/>
  <c r="E381" i="5" s="1"/>
  <c r="B381" i="5"/>
  <c r="C366" i="5"/>
  <c r="B366" i="5"/>
  <c r="C362" i="5"/>
  <c r="E362" i="5" s="1"/>
  <c r="B362" i="5"/>
  <c r="C352" i="5"/>
  <c r="E352" i="5" s="1"/>
  <c r="B352" i="5"/>
  <c r="C345" i="5"/>
  <c r="E345" i="5" s="1"/>
  <c r="B345" i="5"/>
  <c r="C340" i="5"/>
  <c r="B340" i="5"/>
  <c r="C336" i="5"/>
  <c r="E336" i="5" s="1"/>
  <c r="B336" i="5"/>
  <c r="C331" i="5"/>
  <c r="E331" i="5" s="1"/>
  <c r="B331" i="5"/>
  <c r="C327" i="5"/>
  <c r="E327" i="5" s="1"/>
  <c r="B327" i="5"/>
  <c r="C323" i="5"/>
  <c r="B323" i="5"/>
  <c r="C319" i="5"/>
  <c r="E319" i="5" s="1"/>
  <c r="B319" i="5"/>
  <c r="C314" i="5"/>
  <c r="E314" i="5" s="1"/>
  <c r="B314" i="5"/>
  <c r="C310" i="5"/>
  <c r="E310" i="5" s="1"/>
  <c r="B310" i="5"/>
  <c r="C302" i="5"/>
  <c r="B302" i="5"/>
  <c r="C299" i="5"/>
  <c r="E299" i="5" s="1"/>
  <c r="B299" i="5"/>
  <c r="C287" i="5"/>
  <c r="E287" i="5" s="1"/>
  <c r="B287" i="5"/>
  <c r="C284" i="5"/>
  <c r="E284" i="5" s="1"/>
  <c r="B284" i="5"/>
  <c r="C281" i="5"/>
  <c r="B281" i="5"/>
  <c r="C277" i="5"/>
  <c r="B277" i="5"/>
  <c r="C273" i="5"/>
  <c r="B273" i="5"/>
  <c r="C267" i="5"/>
  <c r="B267" i="5"/>
  <c r="C261" i="5"/>
  <c r="B261" i="5"/>
  <c r="C251" i="5"/>
  <c r="B251" i="5"/>
  <c r="C247" i="5"/>
  <c r="B247" i="5"/>
  <c r="C244" i="5"/>
  <c r="B244" i="5"/>
  <c r="C236" i="5"/>
  <c r="B236" i="5"/>
  <c r="C233" i="5"/>
  <c r="B233" i="5"/>
  <c r="C226" i="5"/>
  <c r="B226" i="5"/>
  <c r="C223" i="5"/>
  <c r="B223" i="5"/>
  <c r="C219" i="5"/>
  <c r="B219" i="5"/>
  <c r="C210" i="5"/>
  <c r="B210" i="5"/>
  <c r="C203" i="5"/>
  <c r="B203" i="5"/>
  <c r="C199" i="5"/>
  <c r="B199" i="5"/>
  <c r="C188" i="5"/>
  <c r="B188" i="5"/>
  <c r="C185" i="5"/>
  <c r="B185" i="5"/>
  <c r="C179" i="5"/>
  <c r="B179" i="5"/>
  <c r="C166" i="5"/>
  <c r="B166" i="5"/>
  <c r="C163" i="5"/>
  <c r="B163" i="5"/>
  <c r="C160" i="5"/>
  <c r="B160" i="5"/>
  <c r="C155" i="5"/>
  <c r="B155" i="5"/>
  <c r="C141" i="5"/>
  <c r="B141" i="5"/>
  <c r="C137" i="5"/>
  <c r="B137" i="5"/>
  <c r="C131" i="5"/>
  <c r="B131" i="5"/>
  <c r="C123" i="5"/>
  <c r="B123" i="5"/>
  <c r="C119" i="5"/>
  <c r="B119" i="5"/>
  <c r="C114" i="5"/>
  <c r="B114" i="5"/>
  <c r="C105" i="5"/>
  <c r="B105" i="5"/>
  <c r="C101" i="5"/>
  <c r="B101" i="5"/>
  <c r="C95" i="5"/>
  <c r="B95" i="5"/>
  <c r="C90" i="5"/>
  <c r="B90" i="5"/>
  <c r="C78" i="5"/>
  <c r="B78" i="5"/>
  <c r="C72" i="5"/>
  <c r="B72" i="5"/>
  <c r="C65" i="5"/>
  <c r="B65" i="5"/>
  <c r="C61" i="5"/>
  <c r="B61" i="5"/>
  <c r="C50" i="5"/>
  <c r="B50" i="5"/>
  <c r="C47" i="5"/>
  <c r="B47" i="5"/>
  <c r="C44" i="5"/>
  <c r="B44" i="5"/>
  <c r="C35" i="5"/>
  <c r="B35" i="5"/>
  <c r="C31" i="5"/>
  <c r="B31" i="5"/>
  <c r="C28" i="5"/>
  <c r="B28" i="5"/>
  <c r="C24" i="5"/>
  <c r="B24" i="5"/>
  <c r="C19" i="5"/>
  <c r="B19" i="5"/>
  <c r="C13" i="5"/>
  <c r="B13" i="5"/>
  <c r="H101" i="4"/>
  <c r="H100" i="4"/>
  <c r="H99" i="4"/>
  <c r="H98" i="4"/>
  <c r="H97" i="4"/>
  <c r="H96" i="4"/>
  <c r="H95" i="4"/>
  <c r="H94" i="4"/>
  <c r="H93" i="4"/>
  <c r="H92" i="4"/>
  <c r="H91" i="4"/>
  <c r="H90" i="4"/>
  <c r="H89" i="4"/>
  <c r="H88" i="4"/>
  <c r="H87" i="4"/>
  <c r="H86" i="4"/>
  <c r="H85" i="4"/>
  <c r="H84" i="4"/>
  <c r="H83" i="4"/>
  <c r="H82" i="4"/>
  <c r="H81" i="4"/>
  <c r="H80" i="4"/>
  <c r="H79" i="4"/>
  <c r="H78" i="4"/>
  <c r="H77" i="4"/>
  <c r="H76" i="4"/>
  <c r="H75" i="4"/>
  <c r="H74" i="4"/>
  <c r="H73" i="4"/>
  <c r="H72" i="4"/>
  <c r="H71" i="4"/>
  <c r="H70" i="4"/>
  <c r="H69" i="4"/>
  <c r="H68" i="4"/>
  <c r="H67" i="4"/>
  <c r="H66" i="4"/>
  <c r="H65" i="4"/>
  <c r="H64" i="4"/>
  <c r="H63" i="4"/>
  <c r="H62" i="4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I5" i="4" s="1"/>
  <c r="H162" i="6"/>
  <c r="H161" i="6"/>
  <c r="H160" i="6"/>
  <c r="H159" i="6"/>
  <c r="H158" i="6"/>
  <c r="H157" i="6"/>
  <c r="H156" i="6"/>
  <c r="H155" i="6"/>
  <c r="H154" i="6"/>
  <c r="H153" i="6"/>
  <c r="H152" i="6"/>
  <c r="H151" i="6"/>
  <c r="H150" i="6"/>
  <c r="H149" i="6"/>
  <c r="H148" i="6"/>
  <c r="H147" i="6"/>
  <c r="H146" i="6"/>
  <c r="H145" i="6"/>
  <c r="H144" i="6"/>
  <c r="H143" i="6"/>
  <c r="H142" i="6"/>
  <c r="H141" i="6"/>
  <c r="H140" i="6"/>
  <c r="H139" i="6"/>
  <c r="H138" i="6"/>
  <c r="H137" i="6"/>
  <c r="H136" i="6"/>
  <c r="H135" i="6"/>
  <c r="H134" i="6"/>
  <c r="H133" i="6"/>
  <c r="H132" i="6"/>
  <c r="H131" i="6"/>
  <c r="H130" i="6"/>
  <c r="H129" i="6"/>
  <c r="H128" i="6"/>
  <c r="H127" i="6"/>
  <c r="H126" i="6"/>
  <c r="H125" i="6"/>
  <c r="H124" i="6"/>
  <c r="H123" i="6"/>
  <c r="H122" i="6"/>
  <c r="H121" i="6"/>
  <c r="H120" i="6"/>
  <c r="H119" i="6"/>
  <c r="H118" i="6"/>
  <c r="H117" i="6"/>
  <c r="H116" i="6"/>
  <c r="H115" i="6"/>
  <c r="H114" i="6"/>
  <c r="H113" i="6"/>
  <c r="H112" i="6"/>
  <c r="H111" i="6"/>
  <c r="H110" i="6"/>
  <c r="H109" i="6"/>
  <c r="H108" i="6"/>
  <c r="H107" i="6"/>
  <c r="H106" i="6"/>
  <c r="H105" i="6"/>
  <c r="H104" i="6"/>
  <c r="H103" i="6"/>
  <c r="H102" i="6"/>
  <c r="H101" i="6"/>
  <c r="H100" i="6"/>
  <c r="H99" i="6"/>
  <c r="H98" i="6"/>
  <c r="H97" i="6"/>
  <c r="H96" i="6"/>
  <c r="H95" i="6"/>
  <c r="H94" i="6"/>
  <c r="H93" i="6"/>
  <c r="H92" i="6"/>
  <c r="H91" i="6"/>
  <c r="H90" i="6"/>
  <c r="H89" i="6"/>
  <c r="H88" i="6"/>
  <c r="H87" i="6"/>
  <c r="H86" i="6"/>
  <c r="H85" i="6"/>
  <c r="H84" i="6"/>
  <c r="H83" i="6"/>
  <c r="H82" i="6"/>
  <c r="H81" i="6"/>
  <c r="H80" i="6"/>
  <c r="H79" i="6"/>
  <c r="H78" i="6"/>
  <c r="H77" i="6"/>
  <c r="H76" i="6"/>
  <c r="H75" i="6"/>
  <c r="H74" i="6"/>
  <c r="H73" i="6"/>
  <c r="H72" i="6"/>
  <c r="H71" i="6"/>
  <c r="H70" i="6"/>
  <c r="H69" i="6"/>
  <c r="H68" i="6"/>
  <c r="H67" i="6"/>
  <c r="H66" i="6"/>
  <c r="H65" i="6"/>
  <c r="H64" i="6"/>
  <c r="H63" i="6"/>
  <c r="H62" i="6"/>
  <c r="H61" i="6"/>
  <c r="H60" i="6"/>
  <c r="H59" i="6"/>
  <c r="H58" i="6"/>
  <c r="H57" i="6"/>
  <c r="H56" i="6"/>
  <c r="H55" i="6"/>
  <c r="H54" i="6"/>
  <c r="H53" i="6"/>
  <c r="H52" i="6"/>
  <c r="H51" i="6"/>
  <c r="H50" i="6"/>
  <c r="H49" i="6"/>
  <c r="H48" i="6"/>
  <c r="H47" i="6"/>
  <c r="H46" i="6"/>
  <c r="H45" i="6"/>
  <c r="H44" i="6"/>
  <c r="H43" i="6"/>
  <c r="H42" i="6"/>
  <c r="H41" i="6"/>
  <c r="F40" i="6"/>
  <c r="H40" i="6" s="1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I7" i="6" s="1"/>
  <c r="H6" i="6"/>
  <c r="H5" i="6"/>
  <c r="X75" i="2"/>
  <c r="T75" i="2" s="1"/>
  <c r="Y75" i="2" s="1"/>
  <c r="Z75" i="2" s="1"/>
  <c r="H75" i="2"/>
  <c r="U56" i="2"/>
  <c r="S56" i="2"/>
  <c r="R56" i="2"/>
  <c r="H56" i="2"/>
  <c r="U55" i="2"/>
  <c r="S55" i="2"/>
  <c r="R55" i="2"/>
  <c r="H55" i="2"/>
  <c r="X57" i="2"/>
  <c r="T57" i="2" s="1"/>
  <c r="Y57" i="2" s="1"/>
  <c r="Z57" i="2" s="1"/>
  <c r="H57" i="2"/>
  <c r="U54" i="2"/>
  <c r="S54" i="2"/>
  <c r="R54" i="2"/>
  <c r="H54" i="2"/>
  <c r="U53" i="2"/>
  <c r="S53" i="2"/>
  <c r="R53" i="2"/>
  <c r="H53" i="2"/>
  <c r="X52" i="2"/>
  <c r="T52" i="2" s="1"/>
  <c r="Y52" i="2" s="1"/>
  <c r="Z52" i="2" s="1"/>
  <c r="H52" i="2"/>
  <c r="U51" i="2"/>
  <c r="S51" i="2"/>
  <c r="R51" i="2"/>
  <c r="H51" i="2"/>
  <c r="X50" i="2"/>
  <c r="T50" i="2" s="1"/>
  <c r="Y50" i="2" s="1"/>
  <c r="Z50" i="2" s="1"/>
  <c r="H50" i="2"/>
  <c r="U49" i="2"/>
  <c r="S49" i="2"/>
  <c r="R49" i="2"/>
  <c r="H49" i="2"/>
  <c r="X48" i="2"/>
  <c r="T48" i="2" s="1"/>
  <c r="Y48" i="2" s="1"/>
  <c r="Z48" i="2" s="1"/>
  <c r="H48" i="2"/>
  <c r="X47" i="2"/>
  <c r="T47" i="2" s="1"/>
  <c r="Y47" i="2" s="1"/>
  <c r="Z47" i="2" s="1"/>
  <c r="H47" i="2"/>
  <c r="Q45" i="2"/>
  <c r="H45" i="2"/>
  <c r="R45" i="2"/>
  <c r="U44" i="2"/>
  <c r="S44" i="2"/>
  <c r="R44" i="2"/>
  <c r="H44" i="2"/>
  <c r="U43" i="2"/>
  <c r="S43" i="2"/>
  <c r="R43" i="2"/>
  <c r="H43" i="2"/>
  <c r="X41" i="2"/>
  <c r="T41" i="2" s="1"/>
  <c r="Y41" i="2" s="1"/>
  <c r="Z41" i="2" s="1"/>
  <c r="H41" i="2"/>
  <c r="U40" i="2"/>
  <c r="S40" i="2"/>
  <c r="R40" i="2"/>
  <c r="H40" i="2"/>
  <c r="U39" i="2"/>
  <c r="S39" i="2"/>
  <c r="R39" i="2"/>
  <c r="H39" i="2"/>
  <c r="X38" i="2"/>
  <c r="T38" i="2" s="1"/>
  <c r="Y38" i="2" s="1"/>
  <c r="Z38" i="2" s="1"/>
  <c r="H38" i="2"/>
  <c r="U36" i="2"/>
  <c r="S36" i="2"/>
  <c r="R36" i="2"/>
  <c r="H36" i="2"/>
  <c r="U35" i="2"/>
  <c r="S35" i="2"/>
  <c r="R35" i="2"/>
  <c r="X33" i="2"/>
  <c r="T33" i="2" s="1"/>
  <c r="Y33" i="2" s="1"/>
  <c r="Z33" i="2" s="1"/>
  <c r="H33" i="2"/>
  <c r="U32" i="2"/>
  <c r="S32" i="2"/>
  <c r="R32" i="2"/>
  <c r="H32" i="2"/>
  <c r="X29" i="2"/>
  <c r="T29" i="2" s="1"/>
  <c r="Y29" i="2" s="1"/>
  <c r="Z29" i="2" s="1"/>
  <c r="H29" i="2"/>
  <c r="U28" i="2"/>
  <c r="S28" i="2"/>
  <c r="R28" i="2"/>
  <c r="H28" i="2"/>
  <c r="X27" i="2"/>
  <c r="T27" i="2" s="1"/>
  <c r="Y27" i="2" s="1"/>
  <c r="Z27" i="2" s="1"/>
  <c r="H27" i="2"/>
  <c r="X37" i="2"/>
  <c r="T37" i="2" s="1"/>
  <c r="Y37" i="2" s="1"/>
  <c r="Z37" i="2" s="1"/>
  <c r="H37" i="2"/>
  <c r="X26" i="2"/>
  <c r="T26" i="2" s="1"/>
  <c r="Y26" i="2" s="1"/>
  <c r="Z26" i="2" s="1"/>
  <c r="H26" i="2"/>
  <c r="Y22" i="2"/>
  <c r="Z22" i="2" s="1"/>
  <c r="X22" i="2"/>
  <c r="H22" i="2"/>
  <c r="Q21" i="2"/>
  <c r="H21" i="2"/>
  <c r="E21" i="2"/>
  <c r="S21" i="2" s="1"/>
  <c r="U20" i="2"/>
  <c r="S20" i="2"/>
  <c r="R20" i="2"/>
  <c r="H20" i="2"/>
  <c r="U19" i="2"/>
  <c r="S19" i="2"/>
  <c r="R19" i="2"/>
  <c r="H19" i="2"/>
  <c r="X17" i="2"/>
  <c r="T17" i="2" s="1"/>
  <c r="Y17" i="2" s="1"/>
  <c r="Z17" i="2" s="1"/>
  <c r="H17" i="2"/>
  <c r="U16" i="2"/>
  <c r="S16" i="2"/>
  <c r="R16" i="2"/>
  <c r="H16" i="2"/>
  <c r="U15" i="2"/>
  <c r="S15" i="2"/>
  <c r="R15" i="2"/>
  <c r="H15" i="2"/>
  <c r="X14" i="2"/>
  <c r="T14" i="2" s="1"/>
  <c r="Y14" i="2" s="1"/>
  <c r="Z14" i="2" s="1"/>
  <c r="H14" i="2"/>
  <c r="U13" i="2"/>
  <c r="S13" i="2"/>
  <c r="R13" i="2"/>
  <c r="H13" i="2"/>
  <c r="U12" i="2"/>
  <c r="S12" i="2"/>
  <c r="R12" i="2"/>
  <c r="H12" i="2"/>
  <c r="U11" i="2"/>
  <c r="S11" i="2"/>
  <c r="R11" i="2"/>
  <c r="H11" i="2"/>
  <c r="X10" i="2"/>
  <c r="T10" i="2" s="1"/>
  <c r="Y10" i="2" s="1"/>
  <c r="Z10" i="2" s="1"/>
  <c r="H10" i="2"/>
  <c r="P9" i="2"/>
  <c r="X9" i="2" s="1"/>
  <c r="T9" i="2" s="1"/>
  <c r="H9" i="2"/>
  <c r="P8" i="2"/>
  <c r="H8" i="2"/>
  <c r="X7" i="2"/>
  <c r="T7" i="2" s="1"/>
  <c r="Y7" i="2" s="1"/>
  <c r="Z7" i="2" s="1"/>
  <c r="H7" i="2"/>
  <c r="P6" i="2"/>
  <c r="X6" i="2" s="1"/>
  <c r="T6" i="2" s="1"/>
  <c r="Y6" i="2" s="1"/>
  <c r="Z6" i="2" s="1"/>
  <c r="H6" i="2"/>
  <c r="C157" i="1"/>
  <c r="C156" i="1"/>
  <c r="C149" i="1"/>
  <c r="C148" i="1"/>
  <c r="C147" i="1"/>
  <c r="C146" i="1"/>
  <c r="C143" i="1"/>
  <c r="C140" i="1"/>
  <c r="C138" i="1"/>
  <c r="C137" i="1"/>
  <c r="C130" i="1"/>
  <c r="C129" i="1"/>
  <c r="C128" i="1"/>
  <c r="C127" i="1"/>
  <c r="C125" i="1"/>
  <c r="C124" i="1"/>
  <c r="C123" i="1"/>
  <c r="C117" i="1"/>
  <c r="C116" i="1"/>
  <c r="C115" i="1"/>
  <c r="C114" i="1"/>
  <c r="C113" i="1"/>
  <c r="C112" i="1"/>
  <c r="C111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4" i="1"/>
  <c r="C53" i="1"/>
  <c r="C52" i="1"/>
  <c r="C49" i="1"/>
  <c r="C48" i="1"/>
  <c r="C47" i="1"/>
  <c r="C46" i="1"/>
  <c r="C45" i="1"/>
  <c r="C44" i="1"/>
  <c r="C43" i="1"/>
  <c r="C42" i="1"/>
  <c r="C41" i="1"/>
  <c r="C40" i="1"/>
  <c r="C39" i="1"/>
  <c r="C38" i="1"/>
  <c r="C36" i="1"/>
  <c r="C35" i="1"/>
  <c r="C34" i="1"/>
  <c r="C33" i="1"/>
  <c r="C32" i="1"/>
  <c r="C31" i="1"/>
  <c r="C30" i="1"/>
  <c r="C27" i="1"/>
  <c r="C26" i="1"/>
  <c r="C25" i="1"/>
  <c r="C24" i="1"/>
  <c r="C23" i="1"/>
  <c r="C22" i="1"/>
  <c r="C21" i="1"/>
  <c r="C20" i="1"/>
  <c r="C19" i="1"/>
  <c r="C18" i="1"/>
  <c r="C17" i="1"/>
  <c r="C15" i="1"/>
  <c r="C14" i="1"/>
  <c r="C13" i="1"/>
  <c r="C12" i="1"/>
  <c r="C10" i="1"/>
  <c r="C9" i="1"/>
  <c r="C4" i="1"/>
  <c r="C3" i="1"/>
  <c r="E281" i="5" l="1"/>
  <c r="E251" i="5"/>
  <c r="E464" i="5"/>
  <c r="E484" i="5"/>
  <c r="E19" i="5"/>
  <c r="E28" i="5"/>
  <c r="E35" i="5"/>
  <c r="E61" i="5"/>
  <c r="E90" i="5"/>
  <c r="E101" i="5"/>
  <c r="E114" i="5"/>
  <c r="E123" i="5"/>
  <c r="E137" i="5"/>
  <c r="E155" i="5"/>
  <c r="E188" i="5"/>
  <c r="E203" i="5"/>
  <c r="E219" i="5"/>
  <c r="E236" i="5"/>
  <c r="E50" i="5"/>
  <c r="E247" i="5"/>
  <c r="E261" i="5"/>
  <c r="E273" i="5"/>
  <c r="E302" i="5"/>
  <c r="E323" i="5"/>
  <c r="E340" i="5"/>
  <c r="E366" i="5"/>
  <c r="E399" i="5"/>
  <c r="E13" i="5"/>
  <c r="E31" i="5"/>
  <c r="E65" i="5"/>
  <c r="E78" i="5"/>
  <c r="E95" i="5"/>
  <c r="E105" i="5"/>
  <c r="E131" i="5"/>
  <c r="E141" i="5"/>
  <c r="E160" i="5"/>
  <c r="E185" i="5"/>
  <c r="E210" i="5"/>
  <c r="E233" i="5"/>
  <c r="E267" i="5"/>
  <c r="E277" i="5"/>
  <c r="E501" i="5"/>
  <c r="X55" i="2"/>
  <c r="T55" i="2" s="1"/>
  <c r="Y55" i="2" s="1"/>
  <c r="Z55" i="2" s="1"/>
  <c r="X56" i="2"/>
  <c r="T56" i="2" s="1"/>
  <c r="Y56" i="2" s="1"/>
  <c r="Z56" i="2" s="1"/>
  <c r="I6" i="4"/>
  <c r="I7" i="4" s="1"/>
  <c r="I8" i="4" s="1"/>
  <c r="I9" i="4" s="1"/>
  <c r="I10" i="4" s="1"/>
  <c r="I11" i="4" s="1"/>
  <c r="I12" i="4" s="1"/>
  <c r="I13" i="4" s="1"/>
  <c r="I14" i="4" s="1"/>
  <c r="I15" i="4" s="1"/>
  <c r="I16" i="4" s="1"/>
  <c r="I17" i="4" s="1"/>
  <c r="I18" i="4" s="1"/>
  <c r="I19" i="4" s="1"/>
  <c r="I20" i="4" s="1"/>
  <c r="I21" i="4" s="1"/>
  <c r="I22" i="4" s="1"/>
  <c r="I23" i="4" s="1"/>
  <c r="I24" i="4" s="1"/>
  <c r="I25" i="4" s="1"/>
  <c r="I26" i="4" s="1"/>
  <c r="I27" i="4" s="1"/>
  <c r="I28" i="4" s="1"/>
  <c r="I29" i="4" s="1"/>
  <c r="I30" i="4" s="1"/>
  <c r="I31" i="4" s="1"/>
  <c r="I32" i="4" s="1"/>
  <c r="I33" i="4" s="1"/>
  <c r="I34" i="4" s="1"/>
  <c r="I35" i="4" s="1"/>
  <c r="I36" i="4" s="1"/>
  <c r="I37" i="4" s="1"/>
  <c r="I38" i="4" s="1"/>
  <c r="I39" i="4" s="1"/>
  <c r="I40" i="4" s="1"/>
  <c r="I41" i="4" s="1"/>
  <c r="I42" i="4" s="1"/>
  <c r="I43" i="4" s="1"/>
  <c r="I44" i="4" s="1"/>
  <c r="I45" i="4" s="1"/>
  <c r="I46" i="4" s="1"/>
  <c r="I47" i="4" s="1"/>
  <c r="I48" i="4" s="1"/>
  <c r="I49" i="4" s="1"/>
  <c r="I50" i="4" s="1"/>
  <c r="I51" i="4" s="1"/>
  <c r="I52" i="4" s="1"/>
  <c r="I53" i="4" s="1"/>
  <c r="I54" i="4" s="1"/>
  <c r="I55" i="4" s="1"/>
  <c r="I56" i="4" s="1"/>
  <c r="I57" i="4" s="1"/>
  <c r="I58" i="4" s="1"/>
  <c r="I59" i="4" s="1"/>
  <c r="I60" i="4" s="1"/>
  <c r="I61" i="4" s="1"/>
  <c r="I62" i="4" s="1"/>
  <c r="I63" i="4" s="1"/>
  <c r="I64" i="4" s="1"/>
  <c r="I65" i="4" s="1"/>
  <c r="I66" i="4" s="1"/>
  <c r="I67" i="4" s="1"/>
  <c r="I68" i="4" s="1"/>
  <c r="I69" i="4" s="1"/>
  <c r="I70" i="4" s="1"/>
  <c r="I71" i="4" s="1"/>
  <c r="I72" i="4" s="1"/>
  <c r="I73" i="4" s="1"/>
  <c r="I74" i="4" s="1"/>
  <c r="I75" i="4" s="1"/>
  <c r="I76" i="4" s="1"/>
  <c r="I77" i="4" s="1"/>
  <c r="I78" i="4" s="1"/>
  <c r="I79" i="4" s="1"/>
  <c r="I80" i="4" s="1"/>
  <c r="I81" i="4" s="1"/>
  <c r="I82" i="4" s="1"/>
  <c r="I83" i="4" s="1"/>
  <c r="I84" i="4" s="1"/>
  <c r="I85" i="4" s="1"/>
  <c r="I86" i="4" s="1"/>
  <c r="I87" i="4" s="1"/>
  <c r="I88" i="4" s="1"/>
  <c r="I89" i="4" s="1"/>
  <c r="I90" i="4" s="1"/>
  <c r="I91" i="4" s="1"/>
  <c r="I92" i="4" s="1"/>
  <c r="I93" i="4" s="1"/>
  <c r="I94" i="4" s="1"/>
  <c r="I95" i="4" s="1"/>
  <c r="I96" i="4" s="1"/>
  <c r="I97" i="4" s="1"/>
  <c r="I98" i="4" s="1"/>
  <c r="I99" i="4" s="1"/>
  <c r="I100" i="4" s="1"/>
  <c r="I101" i="4" s="1"/>
  <c r="I102" i="4" s="1"/>
  <c r="I103" i="4" s="1"/>
  <c r="I104" i="4" s="1"/>
  <c r="I105" i="4" s="1"/>
  <c r="I106" i="4" s="1"/>
  <c r="I107" i="4" s="1"/>
  <c r="I108" i="4" s="1"/>
  <c r="I109" i="4" s="1"/>
  <c r="I110" i="4" s="1"/>
  <c r="I111" i="4" s="1"/>
  <c r="I112" i="4" s="1"/>
  <c r="I113" i="4" s="1"/>
  <c r="I114" i="4" s="1"/>
  <c r="I115" i="4" s="1"/>
  <c r="I116" i="4" s="1"/>
  <c r="I117" i="4" s="1"/>
  <c r="I118" i="4" s="1"/>
  <c r="I119" i="4" s="1"/>
  <c r="I120" i="4" s="1"/>
  <c r="I121" i="4" s="1"/>
  <c r="I122" i="4" s="1"/>
  <c r="I123" i="4" s="1"/>
  <c r="I124" i="4" s="1"/>
  <c r="I125" i="4" s="1"/>
  <c r="I126" i="4" s="1"/>
  <c r="I127" i="4" s="1"/>
  <c r="I128" i="4" s="1"/>
  <c r="I129" i="4" s="1"/>
  <c r="I130" i="4" s="1"/>
  <c r="I131" i="4" s="1"/>
  <c r="I132" i="4" s="1"/>
  <c r="I133" i="4" s="1"/>
  <c r="I134" i="4" s="1"/>
  <c r="I135" i="4" s="1"/>
  <c r="I136" i="4" s="1"/>
  <c r="I137" i="4" s="1"/>
  <c r="I138" i="4" s="1"/>
  <c r="I139" i="4" s="1"/>
  <c r="I140" i="4" s="1"/>
  <c r="I141" i="4" s="1"/>
  <c r="I142" i="4" s="1"/>
  <c r="X35" i="2"/>
  <c r="T35" i="2" s="1"/>
  <c r="Y35" i="2" s="1"/>
  <c r="Z35" i="2" s="1"/>
  <c r="X36" i="2"/>
  <c r="T36" i="2" s="1"/>
  <c r="Y36" i="2" s="1"/>
  <c r="Z36" i="2" s="1"/>
  <c r="X43" i="2"/>
  <c r="T43" i="2" s="1"/>
  <c r="Y43" i="2" s="1"/>
  <c r="Z43" i="2" s="1"/>
  <c r="X44" i="2"/>
  <c r="T44" i="2" s="1"/>
  <c r="Y44" i="2" s="1"/>
  <c r="Z44" i="2" s="1"/>
  <c r="X11" i="2"/>
  <c r="T11" i="2" s="1"/>
  <c r="Y11" i="2" s="1"/>
  <c r="Z11" i="2" s="1"/>
  <c r="X12" i="2"/>
  <c r="T12" i="2" s="1"/>
  <c r="Y12" i="2" s="1"/>
  <c r="Z12" i="2" s="1"/>
  <c r="X13" i="2"/>
  <c r="T13" i="2" s="1"/>
  <c r="Y13" i="2" s="1"/>
  <c r="Z13" i="2" s="1"/>
  <c r="X20" i="2"/>
  <c r="T20" i="2" s="1"/>
  <c r="Y20" i="2" s="1"/>
  <c r="Z20" i="2" s="1"/>
  <c r="X15" i="2"/>
  <c r="T15" i="2" s="1"/>
  <c r="Y15" i="2" s="1"/>
  <c r="Z15" i="2" s="1"/>
  <c r="X16" i="2"/>
  <c r="T16" i="2" s="1"/>
  <c r="Y16" i="2" s="1"/>
  <c r="Z16" i="2" s="1"/>
  <c r="R21" i="2"/>
  <c r="X28" i="2"/>
  <c r="T28" i="2" s="1"/>
  <c r="Y28" i="2" s="1"/>
  <c r="Z28" i="2" s="1"/>
  <c r="X39" i="2"/>
  <c r="T39" i="2" s="1"/>
  <c r="Y39" i="2" s="1"/>
  <c r="Z39" i="2" s="1"/>
  <c r="X40" i="2"/>
  <c r="T40" i="2" s="1"/>
  <c r="Y40" i="2" s="1"/>
  <c r="Z40" i="2" s="1"/>
  <c r="X51" i="2"/>
  <c r="T51" i="2" s="1"/>
  <c r="Y51" i="2" s="1"/>
  <c r="Z51" i="2" s="1"/>
  <c r="Y9" i="2"/>
  <c r="Z9" i="2" s="1"/>
  <c r="E44" i="5"/>
  <c r="E244" i="5"/>
  <c r="E166" i="5"/>
  <c r="E226" i="5"/>
  <c r="E493" i="5"/>
  <c r="E47" i="5"/>
  <c r="E199" i="5"/>
  <c r="E24" i="5"/>
  <c r="E72" i="5"/>
  <c r="E119" i="5"/>
  <c r="E163" i="5"/>
  <c r="E179" i="5"/>
  <c r="E223" i="5"/>
  <c r="I8" i="6"/>
  <c r="I9" i="6" s="1"/>
  <c r="I10" i="6" s="1"/>
  <c r="I11" i="6" s="1"/>
  <c r="I12" i="6" s="1"/>
  <c r="I13" i="6" s="1"/>
  <c r="I14" i="6" s="1"/>
  <c r="I15" i="6" s="1"/>
  <c r="I16" i="6" s="1"/>
  <c r="I17" i="6" s="1"/>
  <c r="I18" i="6" s="1"/>
  <c r="I19" i="6" s="1"/>
  <c r="I20" i="6" s="1"/>
  <c r="I21" i="6" s="1"/>
  <c r="I22" i="6" s="1"/>
  <c r="I23" i="6" s="1"/>
  <c r="I24" i="6" s="1"/>
  <c r="I25" i="6" s="1"/>
  <c r="I26" i="6" s="1"/>
  <c r="I27" i="6" s="1"/>
  <c r="I28" i="6" s="1"/>
  <c r="I29" i="6" s="1"/>
  <c r="I30" i="6" s="1"/>
  <c r="I31" i="6" s="1"/>
  <c r="I32" i="6" s="1"/>
  <c r="I33" i="6" s="1"/>
  <c r="I34" i="6" s="1"/>
  <c r="I35" i="6" s="1"/>
  <c r="I36" i="6" s="1"/>
  <c r="I37" i="6" s="1"/>
  <c r="I38" i="6" s="1"/>
  <c r="I39" i="6" s="1"/>
  <c r="I40" i="6" s="1"/>
  <c r="I41" i="6" s="1"/>
  <c r="I42" i="6" s="1"/>
  <c r="I43" i="6" s="1"/>
  <c r="I44" i="6" s="1"/>
  <c r="I45" i="6" s="1"/>
  <c r="I46" i="6" s="1"/>
  <c r="I47" i="6" s="1"/>
  <c r="I48" i="6" s="1"/>
  <c r="I49" i="6" s="1"/>
  <c r="I50" i="6" s="1"/>
  <c r="I51" i="6" s="1"/>
  <c r="I52" i="6" s="1"/>
  <c r="I53" i="6" s="1"/>
  <c r="I54" i="6" s="1"/>
  <c r="I55" i="6" s="1"/>
  <c r="I56" i="6" s="1"/>
  <c r="I57" i="6" s="1"/>
  <c r="I58" i="6" s="1"/>
  <c r="I59" i="6" s="1"/>
  <c r="I60" i="6" s="1"/>
  <c r="I61" i="6" s="1"/>
  <c r="I62" i="6" s="1"/>
  <c r="I63" i="6" s="1"/>
  <c r="I64" i="6" s="1"/>
  <c r="I65" i="6" s="1"/>
  <c r="I66" i="6" s="1"/>
  <c r="I67" i="6" s="1"/>
  <c r="I68" i="6" s="1"/>
  <c r="I69" i="6" s="1"/>
  <c r="I70" i="6" s="1"/>
  <c r="I71" i="6" s="1"/>
  <c r="I72" i="6" s="1"/>
  <c r="I73" i="6" s="1"/>
  <c r="I74" i="6" s="1"/>
  <c r="I75" i="6" s="1"/>
  <c r="I76" i="6" s="1"/>
  <c r="I77" i="6" s="1"/>
  <c r="I78" i="6" s="1"/>
  <c r="I79" i="6" s="1"/>
  <c r="I80" i="6" s="1"/>
  <c r="I81" i="6" s="1"/>
  <c r="I82" i="6" s="1"/>
  <c r="I83" i="6" s="1"/>
  <c r="I84" i="6" s="1"/>
  <c r="I85" i="6" s="1"/>
  <c r="I86" i="6" s="1"/>
  <c r="I87" i="6" s="1"/>
  <c r="I88" i="6" s="1"/>
  <c r="I89" i="6" s="1"/>
  <c r="I90" i="6" s="1"/>
  <c r="I91" i="6" s="1"/>
  <c r="I92" i="6" s="1"/>
  <c r="I93" i="6" s="1"/>
  <c r="I94" i="6" s="1"/>
  <c r="I95" i="6" s="1"/>
  <c r="I96" i="6" s="1"/>
  <c r="I97" i="6" s="1"/>
  <c r="I98" i="6" s="1"/>
  <c r="I99" i="6" s="1"/>
  <c r="I100" i="6" s="1"/>
  <c r="I101" i="6" s="1"/>
  <c r="I102" i="6" s="1"/>
  <c r="I103" i="6" s="1"/>
  <c r="I104" i="6" s="1"/>
  <c r="I105" i="6" s="1"/>
  <c r="I106" i="6" s="1"/>
  <c r="I107" i="6" s="1"/>
  <c r="I108" i="6" s="1"/>
  <c r="I109" i="6" s="1"/>
  <c r="I110" i="6" s="1"/>
  <c r="I111" i="6" s="1"/>
  <c r="I112" i="6" s="1"/>
  <c r="I113" i="6" s="1"/>
  <c r="I114" i="6" s="1"/>
  <c r="I115" i="6" s="1"/>
  <c r="I116" i="6" s="1"/>
  <c r="I117" i="6" s="1"/>
  <c r="I118" i="6" s="1"/>
  <c r="I119" i="6" s="1"/>
  <c r="I120" i="6" s="1"/>
  <c r="I121" i="6" s="1"/>
  <c r="I122" i="6" s="1"/>
  <c r="I123" i="6" s="1"/>
  <c r="I124" i="6" s="1"/>
  <c r="I125" i="6" s="1"/>
  <c r="I126" i="6" s="1"/>
  <c r="I127" i="6" s="1"/>
  <c r="I128" i="6" s="1"/>
  <c r="I129" i="6" s="1"/>
  <c r="I130" i="6" s="1"/>
  <c r="I131" i="6" s="1"/>
  <c r="I132" i="6" s="1"/>
  <c r="I133" i="6" s="1"/>
  <c r="I134" i="6" s="1"/>
  <c r="I135" i="6" s="1"/>
  <c r="I136" i="6" s="1"/>
  <c r="I137" i="6" s="1"/>
  <c r="I138" i="6" s="1"/>
  <c r="I139" i="6" s="1"/>
  <c r="I140" i="6" s="1"/>
  <c r="I141" i="6" s="1"/>
  <c r="I142" i="6" s="1"/>
  <c r="I143" i="6" s="1"/>
  <c r="I144" i="6" s="1"/>
  <c r="I145" i="6" s="1"/>
  <c r="I146" i="6" s="1"/>
  <c r="I147" i="6" s="1"/>
  <c r="I148" i="6" s="1"/>
  <c r="I149" i="6" s="1"/>
  <c r="I150" i="6" s="1"/>
  <c r="I151" i="6" s="1"/>
  <c r="I152" i="6" s="1"/>
  <c r="I153" i="6" s="1"/>
  <c r="I154" i="6" s="1"/>
  <c r="I155" i="6" s="1"/>
  <c r="I156" i="6" s="1"/>
  <c r="I157" i="6" s="1"/>
  <c r="I158" i="6" s="1"/>
  <c r="I159" i="6" s="1"/>
  <c r="I160" i="6" s="1"/>
  <c r="I161" i="6" s="1"/>
  <c r="I162" i="6" s="1"/>
  <c r="I163" i="6" s="1"/>
  <c r="I164" i="6" s="1"/>
  <c r="I165" i="6" s="1"/>
  <c r="I166" i="6" s="1"/>
  <c r="I167" i="6" s="1"/>
  <c r="I168" i="6" s="1"/>
  <c r="I5" i="6"/>
  <c r="X19" i="2"/>
  <c r="T19" i="2" s="1"/>
  <c r="Y19" i="2" s="1"/>
  <c r="Z19" i="2" s="1"/>
  <c r="X53" i="2"/>
  <c r="T53" i="2" s="1"/>
  <c r="Y53" i="2" s="1"/>
  <c r="Z53" i="2" s="1"/>
  <c r="X54" i="2"/>
  <c r="T54" i="2" s="1"/>
  <c r="Y54" i="2" s="1"/>
  <c r="Z54" i="2" s="1"/>
  <c r="U21" i="2"/>
  <c r="X8" i="2"/>
  <c r="T8" i="2" s="1"/>
  <c r="Y8" i="2" s="1"/>
  <c r="Z8" i="2" s="1"/>
  <c r="X32" i="2"/>
  <c r="T32" i="2" s="1"/>
  <c r="Y32" i="2" s="1"/>
  <c r="Z32" i="2" s="1"/>
  <c r="U45" i="2"/>
  <c r="X49" i="2"/>
  <c r="T49" i="2" s="1"/>
  <c r="Y49" i="2" s="1"/>
  <c r="Z49" i="2" s="1"/>
  <c r="S45" i="2"/>
  <c r="I143" i="4" l="1"/>
  <c r="I144" i="4" s="1"/>
  <c r="I145" i="4" s="1"/>
  <c r="I146" i="4" s="1"/>
  <c r="I147" i="4" s="1"/>
  <c r="I148" i="4" s="1"/>
  <c r="I149" i="4" s="1"/>
  <c r="I150" i="4" s="1"/>
  <c r="I151" i="4" s="1"/>
  <c r="I152" i="4" s="1"/>
  <c r="I153" i="4" s="1"/>
  <c r="I154" i="4" s="1"/>
  <c r="I155" i="4" s="1"/>
  <c r="I156" i="4" s="1"/>
  <c r="I169" i="6"/>
  <c r="I170" i="6" s="1"/>
  <c r="I171" i="6" s="1"/>
  <c r="I172" i="6" s="1"/>
  <c r="I173" i="6" s="1"/>
  <c r="X21" i="2"/>
  <c r="T21" i="2" s="1"/>
  <c r="Y21" i="2" s="1"/>
  <c r="Z21" i="2" s="1"/>
  <c r="X45" i="2"/>
  <c r="T45" i="2" s="1"/>
  <c r="Y45" i="2" s="1"/>
  <c r="Z45" i="2" s="1"/>
  <c r="I174" i="6" l="1"/>
  <c r="I175" i="6" s="1"/>
  <c r="I176" i="6" s="1"/>
  <c r="I177" i="6" s="1"/>
  <c r="I178" i="6" s="1"/>
  <c r="I179" i="6" l="1"/>
  <c r="I180" i="6" s="1"/>
  <c r="I181" i="6" s="1"/>
  <c r="I182" i="6" s="1"/>
  <c r="I183" i="6" s="1"/>
  <c r="I184" i="6" s="1"/>
  <c r="I185" i="6" s="1"/>
  <c r="I186" i="6" s="1"/>
  <c r="I187" i="6" s="1"/>
  <c r="I188" i="6" s="1"/>
  <c r="I189" i="6" s="1"/>
  <c r="I190" i="6" s="1"/>
  <c r="I191" i="6" s="1"/>
  <c r="I192" i="6" s="1"/>
  <c r="I193" i="6" s="1"/>
  <c r="I194" i="6" s="1"/>
  <c r="I195" i="6" s="1"/>
  <c r="I196" i="6" s="1"/>
  <c r="I197" i="6" s="1"/>
  <c r="I198" i="6" s="1"/>
  <c r="I199" i="6" s="1"/>
  <c r="I200" i="6" s="1"/>
  <c r="I201" i="6" s="1"/>
  <c r="I202" i="6" l="1"/>
  <c r="I203" i="6" s="1"/>
  <c r="I204" i="6" s="1"/>
  <c r="I205" i="6" s="1"/>
  <c r="I206" i="6" s="1"/>
  <c r="I207" i="6" s="1"/>
  <c r="I208" i="6" s="1"/>
  <c r="I209" i="6" s="1"/>
  <c r="I210" i="6" s="1"/>
  <c r="I211" i="6" s="1"/>
  <c r="I212" i="6" s="1"/>
  <c r="I213" i="6" s="1"/>
  <c r="I214" i="6" s="1"/>
  <c r="I215" i="6" s="1"/>
  <c r="I216" i="6" s="1"/>
  <c r="I217" i="6" s="1"/>
  <c r="I218" i="6" s="1"/>
  <c r="I219" i="6" s="1"/>
  <c r="I220" i="6" s="1"/>
  <c r="I221" i="6" s="1"/>
  <c r="I222" i="6" s="1"/>
  <c r="I223" i="6" s="1"/>
  <c r="I224" i="6" s="1"/>
  <c r="I225" i="6" s="1"/>
  <c r="I226" i="6" s="1"/>
  <c r="I227" i="6" s="1"/>
  <c r="I228" i="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</author>
    <author>octavio-cic</author>
  </authors>
  <commentList>
    <comment ref="F1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1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1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1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1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11" authorId="1" shapeId="0" xr:uid="{00000000-0006-0000-0100-000006000000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12" authorId="0" shapeId="0" xr:uid="{00000000-0006-0000-0100-000007000000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12" authorId="0" shapeId="0" xr:uid="{00000000-0006-0000-0100-000008000000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12" authorId="0" shapeId="0" xr:uid="{00000000-0006-0000-0100-000009000000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12" authorId="0" shapeId="0" xr:uid="{00000000-0006-0000-0100-00000A000000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12" authorId="0" shapeId="0" xr:uid="{00000000-0006-0000-0100-00000B000000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12" authorId="1" shapeId="0" xr:uid="{00000000-0006-0000-0100-00000C000000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13" authorId="0" shapeId="0" xr:uid="{00000000-0006-0000-0100-00000D000000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13" authorId="0" shapeId="0" xr:uid="{00000000-0006-0000-0100-00000E000000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13" authorId="0" shapeId="0" xr:uid="{00000000-0006-0000-0100-00000F000000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13" authorId="0" shapeId="0" xr:uid="{00000000-0006-0000-0100-000010000000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13" authorId="0" shapeId="0" xr:uid="{00000000-0006-0000-0100-000011000000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13" authorId="1" shapeId="0" xr:uid="{00000000-0006-0000-0100-000012000000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15" authorId="0" shapeId="0" xr:uid="{00000000-0006-0000-0100-000013000000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15" authorId="0" shapeId="0" xr:uid="{00000000-0006-0000-0100-000014000000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15" authorId="0" shapeId="0" xr:uid="{00000000-0006-0000-0100-000015000000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15" authorId="0" shapeId="0" xr:uid="{00000000-0006-0000-0100-000016000000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15" authorId="0" shapeId="0" xr:uid="{00000000-0006-0000-0100-000017000000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15" authorId="1" shapeId="0" xr:uid="{00000000-0006-0000-0100-000018000000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16" authorId="0" shapeId="0" xr:uid="{00000000-0006-0000-0100-000019000000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16" authorId="0" shapeId="0" xr:uid="{00000000-0006-0000-0100-00001A000000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16" authorId="0" shapeId="0" xr:uid="{00000000-0006-0000-0100-00001B000000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16" authorId="0" shapeId="0" xr:uid="{00000000-0006-0000-0100-00001C000000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16" authorId="0" shapeId="0" xr:uid="{00000000-0006-0000-0100-00001D000000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16" authorId="1" shapeId="0" xr:uid="{00000000-0006-0000-0100-00001E000000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19" authorId="0" shapeId="0" xr:uid="{00000000-0006-0000-0100-00001F000000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19" authorId="0" shapeId="0" xr:uid="{00000000-0006-0000-0100-000020000000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19" authorId="0" shapeId="0" xr:uid="{00000000-0006-0000-0100-000021000000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19" authorId="0" shapeId="0" xr:uid="{00000000-0006-0000-0100-000022000000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19" authorId="0" shapeId="0" xr:uid="{00000000-0006-0000-0100-000023000000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19" authorId="1" shapeId="0" xr:uid="{00000000-0006-0000-0100-000024000000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20" authorId="0" shapeId="0" xr:uid="{00000000-0006-0000-0100-000025000000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20" authorId="0" shapeId="0" xr:uid="{00000000-0006-0000-0100-000026000000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20" authorId="0" shapeId="0" xr:uid="{00000000-0006-0000-0100-000027000000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20" authorId="0" shapeId="0" xr:uid="{00000000-0006-0000-0100-000028000000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20" authorId="0" shapeId="0" xr:uid="{00000000-0006-0000-0100-000029000000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20" authorId="1" shapeId="0" xr:uid="{00000000-0006-0000-0100-00002A000000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21" authorId="0" shapeId="0" xr:uid="{00000000-0006-0000-0100-00002B000000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21" authorId="0" shapeId="0" xr:uid="{00000000-0006-0000-0100-00002C000000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21" authorId="0" shapeId="0" xr:uid="{00000000-0006-0000-0100-00002D000000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21" authorId="0" shapeId="0" xr:uid="{00000000-0006-0000-0100-00002E000000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21" authorId="0" shapeId="0" xr:uid="{00000000-0006-0000-0100-00002F000000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21" authorId="1" shapeId="0" xr:uid="{00000000-0006-0000-0100-000030000000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28" authorId="0" shapeId="0" xr:uid="{00000000-0006-0000-0100-000031000000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28" authorId="0" shapeId="0" xr:uid="{00000000-0006-0000-0100-000032000000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28" authorId="0" shapeId="0" xr:uid="{00000000-0006-0000-0100-000033000000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28" authorId="0" shapeId="0" xr:uid="{00000000-0006-0000-0100-000034000000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28" authorId="0" shapeId="0" xr:uid="{00000000-0006-0000-0100-000035000000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28" authorId="1" shapeId="0" xr:uid="{00000000-0006-0000-0100-000036000000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32" authorId="0" shapeId="0" xr:uid="{00000000-0006-0000-0100-000037000000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32" authorId="0" shapeId="0" xr:uid="{00000000-0006-0000-0100-000038000000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32" authorId="0" shapeId="0" xr:uid="{00000000-0006-0000-0100-000039000000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32" authorId="0" shapeId="0" xr:uid="{00000000-0006-0000-0100-00003A000000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32" authorId="0" shapeId="0" xr:uid="{00000000-0006-0000-0100-00003B000000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32" authorId="1" shapeId="0" xr:uid="{00000000-0006-0000-0100-00003C000000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35" authorId="0" shapeId="0" xr:uid="{00000000-0006-0000-0100-00003D000000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35" authorId="0" shapeId="0" xr:uid="{00000000-0006-0000-0100-00003E000000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35" authorId="0" shapeId="0" xr:uid="{00000000-0006-0000-0100-00003F000000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35" authorId="0" shapeId="0" xr:uid="{00000000-0006-0000-0100-000040000000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35" authorId="0" shapeId="0" xr:uid="{00000000-0006-0000-0100-000041000000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35" authorId="1" shapeId="0" xr:uid="{00000000-0006-0000-0100-000042000000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36" authorId="0" shapeId="0" xr:uid="{00000000-0006-0000-0100-000043000000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36" authorId="0" shapeId="0" xr:uid="{00000000-0006-0000-0100-000044000000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36" authorId="0" shapeId="0" xr:uid="{00000000-0006-0000-0100-000045000000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36" authorId="0" shapeId="0" xr:uid="{00000000-0006-0000-0100-000046000000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36" authorId="0" shapeId="0" xr:uid="{00000000-0006-0000-0100-000047000000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36" authorId="1" shapeId="0" xr:uid="{00000000-0006-0000-0100-000048000000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39" authorId="0" shapeId="0" xr:uid="{00000000-0006-0000-0100-000049000000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39" authorId="0" shapeId="0" xr:uid="{00000000-0006-0000-0100-00004A000000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39" authorId="0" shapeId="0" xr:uid="{00000000-0006-0000-0100-00004B000000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39" authorId="0" shapeId="0" xr:uid="{00000000-0006-0000-0100-00004C000000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39" authorId="0" shapeId="0" xr:uid="{00000000-0006-0000-0100-00004D000000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39" authorId="1" shapeId="0" xr:uid="{00000000-0006-0000-0100-00004E000000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40" authorId="0" shapeId="0" xr:uid="{00000000-0006-0000-0100-00004F000000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40" authorId="0" shapeId="0" xr:uid="{00000000-0006-0000-0100-000050000000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40" authorId="0" shapeId="0" xr:uid="{00000000-0006-0000-0100-000051000000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40" authorId="0" shapeId="0" xr:uid="{00000000-0006-0000-0100-000052000000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40" authorId="0" shapeId="0" xr:uid="{00000000-0006-0000-0100-000053000000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40" authorId="1" shapeId="0" xr:uid="{00000000-0006-0000-0100-000054000000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43" authorId="0" shapeId="0" xr:uid="{00000000-0006-0000-0100-000055000000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43" authorId="0" shapeId="0" xr:uid="{00000000-0006-0000-0100-000056000000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43" authorId="0" shapeId="0" xr:uid="{00000000-0006-0000-0100-000057000000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43" authorId="0" shapeId="0" xr:uid="{00000000-0006-0000-0100-000058000000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43" authorId="0" shapeId="0" xr:uid="{00000000-0006-0000-0100-000059000000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43" authorId="1" shapeId="0" xr:uid="{00000000-0006-0000-0100-00005A000000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44" authorId="0" shapeId="0" xr:uid="{00000000-0006-0000-0100-00005B000000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44" authorId="0" shapeId="0" xr:uid="{00000000-0006-0000-0100-00005C000000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44" authorId="0" shapeId="0" xr:uid="{00000000-0006-0000-0100-00005D000000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44" authorId="0" shapeId="0" xr:uid="{00000000-0006-0000-0100-00005E000000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44" authorId="0" shapeId="0" xr:uid="{00000000-0006-0000-0100-00005F000000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44" authorId="1" shapeId="0" xr:uid="{00000000-0006-0000-0100-000060000000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45" authorId="0" shapeId="0" xr:uid="{00000000-0006-0000-0100-000061000000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45" authorId="0" shapeId="0" xr:uid="{00000000-0006-0000-0100-000062000000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45" authorId="0" shapeId="0" xr:uid="{00000000-0006-0000-0100-000063000000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45" authorId="0" shapeId="0" xr:uid="{00000000-0006-0000-0100-000064000000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45" authorId="0" shapeId="0" xr:uid="{00000000-0006-0000-0100-000065000000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45" authorId="1" shapeId="0" xr:uid="{00000000-0006-0000-0100-000066000000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49" authorId="0" shapeId="0" xr:uid="{00000000-0006-0000-0100-000067000000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49" authorId="0" shapeId="0" xr:uid="{00000000-0006-0000-0100-000068000000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49" authorId="0" shapeId="0" xr:uid="{00000000-0006-0000-0100-000069000000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49" authorId="0" shapeId="0" xr:uid="{00000000-0006-0000-0100-00006A000000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49" authorId="0" shapeId="0" xr:uid="{00000000-0006-0000-0100-00006B000000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49" authorId="1" shapeId="0" xr:uid="{00000000-0006-0000-0100-00006C000000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51" authorId="0" shapeId="0" xr:uid="{00000000-0006-0000-0100-00006D000000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51" authorId="0" shapeId="0" xr:uid="{00000000-0006-0000-0100-00006E000000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51" authorId="0" shapeId="0" xr:uid="{00000000-0006-0000-0100-00006F000000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51" authorId="0" shapeId="0" xr:uid="{00000000-0006-0000-0100-000070000000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51" authorId="0" shapeId="0" xr:uid="{00000000-0006-0000-0100-000071000000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51" authorId="1" shapeId="0" xr:uid="{00000000-0006-0000-0100-000072000000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53" authorId="0" shapeId="0" xr:uid="{00000000-0006-0000-0100-000073000000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53" authorId="0" shapeId="0" xr:uid="{00000000-0006-0000-0100-000074000000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53" authorId="0" shapeId="0" xr:uid="{00000000-0006-0000-0100-000075000000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53" authorId="0" shapeId="0" xr:uid="{00000000-0006-0000-0100-000076000000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53" authorId="0" shapeId="0" xr:uid="{00000000-0006-0000-0100-000077000000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53" authorId="1" shapeId="0" xr:uid="{00000000-0006-0000-0100-000078000000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54" authorId="0" shapeId="0" xr:uid="{00000000-0006-0000-0100-000079000000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54" authorId="0" shapeId="0" xr:uid="{00000000-0006-0000-0100-00007A000000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54" authorId="0" shapeId="0" xr:uid="{00000000-0006-0000-0100-00007B000000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54" authorId="0" shapeId="0" xr:uid="{00000000-0006-0000-0100-00007C000000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54" authorId="0" shapeId="0" xr:uid="{00000000-0006-0000-0100-00007D000000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54" authorId="1" shapeId="0" xr:uid="{00000000-0006-0000-0100-00007E000000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55" authorId="0" shapeId="0" xr:uid="{00000000-0006-0000-0100-00007F000000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55" authorId="0" shapeId="0" xr:uid="{00000000-0006-0000-0100-000080000000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55" authorId="0" shapeId="0" xr:uid="{00000000-0006-0000-0100-000081000000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55" authorId="0" shapeId="0" xr:uid="{00000000-0006-0000-0100-000082000000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55" authorId="0" shapeId="0" xr:uid="{00000000-0006-0000-0100-000083000000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55" authorId="1" shapeId="0" xr:uid="{00000000-0006-0000-0100-000084000000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56" authorId="0" shapeId="0" xr:uid="{00000000-0006-0000-0100-000085000000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56" authorId="0" shapeId="0" xr:uid="{00000000-0006-0000-0100-000086000000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56" authorId="0" shapeId="0" xr:uid="{00000000-0006-0000-0100-000087000000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56" authorId="0" shapeId="0" xr:uid="{00000000-0006-0000-0100-000088000000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56" authorId="0" shapeId="0" xr:uid="{00000000-0006-0000-0100-000089000000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56" authorId="1" shapeId="0" xr:uid="{00000000-0006-0000-0100-00008A000000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62" authorId="0" shapeId="0" xr:uid="{00000000-0006-0000-0100-00008B000000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62" authorId="0" shapeId="0" xr:uid="{00000000-0006-0000-0100-00008C000000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62" authorId="0" shapeId="0" xr:uid="{00000000-0006-0000-0100-00008D000000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62" authorId="0" shapeId="0" xr:uid="{00000000-0006-0000-0100-00008E000000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62" authorId="0" shapeId="0" xr:uid="{00000000-0006-0000-0100-00008F000000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62" authorId="1" shapeId="0" xr:uid="{00000000-0006-0000-0100-000090000000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63" authorId="0" shapeId="0" xr:uid="{00000000-0006-0000-0100-000091000000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63" authorId="0" shapeId="0" xr:uid="{00000000-0006-0000-0100-000092000000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63" authorId="0" shapeId="0" xr:uid="{00000000-0006-0000-0100-000093000000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63" authorId="0" shapeId="0" xr:uid="{00000000-0006-0000-0100-000094000000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63" authorId="0" shapeId="0" xr:uid="{00000000-0006-0000-0100-000095000000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63" authorId="1" shapeId="0" xr:uid="{00000000-0006-0000-0100-000096000000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64" authorId="0" shapeId="0" xr:uid="{00000000-0006-0000-0100-000097000000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64" authorId="0" shapeId="0" xr:uid="{00000000-0006-0000-0100-000098000000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64" authorId="0" shapeId="0" xr:uid="{00000000-0006-0000-0100-000099000000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64" authorId="0" shapeId="0" xr:uid="{00000000-0006-0000-0100-00009A000000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64" authorId="0" shapeId="0" xr:uid="{00000000-0006-0000-0100-00009B000000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64" authorId="1" shapeId="0" xr:uid="{00000000-0006-0000-0100-00009C000000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74" authorId="0" shapeId="0" xr:uid="{00000000-0006-0000-0100-00009D000000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74" authorId="0" shapeId="0" xr:uid="{00000000-0006-0000-0100-00009E000000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74" authorId="0" shapeId="0" xr:uid="{00000000-0006-0000-0100-00009F000000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74" authorId="0" shapeId="0" xr:uid="{00000000-0006-0000-0100-0000A0000000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74" authorId="0" shapeId="0" xr:uid="{00000000-0006-0000-0100-0000A1000000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74" authorId="1" shapeId="0" xr:uid="{00000000-0006-0000-0100-0000A2000000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77" authorId="0" shapeId="0" xr:uid="{00000000-0006-0000-0100-0000A3000000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77" authorId="0" shapeId="0" xr:uid="{00000000-0006-0000-0100-0000A4000000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77" authorId="0" shapeId="0" xr:uid="{00000000-0006-0000-0100-0000A5000000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77" authorId="0" shapeId="0" xr:uid="{00000000-0006-0000-0100-0000A6000000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77" authorId="0" shapeId="0" xr:uid="{00000000-0006-0000-0100-0000A7000000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77" authorId="1" shapeId="0" xr:uid="{00000000-0006-0000-0100-0000A8000000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79" authorId="0" shapeId="0" xr:uid="{00000000-0006-0000-0100-0000A9000000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79" authorId="0" shapeId="0" xr:uid="{00000000-0006-0000-0100-0000AA000000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79" authorId="0" shapeId="0" xr:uid="{00000000-0006-0000-0100-0000AB000000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79" authorId="0" shapeId="0" xr:uid="{00000000-0006-0000-0100-0000AC000000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79" authorId="0" shapeId="0" xr:uid="{00000000-0006-0000-0100-0000AD000000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79" authorId="1" shapeId="0" xr:uid="{00000000-0006-0000-0100-0000AE000000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80" authorId="0" shapeId="0" xr:uid="{00000000-0006-0000-0100-0000AF000000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80" authorId="0" shapeId="0" xr:uid="{00000000-0006-0000-0100-0000B0000000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80" authorId="0" shapeId="0" xr:uid="{00000000-0006-0000-0100-0000B1000000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80" authorId="0" shapeId="0" xr:uid="{00000000-0006-0000-0100-0000B2000000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80" authorId="0" shapeId="0" xr:uid="{00000000-0006-0000-0100-0000B3000000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80" authorId="1" shapeId="0" xr:uid="{00000000-0006-0000-0100-0000B4000000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82" authorId="0" shapeId="0" xr:uid="{00000000-0006-0000-0100-0000B5000000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82" authorId="0" shapeId="0" xr:uid="{00000000-0006-0000-0100-0000B6000000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82" authorId="0" shapeId="0" xr:uid="{00000000-0006-0000-0100-0000B7000000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82" authorId="0" shapeId="0" xr:uid="{00000000-0006-0000-0100-0000B8000000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82" authorId="0" shapeId="0" xr:uid="{00000000-0006-0000-0100-0000B9000000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82" authorId="1" shapeId="0" xr:uid="{00000000-0006-0000-0100-0000BA000000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83" authorId="0" shapeId="0" xr:uid="{00000000-0006-0000-0100-0000BB000000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83" authorId="0" shapeId="0" xr:uid="{00000000-0006-0000-0100-0000BC000000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83" authorId="0" shapeId="0" xr:uid="{00000000-0006-0000-0100-0000BD000000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83" authorId="0" shapeId="0" xr:uid="{00000000-0006-0000-0100-0000BE000000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83" authorId="0" shapeId="0" xr:uid="{00000000-0006-0000-0100-0000BF000000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83" authorId="1" shapeId="0" xr:uid="{00000000-0006-0000-0100-0000C0000000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87" authorId="0" shapeId="0" xr:uid="{00000000-0006-0000-0100-0000C1000000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87" authorId="0" shapeId="0" xr:uid="{00000000-0006-0000-0100-0000C2000000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87" authorId="0" shapeId="0" xr:uid="{00000000-0006-0000-0100-0000C3000000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87" authorId="0" shapeId="0" xr:uid="{00000000-0006-0000-0100-0000C4000000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87" authorId="0" shapeId="0" xr:uid="{00000000-0006-0000-0100-0000C5000000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87" authorId="1" shapeId="0" xr:uid="{00000000-0006-0000-0100-0000C6000000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88" authorId="0" shapeId="0" xr:uid="{00000000-0006-0000-0100-0000C7000000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88" authorId="0" shapeId="0" xr:uid="{00000000-0006-0000-0100-0000C8000000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88" authorId="0" shapeId="0" xr:uid="{00000000-0006-0000-0100-0000C9000000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88" authorId="0" shapeId="0" xr:uid="{00000000-0006-0000-0100-0000CA000000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88" authorId="0" shapeId="0" xr:uid="{00000000-0006-0000-0100-0000CB000000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88" authorId="1" shapeId="0" xr:uid="{00000000-0006-0000-0100-0000CC000000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92" authorId="0" shapeId="0" xr:uid="{00000000-0006-0000-0100-0000CD000000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92" authorId="0" shapeId="0" xr:uid="{00000000-0006-0000-0100-0000CE000000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92" authorId="0" shapeId="0" xr:uid="{00000000-0006-0000-0100-0000CF000000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92" authorId="0" shapeId="0" xr:uid="{00000000-0006-0000-0100-0000D0000000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92" authorId="0" shapeId="0" xr:uid="{00000000-0006-0000-0100-0000D1000000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92" authorId="1" shapeId="0" xr:uid="{00000000-0006-0000-0100-0000D2000000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94" authorId="0" shapeId="0" xr:uid="{00000000-0006-0000-0100-0000D3000000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94" authorId="0" shapeId="0" xr:uid="{00000000-0006-0000-0100-0000D4000000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94" authorId="0" shapeId="0" xr:uid="{00000000-0006-0000-0100-0000D5000000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94" authorId="0" shapeId="0" xr:uid="{00000000-0006-0000-0100-0000D6000000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94" authorId="0" shapeId="0" xr:uid="{00000000-0006-0000-0100-0000D7000000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94" authorId="1" shapeId="0" xr:uid="{00000000-0006-0000-0100-0000D8000000}">
      <text>
        <r>
          <rPr>
            <b/>
            <sz val="9"/>
            <color indexed="81"/>
            <rFont val="Tahoma"/>
            <family val="2"/>
          </rPr>
          <t>descargada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</author>
    <author>octavio-cic</author>
  </authors>
  <commentList>
    <comment ref="F5" authorId="0" shapeId="0" xr:uid="{00000000-0006-0000-0200-000001000000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5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5" authorId="0" shapeId="0" xr:uid="{00000000-0006-0000-0200-000003000000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5" authorId="0" shapeId="0" xr:uid="{00000000-0006-0000-0200-000004000000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5" authorId="0" shapeId="0" xr:uid="{00000000-0006-0000-0200-000005000000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5" authorId="1" shapeId="0" xr:uid="{00000000-0006-0000-0200-000006000000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6" authorId="0" shapeId="0" xr:uid="{00000000-0006-0000-0200-000007000000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6" authorId="0" shapeId="0" xr:uid="{00000000-0006-0000-0200-000008000000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6" authorId="0" shapeId="0" xr:uid="{00000000-0006-0000-0200-000009000000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6" authorId="0" shapeId="0" xr:uid="{00000000-0006-0000-0200-00000A000000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6" authorId="0" shapeId="0" xr:uid="{00000000-0006-0000-0200-00000B000000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6" authorId="1" shapeId="0" xr:uid="{00000000-0006-0000-0200-00000C000000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8" authorId="0" shapeId="0" xr:uid="{00000000-0006-0000-0200-00000D000000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8" authorId="0" shapeId="0" xr:uid="{00000000-0006-0000-0200-00000E000000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8" authorId="0" shapeId="0" xr:uid="{00000000-0006-0000-0200-00000F000000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8" authorId="0" shapeId="0" xr:uid="{00000000-0006-0000-0200-000010000000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8" authorId="0" shapeId="0" xr:uid="{00000000-0006-0000-0200-000011000000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8" authorId="1" shapeId="0" xr:uid="{00000000-0006-0000-0200-000012000000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9" authorId="0" shapeId="0" xr:uid="{00000000-0006-0000-0200-000013000000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9" authorId="0" shapeId="0" xr:uid="{00000000-0006-0000-0200-000014000000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9" authorId="0" shapeId="0" xr:uid="{00000000-0006-0000-0200-000015000000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9" authorId="0" shapeId="0" xr:uid="{00000000-0006-0000-0200-000016000000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9" authorId="0" shapeId="0" xr:uid="{00000000-0006-0000-0200-000017000000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9" authorId="1" shapeId="0" xr:uid="{00000000-0006-0000-0200-000018000000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14" authorId="0" shapeId="0" xr:uid="{00000000-0006-0000-0200-000019000000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14" authorId="0" shapeId="0" xr:uid="{00000000-0006-0000-0200-00001A000000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14" authorId="0" shapeId="0" xr:uid="{00000000-0006-0000-0200-00001B000000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14" authorId="0" shapeId="0" xr:uid="{00000000-0006-0000-0200-00001C000000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14" authorId="0" shapeId="0" xr:uid="{00000000-0006-0000-0200-00001D000000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14" authorId="1" shapeId="0" xr:uid="{00000000-0006-0000-0200-00001E000000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15" authorId="0" shapeId="0" xr:uid="{00000000-0006-0000-0200-00001F000000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15" authorId="0" shapeId="0" xr:uid="{00000000-0006-0000-0200-000020000000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15" authorId="0" shapeId="0" xr:uid="{00000000-0006-0000-0200-000021000000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15" authorId="0" shapeId="0" xr:uid="{00000000-0006-0000-0200-000022000000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15" authorId="0" shapeId="0" xr:uid="{00000000-0006-0000-0200-000023000000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15" authorId="1" shapeId="0" xr:uid="{00000000-0006-0000-0200-000024000000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16" authorId="0" shapeId="0" xr:uid="{00000000-0006-0000-0200-000025000000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16" authorId="0" shapeId="0" xr:uid="{00000000-0006-0000-0200-000026000000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16" authorId="0" shapeId="0" xr:uid="{00000000-0006-0000-0200-000027000000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16" authorId="0" shapeId="0" xr:uid="{00000000-0006-0000-0200-000028000000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16" authorId="0" shapeId="0" xr:uid="{00000000-0006-0000-0200-000029000000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16" authorId="1" shapeId="0" xr:uid="{00000000-0006-0000-0200-00002A000000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21" authorId="0" shapeId="0" xr:uid="{00000000-0006-0000-0200-00002B000000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21" authorId="0" shapeId="0" xr:uid="{00000000-0006-0000-0200-00002C000000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21" authorId="0" shapeId="0" xr:uid="{00000000-0006-0000-0200-00002D000000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21" authorId="0" shapeId="0" xr:uid="{00000000-0006-0000-0200-00002E000000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21" authorId="0" shapeId="0" xr:uid="{00000000-0006-0000-0200-00002F000000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21" authorId="1" shapeId="0" xr:uid="{00000000-0006-0000-0200-000030000000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24" authorId="0" shapeId="0" xr:uid="{00000000-0006-0000-0200-000031000000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24" authorId="0" shapeId="0" xr:uid="{00000000-0006-0000-0200-000032000000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24" authorId="0" shapeId="0" xr:uid="{00000000-0006-0000-0200-000033000000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24" authorId="0" shapeId="0" xr:uid="{00000000-0006-0000-0200-000034000000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24" authorId="0" shapeId="0" xr:uid="{00000000-0006-0000-0200-000035000000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24" authorId="1" shapeId="0" xr:uid="{00000000-0006-0000-0200-000036000000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25" authorId="0" shapeId="0" xr:uid="{00000000-0006-0000-0200-000037000000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25" authorId="0" shapeId="0" xr:uid="{00000000-0006-0000-0200-000038000000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25" authorId="0" shapeId="0" xr:uid="{00000000-0006-0000-0200-000039000000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25" authorId="0" shapeId="0" xr:uid="{00000000-0006-0000-0200-00003A000000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25" authorId="0" shapeId="0" xr:uid="{00000000-0006-0000-0200-00003B000000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25" authorId="1" shapeId="0" xr:uid="{00000000-0006-0000-0200-00003C000000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28" authorId="0" shapeId="0" xr:uid="{00000000-0006-0000-0200-00003D000000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28" authorId="0" shapeId="0" xr:uid="{00000000-0006-0000-0200-00003E000000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28" authorId="0" shapeId="0" xr:uid="{00000000-0006-0000-0200-00003F000000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28" authorId="0" shapeId="0" xr:uid="{00000000-0006-0000-0200-000040000000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28" authorId="0" shapeId="0" xr:uid="{00000000-0006-0000-0200-000041000000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28" authorId="1" shapeId="0" xr:uid="{00000000-0006-0000-0200-000042000000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29" authorId="0" shapeId="0" xr:uid="{00000000-0006-0000-0200-000043000000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29" authorId="0" shapeId="0" xr:uid="{00000000-0006-0000-0200-000044000000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29" authorId="0" shapeId="0" xr:uid="{00000000-0006-0000-0200-000045000000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29" authorId="0" shapeId="0" xr:uid="{00000000-0006-0000-0200-000046000000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29" authorId="0" shapeId="0" xr:uid="{00000000-0006-0000-0200-000047000000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29" authorId="1" shapeId="0" xr:uid="{00000000-0006-0000-0200-000048000000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33" authorId="0" shapeId="0" xr:uid="{00000000-0006-0000-0200-000049000000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33" authorId="0" shapeId="0" xr:uid="{00000000-0006-0000-0200-00004A000000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33" authorId="0" shapeId="0" xr:uid="{00000000-0006-0000-0200-00004B000000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33" authorId="0" shapeId="0" xr:uid="{00000000-0006-0000-0200-00004C000000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33" authorId="0" shapeId="0" xr:uid="{00000000-0006-0000-0200-00004D000000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33" authorId="1" shapeId="0" xr:uid="{00000000-0006-0000-0200-00004E000000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34" authorId="0" shapeId="0" xr:uid="{00000000-0006-0000-0200-00004F000000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34" authorId="0" shapeId="0" xr:uid="{00000000-0006-0000-0200-000050000000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34" authorId="0" shapeId="0" xr:uid="{00000000-0006-0000-0200-000051000000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34" authorId="0" shapeId="0" xr:uid="{00000000-0006-0000-0200-000052000000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34" authorId="0" shapeId="0" xr:uid="{00000000-0006-0000-0200-000053000000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34" authorId="1" shapeId="0" xr:uid="{00000000-0006-0000-0200-000054000000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37" authorId="0" shapeId="0" xr:uid="{00000000-0006-0000-0200-000055000000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37" authorId="0" shapeId="0" xr:uid="{00000000-0006-0000-0200-000056000000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37" authorId="0" shapeId="0" xr:uid="{00000000-0006-0000-0200-000057000000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37" authorId="0" shapeId="0" xr:uid="{00000000-0006-0000-0200-000058000000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37" authorId="0" shapeId="0" xr:uid="{00000000-0006-0000-0200-000059000000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37" authorId="1" shapeId="0" xr:uid="{00000000-0006-0000-0200-00005A000000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40" authorId="0" shapeId="0" xr:uid="{00000000-0006-0000-0200-00005B000000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40" authorId="0" shapeId="0" xr:uid="{00000000-0006-0000-0200-00005C000000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40" authorId="0" shapeId="0" xr:uid="{00000000-0006-0000-0200-00005D000000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40" authorId="0" shapeId="0" xr:uid="{00000000-0006-0000-0200-00005E000000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40" authorId="0" shapeId="0" xr:uid="{00000000-0006-0000-0200-00005F000000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40" authorId="1" shapeId="0" xr:uid="{00000000-0006-0000-0200-000060000000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47" authorId="0" shapeId="0" xr:uid="{00000000-0006-0000-0200-000061000000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47" authorId="0" shapeId="0" xr:uid="{00000000-0006-0000-0200-000062000000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47" authorId="0" shapeId="0" xr:uid="{00000000-0006-0000-0200-000063000000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47" authorId="0" shapeId="0" xr:uid="{00000000-0006-0000-0200-000064000000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47" authorId="0" shapeId="0" xr:uid="{00000000-0006-0000-0200-000065000000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47" authorId="1" shapeId="0" xr:uid="{00000000-0006-0000-0200-000066000000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50" authorId="0" shapeId="0" xr:uid="{00000000-0006-0000-0200-000067000000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50" authorId="0" shapeId="0" xr:uid="{00000000-0006-0000-0200-000068000000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50" authorId="0" shapeId="0" xr:uid="{00000000-0006-0000-0200-000069000000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50" authorId="0" shapeId="0" xr:uid="{00000000-0006-0000-0200-00006A000000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50" authorId="0" shapeId="0" xr:uid="{00000000-0006-0000-0200-00006B000000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50" authorId="1" shapeId="0" xr:uid="{00000000-0006-0000-0200-00006C000000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51" authorId="0" shapeId="0" xr:uid="{00000000-0006-0000-0200-00006D000000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51" authorId="0" shapeId="0" xr:uid="{00000000-0006-0000-0200-00006E000000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51" authorId="0" shapeId="0" xr:uid="{00000000-0006-0000-0200-00006F000000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51" authorId="0" shapeId="0" xr:uid="{00000000-0006-0000-0200-000070000000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51" authorId="0" shapeId="0" xr:uid="{00000000-0006-0000-0200-000071000000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51" authorId="1" shapeId="0" xr:uid="{00000000-0006-0000-0200-000072000000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54" authorId="0" shapeId="0" xr:uid="{00000000-0006-0000-0200-000073000000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54" authorId="0" shapeId="0" xr:uid="{00000000-0006-0000-0200-000074000000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54" authorId="0" shapeId="0" xr:uid="{00000000-0006-0000-0200-000075000000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54" authorId="0" shapeId="0" xr:uid="{00000000-0006-0000-0200-000076000000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54" authorId="0" shapeId="0" xr:uid="{00000000-0006-0000-0200-000077000000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54" authorId="1" shapeId="0" xr:uid="{00000000-0006-0000-0200-000078000000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55" authorId="0" shapeId="0" xr:uid="{00000000-0006-0000-0200-000079000000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55" authorId="0" shapeId="0" xr:uid="{00000000-0006-0000-0200-00007A000000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55" authorId="0" shapeId="0" xr:uid="{00000000-0006-0000-0200-00007B000000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55" authorId="0" shapeId="0" xr:uid="{00000000-0006-0000-0200-00007C000000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55" authorId="0" shapeId="0" xr:uid="{00000000-0006-0000-0200-00007D000000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55" authorId="1" shapeId="0" xr:uid="{00000000-0006-0000-0200-00007E000000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60" authorId="0" shapeId="0" xr:uid="{00000000-0006-0000-0200-00007F000000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60" authorId="0" shapeId="0" xr:uid="{00000000-0006-0000-0200-000080000000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60" authorId="0" shapeId="0" xr:uid="{00000000-0006-0000-0200-000081000000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60" authorId="0" shapeId="0" xr:uid="{00000000-0006-0000-0200-000082000000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60" authorId="0" shapeId="0" xr:uid="{00000000-0006-0000-0200-000083000000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60" authorId="1" shapeId="0" xr:uid="{00000000-0006-0000-0200-000084000000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62" authorId="0" shapeId="0" xr:uid="{00000000-0006-0000-0200-000085000000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62" authorId="0" shapeId="0" xr:uid="{00000000-0006-0000-0200-000086000000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62" authorId="0" shapeId="0" xr:uid="{00000000-0006-0000-0200-000087000000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62" authorId="0" shapeId="0" xr:uid="{00000000-0006-0000-0200-000088000000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62" authorId="0" shapeId="0" xr:uid="{00000000-0006-0000-0200-000089000000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62" authorId="1" shapeId="0" xr:uid="{00000000-0006-0000-0200-00008A000000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64" authorId="0" shapeId="0" xr:uid="{00000000-0006-0000-0200-00008B000000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64" authorId="0" shapeId="0" xr:uid="{00000000-0006-0000-0200-00008C000000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64" authorId="0" shapeId="0" xr:uid="{00000000-0006-0000-0200-00008D000000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64" authorId="0" shapeId="0" xr:uid="{00000000-0006-0000-0200-00008E000000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64" authorId="0" shapeId="0" xr:uid="{00000000-0006-0000-0200-00008F000000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64" authorId="1" shapeId="0" xr:uid="{00000000-0006-0000-0200-000090000000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65" authorId="0" shapeId="0" xr:uid="{00000000-0006-0000-0200-000091000000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65" authorId="0" shapeId="0" xr:uid="{00000000-0006-0000-0200-000092000000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65" authorId="0" shapeId="0" xr:uid="{00000000-0006-0000-0200-000093000000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65" authorId="0" shapeId="0" xr:uid="{00000000-0006-0000-0200-000094000000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65" authorId="0" shapeId="0" xr:uid="{00000000-0006-0000-0200-000095000000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65" authorId="1" shapeId="0" xr:uid="{00000000-0006-0000-0200-000096000000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68" authorId="0" shapeId="0" xr:uid="{00000000-0006-0000-0200-000097000000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68" authorId="0" shapeId="0" xr:uid="{00000000-0006-0000-0200-000098000000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68" authorId="0" shapeId="0" xr:uid="{00000000-0006-0000-0200-000099000000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68" authorId="0" shapeId="0" xr:uid="{00000000-0006-0000-0200-00009A000000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68" authorId="0" shapeId="0" xr:uid="{00000000-0006-0000-0200-00009B000000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68" authorId="1" shapeId="0" xr:uid="{00000000-0006-0000-0200-00009C000000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69" authorId="0" shapeId="0" xr:uid="{00000000-0006-0000-0200-00009D000000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69" authorId="0" shapeId="0" xr:uid="{00000000-0006-0000-0200-00009E000000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69" authorId="0" shapeId="0" xr:uid="{00000000-0006-0000-0200-00009F000000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69" authorId="0" shapeId="0" xr:uid="{00000000-0006-0000-0200-0000A0000000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69" authorId="0" shapeId="0" xr:uid="{00000000-0006-0000-0200-0000A1000000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69" authorId="1" shapeId="0" xr:uid="{00000000-0006-0000-0200-0000A2000000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73" authorId="0" shapeId="0" xr:uid="{00000000-0006-0000-0200-0000A3000000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73" authorId="0" shapeId="0" xr:uid="{00000000-0006-0000-0200-0000A4000000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73" authorId="0" shapeId="0" xr:uid="{00000000-0006-0000-0200-0000A5000000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73" authorId="0" shapeId="0" xr:uid="{00000000-0006-0000-0200-0000A6000000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73" authorId="0" shapeId="0" xr:uid="{00000000-0006-0000-0200-0000A7000000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73" authorId="1" shapeId="0" xr:uid="{00000000-0006-0000-0200-0000A8000000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74" authorId="0" shapeId="0" xr:uid="{00000000-0006-0000-0200-0000A9000000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74" authorId="0" shapeId="0" xr:uid="{00000000-0006-0000-0200-0000AA000000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74" authorId="0" shapeId="0" xr:uid="{00000000-0006-0000-0200-0000AB000000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74" authorId="0" shapeId="0" xr:uid="{00000000-0006-0000-0200-0000AC000000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74" authorId="0" shapeId="0" xr:uid="{00000000-0006-0000-0200-0000AD000000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74" authorId="1" shapeId="0" xr:uid="{00000000-0006-0000-0200-0000AE000000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78" authorId="0" shapeId="0" xr:uid="{00000000-0006-0000-0200-0000AF000000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78" authorId="0" shapeId="0" xr:uid="{00000000-0006-0000-0200-0000B0000000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78" authorId="0" shapeId="0" xr:uid="{00000000-0006-0000-0200-0000B1000000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78" authorId="0" shapeId="0" xr:uid="{00000000-0006-0000-0200-0000B2000000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78" authorId="0" shapeId="0" xr:uid="{00000000-0006-0000-0200-0000B3000000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78" authorId="1" shapeId="0" xr:uid="{00000000-0006-0000-0200-0000B4000000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79" authorId="0" shapeId="0" xr:uid="{00000000-0006-0000-0200-0000B5000000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79" authorId="0" shapeId="0" xr:uid="{00000000-0006-0000-0200-0000B6000000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79" authorId="0" shapeId="0" xr:uid="{00000000-0006-0000-0200-0000B7000000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79" authorId="0" shapeId="0" xr:uid="{00000000-0006-0000-0200-0000B8000000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79" authorId="0" shapeId="0" xr:uid="{00000000-0006-0000-0200-0000B9000000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79" authorId="1" shapeId="0" xr:uid="{00000000-0006-0000-0200-0000BA000000}">
      <text>
        <r>
          <rPr>
            <b/>
            <sz val="9"/>
            <color indexed="81"/>
            <rFont val="Tahoma"/>
            <family val="2"/>
          </rPr>
          <t>descargada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</author>
    <author>octavio-cic</author>
  </authors>
  <commentList>
    <comment ref="F5" authorId="0" shapeId="0" xr:uid="{00000000-0006-0000-0300-000001000000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5" authorId="0" shapeId="0" xr:uid="{00000000-0006-0000-0300-000002000000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5" authorId="0" shapeId="0" xr:uid="{00000000-0006-0000-0300-000003000000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5" authorId="0" shapeId="0" xr:uid="{00000000-0006-0000-0300-000004000000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5" authorId="0" shapeId="0" xr:uid="{00000000-0006-0000-0300-000005000000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5" authorId="1" shapeId="0" xr:uid="{00000000-0006-0000-0300-000006000000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6" authorId="0" shapeId="0" xr:uid="{00000000-0006-0000-0300-000007000000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6" authorId="0" shapeId="0" xr:uid="{00000000-0006-0000-0300-000008000000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6" authorId="0" shapeId="0" xr:uid="{00000000-0006-0000-0300-000009000000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6" authorId="0" shapeId="0" xr:uid="{00000000-0006-0000-0300-00000A000000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6" authorId="0" shapeId="0" xr:uid="{00000000-0006-0000-0300-00000B000000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6" authorId="1" shapeId="0" xr:uid="{00000000-0006-0000-0300-00000C000000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11" authorId="0" shapeId="0" xr:uid="{00000000-0006-0000-0300-00000D000000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11" authorId="0" shapeId="0" xr:uid="{00000000-0006-0000-0300-00000E000000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11" authorId="0" shapeId="0" xr:uid="{00000000-0006-0000-0300-00000F000000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11" authorId="0" shapeId="0" xr:uid="{00000000-0006-0000-0300-000010000000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11" authorId="0" shapeId="0" xr:uid="{00000000-0006-0000-0300-000011000000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11" authorId="1" shapeId="0" xr:uid="{00000000-0006-0000-0300-000012000000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12" authorId="0" shapeId="0" xr:uid="{00000000-0006-0000-0300-000013000000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12" authorId="0" shapeId="0" xr:uid="{00000000-0006-0000-0300-000014000000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12" authorId="0" shapeId="0" xr:uid="{00000000-0006-0000-0300-000015000000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12" authorId="0" shapeId="0" xr:uid="{00000000-0006-0000-0300-000016000000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12" authorId="0" shapeId="0" xr:uid="{00000000-0006-0000-0300-000017000000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12" authorId="1" shapeId="0" xr:uid="{00000000-0006-0000-0300-000018000000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20" authorId="0" shapeId="0" xr:uid="{00000000-0006-0000-0300-000019000000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20" authorId="0" shapeId="0" xr:uid="{00000000-0006-0000-0300-00001A000000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20" authorId="0" shapeId="0" xr:uid="{00000000-0006-0000-0300-00001B000000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20" authorId="0" shapeId="0" xr:uid="{00000000-0006-0000-0300-00001C000000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20" authorId="0" shapeId="0" xr:uid="{00000000-0006-0000-0300-00001D000000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20" authorId="1" shapeId="0" xr:uid="{00000000-0006-0000-0300-00001E000000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21" authorId="0" shapeId="0" xr:uid="{00000000-0006-0000-0300-00001F000000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21" authorId="0" shapeId="0" xr:uid="{00000000-0006-0000-0300-000020000000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21" authorId="0" shapeId="0" xr:uid="{00000000-0006-0000-0300-000021000000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21" authorId="0" shapeId="0" xr:uid="{00000000-0006-0000-0300-000022000000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21" authorId="0" shapeId="0" xr:uid="{00000000-0006-0000-0300-000023000000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21" authorId="1" shapeId="0" xr:uid="{00000000-0006-0000-0300-000024000000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24" authorId="0" shapeId="0" xr:uid="{00000000-0006-0000-0300-000025000000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24" authorId="0" shapeId="0" xr:uid="{00000000-0006-0000-0300-000026000000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24" authorId="0" shapeId="0" xr:uid="{00000000-0006-0000-0300-000027000000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24" authorId="0" shapeId="0" xr:uid="{00000000-0006-0000-0300-000028000000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24" authorId="0" shapeId="0" xr:uid="{00000000-0006-0000-0300-000029000000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24" authorId="1" shapeId="0" xr:uid="{00000000-0006-0000-0300-00002A000000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27" authorId="0" shapeId="0" xr:uid="{00000000-0006-0000-0300-00002B000000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27" authorId="0" shapeId="0" xr:uid="{00000000-0006-0000-0300-00002C000000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27" authorId="0" shapeId="0" xr:uid="{00000000-0006-0000-0300-00002D000000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27" authorId="0" shapeId="0" xr:uid="{00000000-0006-0000-0300-00002E000000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27" authorId="0" shapeId="0" xr:uid="{00000000-0006-0000-0300-00002F000000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27" authorId="1" shapeId="0" xr:uid="{00000000-0006-0000-0300-000030000000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29" authorId="0" shapeId="0" xr:uid="{00000000-0006-0000-0300-000031000000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29" authorId="0" shapeId="0" xr:uid="{00000000-0006-0000-0300-000032000000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29" authorId="0" shapeId="0" xr:uid="{00000000-0006-0000-0300-000033000000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29" authorId="0" shapeId="0" xr:uid="{00000000-0006-0000-0300-000034000000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29" authorId="0" shapeId="0" xr:uid="{00000000-0006-0000-0300-000035000000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29" authorId="1" shapeId="0" xr:uid="{00000000-0006-0000-0300-000036000000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30" authorId="0" shapeId="0" xr:uid="{00000000-0006-0000-0300-000037000000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30" authorId="0" shapeId="0" xr:uid="{00000000-0006-0000-0300-000038000000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30" authorId="0" shapeId="0" xr:uid="{00000000-0006-0000-0300-000039000000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30" authorId="0" shapeId="0" xr:uid="{00000000-0006-0000-0300-00003A000000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30" authorId="0" shapeId="0" xr:uid="{00000000-0006-0000-0300-00003B000000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30" authorId="1" shapeId="0" xr:uid="{00000000-0006-0000-0300-00003C000000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32" authorId="0" shapeId="0" xr:uid="{00000000-0006-0000-0300-00003D000000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32" authorId="0" shapeId="0" xr:uid="{00000000-0006-0000-0300-00003E000000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32" authorId="0" shapeId="0" xr:uid="{00000000-0006-0000-0300-00003F000000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32" authorId="0" shapeId="0" xr:uid="{00000000-0006-0000-0300-000040000000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32" authorId="0" shapeId="0" xr:uid="{00000000-0006-0000-0300-000041000000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32" authorId="1" shapeId="0" xr:uid="{00000000-0006-0000-0300-000042000000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33" authorId="0" shapeId="0" xr:uid="{00000000-0006-0000-0300-000043000000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33" authorId="0" shapeId="0" xr:uid="{00000000-0006-0000-0300-000044000000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33" authorId="0" shapeId="0" xr:uid="{00000000-0006-0000-0300-000045000000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33" authorId="0" shapeId="0" xr:uid="{00000000-0006-0000-0300-000046000000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33" authorId="0" shapeId="0" xr:uid="{00000000-0006-0000-0300-000047000000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33" authorId="1" shapeId="0" xr:uid="{00000000-0006-0000-0300-000048000000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38" authorId="0" shapeId="0" xr:uid="{00000000-0006-0000-0300-000049000000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38" authorId="0" shapeId="0" xr:uid="{00000000-0006-0000-0300-00004A000000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38" authorId="0" shapeId="0" xr:uid="{00000000-0006-0000-0300-00004B000000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38" authorId="0" shapeId="0" xr:uid="{00000000-0006-0000-0300-00004C000000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38" authorId="0" shapeId="0" xr:uid="{00000000-0006-0000-0300-00004D000000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38" authorId="1" shapeId="0" xr:uid="{00000000-0006-0000-0300-00004E000000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39" authorId="0" shapeId="0" xr:uid="{00000000-0006-0000-0300-00004F000000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39" authorId="0" shapeId="0" xr:uid="{00000000-0006-0000-0300-000050000000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39" authorId="0" shapeId="0" xr:uid="{00000000-0006-0000-0300-000051000000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39" authorId="0" shapeId="0" xr:uid="{00000000-0006-0000-0300-000052000000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39" authorId="0" shapeId="0" xr:uid="{00000000-0006-0000-0300-000053000000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39" authorId="1" shapeId="0" xr:uid="{00000000-0006-0000-0300-000054000000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41" authorId="0" shapeId="0" xr:uid="{00000000-0006-0000-0300-000055000000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41" authorId="0" shapeId="0" xr:uid="{00000000-0006-0000-0300-000056000000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41" authorId="0" shapeId="0" xr:uid="{00000000-0006-0000-0300-000057000000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41" authorId="0" shapeId="0" xr:uid="{00000000-0006-0000-0300-000058000000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41" authorId="0" shapeId="0" xr:uid="{00000000-0006-0000-0300-000059000000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41" authorId="1" shapeId="0" xr:uid="{00000000-0006-0000-0300-00005A000000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44" authorId="0" shapeId="0" xr:uid="{00000000-0006-0000-0300-00005B000000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44" authorId="0" shapeId="0" xr:uid="{00000000-0006-0000-0300-00005C000000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44" authorId="0" shapeId="0" xr:uid="{00000000-0006-0000-0300-00005D000000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44" authorId="0" shapeId="0" xr:uid="{00000000-0006-0000-0300-00005E000000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44" authorId="0" shapeId="0" xr:uid="{00000000-0006-0000-0300-00005F000000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44" authorId="1" shapeId="0" xr:uid="{00000000-0006-0000-0300-000060000000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46" authorId="0" shapeId="0" xr:uid="{00000000-0006-0000-0300-000061000000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46" authorId="0" shapeId="0" xr:uid="{00000000-0006-0000-0300-000062000000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46" authorId="0" shapeId="0" xr:uid="{00000000-0006-0000-0300-000063000000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46" authorId="0" shapeId="0" xr:uid="{00000000-0006-0000-0300-000064000000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46" authorId="0" shapeId="0" xr:uid="{00000000-0006-0000-0300-000065000000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46" authorId="1" shapeId="0" xr:uid="{00000000-0006-0000-0300-000066000000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47" authorId="0" shapeId="0" xr:uid="{00000000-0006-0000-0300-000067000000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47" authorId="0" shapeId="0" xr:uid="{00000000-0006-0000-0300-000068000000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47" authorId="0" shapeId="0" xr:uid="{00000000-0006-0000-0300-000069000000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47" authorId="0" shapeId="0" xr:uid="{00000000-0006-0000-0300-00006A000000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47" authorId="0" shapeId="0" xr:uid="{00000000-0006-0000-0300-00006B000000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47" authorId="1" shapeId="0" xr:uid="{00000000-0006-0000-0300-00006C000000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50" authorId="0" shapeId="0" xr:uid="{00000000-0006-0000-0300-00006D000000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50" authorId="0" shapeId="0" xr:uid="{00000000-0006-0000-0300-00006E000000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50" authorId="0" shapeId="0" xr:uid="{00000000-0006-0000-0300-00006F000000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50" authorId="0" shapeId="0" xr:uid="{00000000-0006-0000-0300-000070000000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50" authorId="0" shapeId="0" xr:uid="{00000000-0006-0000-0300-000071000000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50" authorId="1" shapeId="0" xr:uid="{00000000-0006-0000-0300-000072000000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51" authorId="0" shapeId="0" xr:uid="{00000000-0006-0000-0300-000073000000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51" authorId="0" shapeId="0" xr:uid="{00000000-0006-0000-0300-000074000000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51" authorId="0" shapeId="0" xr:uid="{00000000-0006-0000-0300-000075000000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51" authorId="0" shapeId="0" xr:uid="{00000000-0006-0000-0300-000076000000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51" authorId="0" shapeId="0" xr:uid="{00000000-0006-0000-0300-000077000000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51" authorId="1" shapeId="0" xr:uid="{00000000-0006-0000-0300-000078000000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56" authorId="0" shapeId="0" xr:uid="{00000000-0006-0000-0300-000079000000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56" authorId="0" shapeId="0" xr:uid="{00000000-0006-0000-0300-00007A000000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56" authorId="0" shapeId="0" xr:uid="{00000000-0006-0000-0300-00007B000000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56" authorId="0" shapeId="0" xr:uid="{00000000-0006-0000-0300-00007C000000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56" authorId="0" shapeId="0" xr:uid="{00000000-0006-0000-0300-00007D000000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56" authorId="1" shapeId="0" xr:uid="{00000000-0006-0000-0300-00007E000000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57" authorId="0" shapeId="0" xr:uid="{00000000-0006-0000-0300-00007F000000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57" authorId="0" shapeId="0" xr:uid="{00000000-0006-0000-0300-000080000000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57" authorId="0" shapeId="0" xr:uid="{00000000-0006-0000-0300-000081000000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57" authorId="0" shapeId="0" xr:uid="{00000000-0006-0000-0300-000082000000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57" authorId="0" shapeId="0" xr:uid="{00000000-0006-0000-0300-000083000000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57" authorId="1" shapeId="0" xr:uid="{00000000-0006-0000-0300-000084000000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58" authorId="0" shapeId="0" xr:uid="{00000000-0006-0000-0300-000085000000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58" authorId="0" shapeId="0" xr:uid="{00000000-0006-0000-0300-000086000000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58" authorId="0" shapeId="0" xr:uid="{00000000-0006-0000-0300-000087000000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58" authorId="0" shapeId="0" xr:uid="{00000000-0006-0000-0300-000088000000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58" authorId="0" shapeId="0" xr:uid="{00000000-0006-0000-0300-000089000000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58" authorId="1" shapeId="0" xr:uid="{00000000-0006-0000-0300-00008A000000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62" authorId="0" shapeId="0" xr:uid="{00000000-0006-0000-0300-00008B000000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62" authorId="0" shapeId="0" xr:uid="{00000000-0006-0000-0300-00008C000000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62" authorId="0" shapeId="0" xr:uid="{00000000-0006-0000-0300-00008D000000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62" authorId="0" shapeId="0" xr:uid="{00000000-0006-0000-0300-00008E000000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62" authorId="0" shapeId="0" xr:uid="{00000000-0006-0000-0300-00008F000000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62" authorId="1" shapeId="0" xr:uid="{00000000-0006-0000-0300-000090000000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64" authorId="0" shapeId="0" xr:uid="{00000000-0006-0000-0300-000091000000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64" authorId="0" shapeId="0" xr:uid="{00000000-0006-0000-0300-000092000000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64" authorId="0" shapeId="0" xr:uid="{00000000-0006-0000-0300-000093000000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64" authorId="0" shapeId="0" xr:uid="{00000000-0006-0000-0300-000094000000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64" authorId="0" shapeId="0" xr:uid="{00000000-0006-0000-0300-000095000000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64" authorId="1" shapeId="0" xr:uid="{00000000-0006-0000-0300-000096000000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65" authorId="0" shapeId="0" xr:uid="{00000000-0006-0000-0300-000097000000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65" authorId="0" shapeId="0" xr:uid="{00000000-0006-0000-0300-000098000000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65" authorId="0" shapeId="0" xr:uid="{00000000-0006-0000-0300-000099000000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65" authorId="0" shapeId="0" xr:uid="{00000000-0006-0000-0300-00009A000000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65" authorId="0" shapeId="0" xr:uid="{00000000-0006-0000-0300-00009B000000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65" authorId="1" shapeId="0" xr:uid="{00000000-0006-0000-0300-00009C000000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67" authorId="0" shapeId="0" xr:uid="{00000000-0006-0000-0300-00009D000000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67" authorId="0" shapeId="0" xr:uid="{00000000-0006-0000-0300-00009E000000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67" authorId="0" shapeId="0" xr:uid="{00000000-0006-0000-0300-00009F000000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67" authorId="0" shapeId="0" xr:uid="{00000000-0006-0000-0300-0000A0000000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67" authorId="0" shapeId="0" xr:uid="{00000000-0006-0000-0300-0000A1000000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67" authorId="1" shapeId="0" xr:uid="{00000000-0006-0000-0300-0000A2000000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68" authorId="0" shapeId="0" xr:uid="{00000000-0006-0000-0300-0000A3000000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68" authorId="0" shapeId="0" xr:uid="{00000000-0006-0000-0300-0000A4000000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68" authorId="0" shapeId="0" xr:uid="{00000000-0006-0000-0300-0000A5000000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68" authorId="0" shapeId="0" xr:uid="{00000000-0006-0000-0300-0000A6000000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68" authorId="0" shapeId="0" xr:uid="{00000000-0006-0000-0300-0000A7000000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68" authorId="1" shapeId="0" xr:uid="{00000000-0006-0000-0300-0000A8000000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71" authorId="0" shapeId="0" xr:uid="{00000000-0006-0000-0300-0000A9000000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71" authorId="0" shapeId="0" xr:uid="{00000000-0006-0000-0300-0000AA000000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71" authorId="0" shapeId="0" xr:uid="{00000000-0006-0000-0300-0000AB000000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71" authorId="0" shapeId="0" xr:uid="{00000000-0006-0000-0300-0000AC000000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71" authorId="0" shapeId="0" xr:uid="{00000000-0006-0000-0300-0000AD000000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71" authorId="1" shapeId="0" xr:uid="{00000000-0006-0000-0300-0000AE000000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72" authorId="0" shapeId="0" xr:uid="{00000000-0006-0000-0300-0000AF000000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72" authorId="0" shapeId="0" xr:uid="{00000000-0006-0000-0300-0000B0000000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72" authorId="0" shapeId="0" xr:uid="{00000000-0006-0000-0300-0000B1000000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72" authorId="0" shapeId="0" xr:uid="{00000000-0006-0000-0300-0000B2000000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72" authorId="0" shapeId="0" xr:uid="{00000000-0006-0000-0300-0000B3000000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72" authorId="1" shapeId="0" xr:uid="{00000000-0006-0000-0300-0000B4000000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77" authorId="0" shapeId="0" xr:uid="{00000000-0006-0000-0300-0000B5000000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77" authorId="0" shapeId="0" xr:uid="{00000000-0006-0000-0300-0000B6000000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O77" authorId="0" shapeId="0" xr:uid="{00000000-0006-0000-0300-0000B7000000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77" authorId="0" shapeId="0" xr:uid="{00000000-0006-0000-0300-0000B8000000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77" authorId="0" shapeId="0" xr:uid="{00000000-0006-0000-0300-0000B9000000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77" authorId="1" shapeId="0" xr:uid="{00000000-0006-0000-0300-0000BA000000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80" authorId="0" shapeId="0" xr:uid="{00000000-0006-0000-0300-0000BB000000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80" authorId="0" shapeId="0" xr:uid="{00000000-0006-0000-0300-0000BC000000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80" authorId="0" shapeId="0" xr:uid="{00000000-0006-0000-0300-0000BD000000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80" authorId="0" shapeId="0" xr:uid="{00000000-0006-0000-0300-0000BE000000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80" authorId="0" shapeId="0" xr:uid="{00000000-0006-0000-0300-0000BF000000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80" authorId="1" shapeId="0" xr:uid="{00000000-0006-0000-0300-0000C0000000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84" authorId="0" shapeId="0" xr:uid="{00000000-0006-0000-0300-0000C1000000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84" authorId="0" shapeId="0" xr:uid="{00000000-0006-0000-0300-0000C2000000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84" authorId="0" shapeId="0" xr:uid="{00000000-0006-0000-0300-0000C3000000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84" authorId="0" shapeId="0" xr:uid="{00000000-0006-0000-0300-0000C4000000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84" authorId="0" shapeId="0" xr:uid="{00000000-0006-0000-0300-0000C5000000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84" authorId="1" shapeId="0" xr:uid="{00000000-0006-0000-0300-0000C6000000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85" authorId="0" shapeId="0" xr:uid="{00000000-0006-0000-0300-0000C7000000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85" authorId="0" shapeId="0" xr:uid="{00000000-0006-0000-0300-0000C8000000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85" authorId="0" shapeId="0" xr:uid="{00000000-0006-0000-0300-0000C9000000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85" authorId="0" shapeId="0" xr:uid="{00000000-0006-0000-0300-0000CA000000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85" authorId="0" shapeId="0" xr:uid="{00000000-0006-0000-0300-0000CB000000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85" authorId="1" shapeId="0" xr:uid="{00000000-0006-0000-0300-0000CC000000}">
      <text>
        <r>
          <rPr>
            <b/>
            <sz val="9"/>
            <color indexed="81"/>
            <rFont val="Tahoma"/>
            <family val="2"/>
          </rPr>
          <t>descargada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</author>
    <author>octavio-cic</author>
  </authors>
  <commentList>
    <comment ref="F3" authorId="0" shapeId="0" xr:uid="{00000000-0006-0000-0400-000001000000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3" authorId="0" shapeId="0" xr:uid="{00000000-0006-0000-0400-000002000000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3" authorId="0" shapeId="0" xr:uid="{00000000-0006-0000-0400-000003000000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3" authorId="0" shapeId="0" xr:uid="{00000000-0006-0000-0400-000004000000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3" authorId="0" shapeId="0" xr:uid="{00000000-0006-0000-0400-000005000000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3" authorId="1" shapeId="0" xr:uid="{00000000-0006-0000-0400-000006000000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4" authorId="0" shapeId="0" xr:uid="{00000000-0006-0000-0400-000007000000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4" authorId="0" shapeId="0" xr:uid="{00000000-0006-0000-0400-000008000000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4" authorId="0" shapeId="0" xr:uid="{00000000-0006-0000-0400-000009000000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4" authorId="0" shapeId="0" xr:uid="{00000000-0006-0000-0400-00000A000000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4" authorId="0" shapeId="0" xr:uid="{00000000-0006-0000-0400-00000B000000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4" authorId="1" shapeId="0" xr:uid="{00000000-0006-0000-0400-00000C000000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8" authorId="0" shapeId="0" xr:uid="{00000000-0006-0000-0400-00000D000000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8" authorId="0" shapeId="0" xr:uid="{00000000-0006-0000-0400-00000E000000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8" authorId="0" shapeId="0" xr:uid="{00000000-0006-0000-0400-00000F000000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8" authorId="0" shapeId="0" xr:uid="{00000000-0006-0000-0400-000010000000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8" authorId="0" shapeId="0" xr:uid="{00000000-0006-0000-0400-000011000000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8" authorId="1" shapeId="0" xr:uid="{00000000-0006-0000-0400-000012000000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10" authorId="0" shapeId="0" xr:uid="{00000000-0006-0000-0400-000013000000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10" authorId="0" shapeId="0" xr:uid="{00000000-0006-0000-0400-000014000000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10" authorId="0" shapeId="0" xr:uid="{00000000-0006-0000-0400-000015000000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10" authorId="0" shapeId="0" xr:uid="{00000000-0006-0000-0400-000016000000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10" authorId="0" shapeId="0" xr:uid="{00000000-0006-0000-0400-000017000000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10" authorId="1" shapeId="0" xr:uid="{00000000-0006-0000-0400-000018000000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12" authorId="0" shapeId="0" xr:uid="{00000000-0006-0000-0400-000019000000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12" authorId="0" shapeId="0" xr:uid="{00000000-0006-0000-0400-00001A000000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12" authorId="0" shapeId="0" xr:uid="{00000000-0006-0000-0400-00001B000000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12" authorId="0" shapeId="0" xr:uid="{00000000-0006-0000-0400-00001C000000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12" authorId="0" shapeId="0" xr:uid="{00000000-0006-0000-0400-00001D000000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12" authorId="1" shapeId="0" xr:uid="{00000000-0006-0000-0400-00001E000000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13" authorId="0" shapeId="0" xr:uid="{00000000-0006-0000-0400-00001F000000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13" authorId="0" shapeId="0" xr:uid="{00000000-0006-0000-0400-000020000000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13" authorId="0" shapeId="0" xr:uid="{00000000-0006-0000-0400-000021000000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13" authorId="0" shapeId="0" xr:uid="{00000000-0006-0000-0400-000022000000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13" authorId="0" shapeId="0" xr:uid="{00000000-0006-0000-0400-000023000000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13" authorId="1" shapeId="0" xr:uid="{00000000-0006-0000-0400-000024000000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15" authorId="0" shapeId="0" xr:uid="{00000000-0006-0000-0400-000025000000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15" authorId="0" shapeId="0" xr:uid="{00000000-0006-0000-0400-000026000000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15" authorId="0" shapeId="0" xr:uid="{00000000-0006-0000-0400-000027000000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15" authorId="0" shapeId="0" xr:uid="{00000000-0006-0000-0400-000028000000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15" authorId="0" shapeId="0" xr:uid="{00000000-0006-0000-0400-000029000000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15" authorId="1" shapeId="0" xr:uid="{00000000-0006-0000-0400-00002A000000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16" authorId="0" shapeId="0" xr:uid="{00000000-0006-0000-0400-00002B000000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16" authorId="0" shapeId="0" xr:uid="{00000000-0006-0000-0400-00002C000000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16" authorId="0" shapeId="0" xr:uid="{00000000-0006-0000-0400-00002D000000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16" authorId="0" shapeId="0" xr:uid="{00000000-0006-0000-0400-00002E000000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16" authorId="0" shapeId="0" xr:uid="{00000000-0006-0000-0400-00002F000000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16" authorId="1" shapeId="0" xr:uid="{00000000-0006-0000-0400-000030000000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19" authorId="0" shapeId="0" xr:uid="{00000000-0006-0000-0400-000031000000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19" authorId="0" shapeId="0" xr:uid="{00000000-0006-0000-0400-000032000000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19" authorId="0" shapeId="0" xr:uid="{00000000-0006-0000-0400-000033000000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19" authorId="0" shapeId="0" xr:uid="{00000000-0006-0000-0400-000034000000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19" authorId="0" shapeId="0" xr:uid="{00000000-0006-0000-0400-000035000000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19" authorId="1" shapeId="0" xr:uid="{00000000-0006-0000-0400-000036000000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20" authorId="0" shapeId="0" xr:uid="{00000000-0006-0000-0400-000037000000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20" authorId="0" shapeId="0" xr:uid="{00000000-0006-0000-0400-000038000000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20" authorId="0" shapeId="0" xr:uid="{00000000-0006-0000-0400-000039000000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20" authorId="0" shapeId="0" xr:uid="{00000000-0006-0000-0400-00003A000000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20" authorId="0" shapeId="0" xr:uid="{00000000-0006-0000-0400-00003B000000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20" authorId="1" shapeId="0" xr:uid="{00000000-0006-0000-0400-00003C000000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26" authorId="0" shapeId="0" xr:uid="{00000000-0006-0000-0400-00003D000000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26" authorId="0" shapeId="0" xr:uid="{00000000-0006-0000-0400-00003E000000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26" authorId="0" shapeId="0" xr:uid="{00000000-0006-0000-0400-00003F000000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26" authorId="0" shapeId="0" xr:uid="{00000000-0006-0000-0400-000040000000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26" authorId="0" shapeId="0" xr:uid="{00000000-0006-0000-0400-000041000000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26" authorId="1" shapeId="0" xr:uid="{00000000-0006-0000-0400-000042000000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29" authorId="0" shapeId="0" xr:uid="{00000000-0006-0000-0400-000043000000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29" authorId="0" shapeId="0" xr:uid="{00000000-0006-0000-0400-000044000000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29" authorId="0" shapeId="0" xr:uid="{00000000-0006-0000-0400-000045000000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29" authorId="0" shapeId="0" xr:uid="{00000000-0006-0000-0400-000046000000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29" authorId="0" shapeId="0" xr:uid="{00000000-0006-0000-0400-000047000000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29" authorId="1" shapeId="0" xr:uid="{00000000-0006-0000-0400-000048000000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33" authorId="0" shapeId="0" xr:uid="{00000000-0006-0000-0400-000049000000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33" authorId="0" shapeId="0" xr:uid="{00000000-0006-0000-0400-00004A000000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33" authorId="0" shapeId="0" xr:uid="{00000000-0006-0000-0400-00004B000000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33" authorId="0" shapeId="0" xr:uid="{00000000-0006-0000-0400-00004C000000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33" authorId="0" shapeId="0" xr:uid="{00000000-0006-0000-0400-00004D000000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33" authorId="1" shapeId="0" xr:uid="{00000000-0006-0000-0400-00004E000000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34" authorId="0" shapeId="0" xr:uid="{00000000-0006-0000-0400-00004F000000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34" authorId="0" shapeId="0" xr:uid="{00000000-0006-0000-0400-000050000000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34" authorId="0" shapeId="0" xr:uid="{00000000-0006-0000-0400-000051000000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34" authorId="0" shapeId="0" xr:uid="{00000000-0006-0000-0400-000052000000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34" authorId="0" shapeId="0" xr:uid="{00000000-0006-0000-0400-000053000000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34" authorId="1" shapeId="0" xr:uid="{00000000-0006-0000-0400-000054000000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38" authorId="0" shapeId="0" xr:uid="{00000000-0006-0000-0400-000055000000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38" authorId="0" shapeId="0" xr:uid="{00000000-0006-0000-0400-000056000000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38" authorId="0" shapeId="0" xr:uid="{00000000-0006-0000-0400-000057000000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38" authorId="0" shapeId="0" xr:uid="{00000000-0006-0000-0400-000058000000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38" authorId="0" shapeId="0" xr:uid="{00000000-0006-0000-0400-000059000000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38" authorId="1" shapeId="0" xr:uid="{00000000-0006-0000-0400-00005A000000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39" authorId="0" shapeId="0" xr:uid="{00000000-0006-0000-0400-00005B000000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39" authorId="0" shapeId="0" xr:uid="{00000000-0006-0000-0400-00005C000000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39" authorId="0" shapeId="0" xr:uid="{00000000-0006-0000-0400-00005D000000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39" authorId="0" shapeId="0" xr:uid="{00000000-0006-0000-0400-00005E000000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39" authorId="0" shapeId="0" xr:uid="{00000000-0006-0000-0400-00005F000000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39" authorId="1" shapeId="0" xr:uid="{00000000-0006-0000-0400-000060000000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42" authorId="0" shapeId="0" xr:uid="{00000000-0006-0000-0400-000061000000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42" authorId="0" shapeId="0" xr:uid="{00000000-0006-0000-0400-000062000000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42" authorId="0" shapeId="0" xr:uid="{00000000-0006-0000-0400-000063000000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42" authorId="0" shapeId="0" xr:uid="{00000000-0006-0000-0400-000064000000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42" authorId="0" shapeId="0" xr:uid="{00000000-0006-0000-0400-000065000000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42" authorId="1" shapeId="0" xr:uid="{00000000-0006-0000-0400-000066000000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43" authorId="0" shapeId="0" xr:uid="{00000000-0006-0000-0400-000067000000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43" authorId="0" shapeId="0" xr:uid="{00000000-0006-0000-0400-000068000000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43" authorId="0" shapeId="0" xr:uid="{00000000-0006-0000-0400-000069000000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43" authorId="0" shapeId="0" xr:uid="{00000000-0006-0000-0400-00006A000000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43" authorId="0" shapeId="0" xr:uid="{00000000-0006-0000-0400-00006B000000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43" authorId="1" shapeId="0" xr:uid="{00000000-0006-0000-0400-00006C000000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46" authorId="0" shapeId="0" xr:uid="{00000000-0006-0000-0400-00006D000000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46" authorId="0" shapeId="0" xr:uid="{00000000-0006-0000-0400-00006E000000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46" authorId="0" shapeId="0" xr:uid="{00000000-0006-0000-0400-00006F000000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46" authorId="0" shapeId="0" xr:uid="{00000000-0006-0000-0400-000070000000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46" authorId="0" shapeId="0" xr:uid="{00000000-0006-0000-0400-000071000000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46" authorId="1" shapeId="0" xr:uid="{00000000-0006-0000-0400-000072000000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49" authorId="0" shapeId="0" xr:uid="{00000000-0006-0000-0400-000073000000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49" authorId="0" shapeId="0" xr:uid="{00000000-0006-0000-0400-000074000000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49" authorId="0" shapeId="0" xr:uid="{00000000-0006-0000-0400-000075000000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49" authorId="0" shapeId="0" xr:uid="{00000000-0006-0000-0400-000076000000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49" authorId="0" shapeId="0" xr:uid="{00000000-0006-0000-0400-000077000000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49" authorId="1" shapeId="0" xr:uid="{00000000-0006-0000-0400-000078000000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51" authorId="0" shapeId="0" xr:uid="{00000000-0006-0000-0400-000079000000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51" authorId="0" shapeId="0" xr:uid="{00000000-0006-0000-0400-00007A000000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51" authorId="0" shapeId="0" xr:uid="{00000000-0006-0000-0400-00007B000000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51" authorId="0" shapeId="0" xr:uid="{00000000-0006-0000-0400-00007C000000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51" authorId="0" shapeId="0" xr:uid="{00000000-0006-0000-0400-00007D000000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51" authorId="1" shapeId="0" xr:uid="{00000000-0006-0000-0400-00007E000000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52" authorId="0" shapeId="0" xr:uid="{00000000-0006-0000-0400-00007F000000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52" authorId="0" shapeId="0" xr:uid="{00000000-0006-0000-0400-000080000000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52" authorId="0" shapeId="0" xr:uid="{00000000-0006-0000-0400-000081000000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52" authorId="0" shapeId="0" xr:uid="{00000000-0006-0000-0400-000082000000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52" authorId="0" shapeId="0" xr:uid="{00000000-0006-0000-0400-000083000000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52" authorId="1" shapeId="0" xr:uid="{00000000-0006-0000-0400-000084000000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56" authorId="0" shapeId="0" xr:uid="{00000000-0006-0000-0400-000085000000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56" authorId="0" shapeId="0" xr:uid="{00000000-0006-0000-0400-000086000000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56" authorId="0" shapeId="0" xr:uid="{00000000-0006-0000-0400-000087000000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56" authorId="0" shapeId="0" xr:uid="{00000000-0006-0000-0400-000088000000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56" authorId="0" shapeId="0" xr:uid="{00000000-0006-0000-0400-000089000000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56" authorId="1" shapeId="0" xr:uid="{00000000-0006-0000-0400-00008A000000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57" authorId="0" shapeId="0" xr:uid="{00000000-0006-0000-0400-00008B000000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57" authorId="0" shapeId="0" xr:uid="{00000000-0006-0000-0400-00008C000000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57" authorId="0" shapeId="0" xr:uid="{00000000-0006-0000-0400-00008D000000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57" authorId="0" shapeId="0" xr:uid="{00000000-0006-0000-0400-00008E000000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57" authorId="0" shapeId="0" xr:uid="{00000000-0006-0000-0400-00008F000000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57" authorId="1" shapeId="0" xr:uid="{00000000-0006-0000-0400-000090000000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61" authorId="0" shapeId="0" xr:uid="{00000000-0006-0000-0400-000091000000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61" authorId="0" shapeId="0" xr:uid="{00000000-0006-0000-0400-000092000000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61" authorId="0" shapeId="0" xr:uid="{00000000-0006-0000-0400-000093000000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61" authorId="0" shapeId="0" xr:uid="{00000000-0006-0000-0400-000094000000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61" authorId="0" shapeId="0" xr:uid="{00000000-0006-0000-0400-000095000000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61" authorId="1" shapeId="0" xr:uid="{00000000-0006-0000-0400-000096000000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62" authorId="0" shapeId="0" xr:uid="{00000000-0006-0000-0400-000097000000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62" authorId="0" shapeId="0" xr:uid="{00000000-0006-0000-0400-000098000000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62" authorId="0" shapeId="0" xr:uid="{00000000-0006-0000-0400-000099000000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62" authorId="0" shapeId="0" xr:uid="{00000000-0006-0000-0400-00009A000000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62" authorId="0" shapeId="0" xr:uid="{00000000-0006-0000-0400-00009B000000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62" authorId="1" shapeId="0" xr:uid="{00000000-0006-0000-0400-00009C000000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69" authorId="0" shapeId="0" xr:uid="{00000000-0006-0000-0400-00009D000000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69" authorId="0" shapeId="0" xr:uid="{00000000-0006-0000-0400-00009E000000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69" authorId="0" shapeId="0" xr:uid="{00000000-0006-0000-0400-00009F000000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69" authorId="0" shapeId="0" xr:uid="{00000000-0006-0000-0400-0000A0000000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69" authorId="0" shapeId="0" xr:uid="{00000000-0006-0000-0400-0000A1000000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69" authorId="1" shapeId="0" xr:uid="{00000000-0006-0000-0400-0000A2000000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71" authorId="0" shapeId="0" xr:uid="{00000000-0006-0000-0400-0000A3000000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71" authorId="0" shapeId="0" xr:uid="{00000000-0006-0000-0400-0000A4000000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71" authorId="0" shapeId="0" xr:uid="{00000000-0006-0000-0400-0000A5000000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71" authorId="0" shapeId="0" xr:uid="{00000000-0006-0000-0400-0000A6000000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71" authorId="0" shapeId="0" xr:uid="{00000000-0006-0000-0400-0000A7000000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71" authorId="1" shapeId="0" xr:uid="{00000000-0006-0000-0400-0000A8000000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74" authorId="0" shapeId="0" xr:uid="{00000000-0006-0000-0400-0000A9000000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74" authorId="0" shapeId="0" xr:uid="{00000000-0006-0000-0400-0000AA000000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74" authorId="0" shapeId="0" xr:uid="{00000000-0006-0000-0400-0000AB000000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74" authorId="0" shapeId="0" xr:uid="{00000000-0006-0000-0400-0000AC000000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74" authorId="0" shapeId="0" xr:uid="{00000000-0006-0000-0400-0000AD000000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74" authorId="1" shapeId="0" xr:uid="{00000000-0006-0000-0400-0000AE000000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75" authorId="0" shapeId="0" xr:uid="{00000000-0006-0000-0400-0000AF000000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75" authorId="0" shapeId="0" xr:uid="{00000000-0006-0000-0400-0000B0000000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75" authorId="0" shapeId="0" xr:uid="{00000000-0006-0000-0400-0000B1000000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75" authorId="0" shapeId="0" xr:uid="{00000000-0006-0000-0400-0000B2000000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75" authorId="0" shapeId="0" xr:uid="{00000000-0006-0000-0400-0000B3000000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75" authorId="1" shapeId="0" xr:uid="{00000000-0006-0000-0400-0000B4000000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77" authorId="0" shapeId="0" xr:uid="{00000000-0006-0000-0400-0000B5000000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77" authorId="0" shapeId="0" xr:uid="{00000000-0006-0000-0400-0000B6000000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77" authorId="0" shapeId="0" xr:uid="{00000000-0006-0000-0400-0000B7000000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77" authorId="0" shapeId="0" xr:uid="{00000000-0006-0000-0400-0000B8000000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77" authorId="0" shapeId="0" xr:uid="{00000000-0006-0000-0400-0000B9000000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77" authorId="1" shapeId="0" xr:uid="{00000000-0006-0000-0400-0000BA000000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78" authorId="0" shapeId="0" xr:uid="{00000000-0006-0000-0400-0000BB000000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78" authorId="0" shapeId="0" xr:uid="{00000000-0006-0000-0400-0000BC000000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78" authorId="0" shapeId="0" xr:uid="{00000000-0006-0000-0400-0000BD000000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78" authorId="0" shapeId="0" xr:uid="{00000000-0006-0000-0400-0000BE000000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78" authorId="0" shapeId="0" xr:uid="{00000000-0006-0000-0400-0000BF000000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78" authorId="1" shapeId="0" xr:uid="{00000000-0006-0000-0400-0000C0000000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81" authorId="0" shapeId="0" xr:uid="{00000000-0006-0000-0400-0000C1000000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81" authorId="0" shapeId="0" xr:uid="{00000000-0006-0000-0400-0000C2000000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81" authorId="0" shapeId="0" xr:uid="{00000000-0006-0000-0400-0000C3000000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81" authorId="0" shapeId="0" xr:uid="{00000000-0006-0000-0400-0000C4000000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81" authorId="0" shapeId="0" xr:uid="{00000000-0006-0000-0400-0000C5000000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81" authorId="1" shapeId="0" xr:uid="{00000000-0006-0000-0400-0000C6000000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82" authorId="0" shapeId="0" xr:uid="{00000000-0006-0000-0400-0000C7000000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82" authorId="0" shapeId="0" xr:uid="{00000000-0006-0000-0400-0000C8000000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82" authorId="0" shapeId="0" xr:uid="{00000000-0006-0000-0400-0000C9000000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82" authorId="0" shapeId="0" xr:uid="{00000000-0006-0000-0400-0000CA000000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82" authorId="0" shapeId="0" xr:uid="{00000000-0006-0000-0400-0000CB000000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82" authorId="1" shapeId="0" xr:uid="{00000000-0006-0000-0400-0000CC000000}">
      <text>
        <r>
          <rPr>
            <b/>
            <sz val="9"/>
            <color indexed="81"/>
            <rFont val="Tahoma"/>
            <family val="2"/>
          </rPr>
          <t>descargada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</author>
    <author>octavio-cic</author>
  </authors>
  <commentList>
    <comment ref="F7" authorId="0" shapeId="0" xr:uid="{00000000-0006-0000-0500-000001000000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7" authorId="0" shapeId="0" xr:uid="{00000000-0006-0000-0500-000002000000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7" authorId="0" shapeId="0" xr:uid="{00000000-0006-0000-0500-000003000000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7" authorId="0" shapeId="0" xr:uid="{00000000-0006-0000-0500-000004000000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7" authorId="0" shapeId="0" xr:uid="{00000000-0006-0000-0500-000005000000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7" authorId="1" shapeId="0" xr:uid="{00000000-0006-0000-0500-000006000000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8" authorId="0" shapeId="0" xr:uid="{00000000-0006-0000-0500-000007000000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8" authorId="0" shapeId="0" xr:uid="{00000000-0006-0000-0500-000008000000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8" authorId="0" shapeId="0" xr:uid="{00000000-0006-0000-0500-000009000000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8" authorId="0" shapeId="0" xr:uid="{00000000-0006-0000-0500-00000A000000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8" authorId="0" shapeId="0" xr:uid="{00000000-0006-0000-0500-00000B000000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8" authorId="1" shapeId="0" xr:uid="{00000000-0006-0000-0500-00000C000000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11" authorId="0" shapeId="0" xr:uid="{00000000-0006-0000-0500-00000D000000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11" authorId="0" shapeId="0" xr:uid="{00000000-0006-0000-0500-00000E000000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11" authorId="0" shapeId="0" xr:uid="{00000000-0006-0000-0500-00000F000000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11" authorId="0" shapeId="0" xr:uid="{00000000-0006-0000-0500-000010000000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11" authorId="0" shapeId="0" xr:uid="{00000000-0006-0000-0500-000011000000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11" authorId="1" shapeId="0" xr:uid="{00000000-0006-0000-0500-000012000000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12" authorId="0" shapeId="0" xr:uid="{00000000-0006-0000-0500-000013000000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12" authorId="0" shapeId="0" xr:uid="{00000000-0006-0000-0500-000014000000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12" authorId="0" shapeId="0" xr:uid="{00000000-0006-0000-0500-000015000000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12" authorId="0" shapeId="0" xr:uid="{00000000-0006-0000-0500-000016000000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12" authorId="0" shapeId="0" xr:uid="{00000000-0006-0000-0500-000017000000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12" authorId="1" shapeId="0" xr:uid="{00000000-0006-0000-0500-000018000000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15" authorId="0" shapeId="0" xr:uid="{00000000-0006-0000-0500-000019000000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15" authorId="0" shapeId="0" xr:uid="{00000000-0006-0000-0500-00001A000000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15" authorId="0" shapeId="0" xr:uid="{00000000-0006-0000-0500-00001B000000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15" authorId="0" shapeId="0" xr:uid="{00000000-0006-0000-0500-00001C000000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15" authorId="0" shapeId="0" xr:uid="{00000000-0006-0000-0500-00001D000000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15" authorId="1" shapeId="0" xr:uid="{00000000-0006-0000-0500-00001E000000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16" authorId="0" shapeId="0" xr:uid="{00000000-0006-0000-0500-00001F000000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16" authorId="0" shapeId="0" xr:uid="{00000000-0006-0000-0500-000020000000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16" authorId="0" shapeId="0" xr:uid="{00000000-0006-0000-0500-000021000000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16" authorId="0" shapeId="0" xr:uid="{00000000-0006-0000-0500-000022000000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16" authorId="0" shapeId="0" xr:uid="{00000000-0006-0000-0500-000023000000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16" authorId="1" shapeId="0" xr:uid="{00000000-0006-0000-0500-000024000000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20" authorId="0" shapeId="0" xr:uid="{00000000-0006-0000-0500-000025000000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20" authorId="0" shapeId="0" xr:uid="{00000000-0006-0000-0500-000026000000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20" authorId="0" shapeId="0" xr:uid="{00000000-0006-0000-0500-000027000000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20" authorId="0" shapeId="0" xr:uid="{00000000-0006-0000-0500-000028000000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20" authorId="0" shapeId="0" xr:uid="{00000000-0006-0000-0500-000029000000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20" authorId="1" shapeId="0" xr:uid="{00000000-0006-0000-0500-00002A000000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21" authorId="0" shapeId="0" xr:uid="{00000000-0006-0000-0500-00002B000000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21" authorId="0" shapeId="0" xr:uid="{00000000-0006-0000-0500-00002C000000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21" authorId="0" shapeId="0" xr:uid="{00000000-0006-0000-0500-00002D000000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21" authorId="0" shapeId="0" xr:uid="{00000000-0006-0000-0500-00002E000000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21" authorId="0" shapeId="0" xr:uid="{00000000-0006-0000-0500-00002F000000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21" authorId="1" shapeId="0" xr:uid="{00000000-0006-0000-0500-000030000000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22" authorId="0" shapeId="0" xr:uid="{00000000-0006-0000-0500-000031000000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22" authorId="0" shapeId="0" xr:uid="{00000000-0006-0000-0500-000032000000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22" authorId="0" shapeId="0" xr:uid="{00000000-0006-0000-0500-000033000000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22" authorId="0" shapeId="0" xr:uid="{00000000-0006-0000-0500-000034000000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22" authorId="0" shapeId="0" xr:uid="{00000000-0006-0000-0500-000035000000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22" authorId="1" shapeId="0" xr:uid="{00000000-0006-0000-0500-000036000000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28" authorId="0" shapeId="0" xr:uid="{00000000-0006-0000-0500-000037000000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28" authorId="0" shapeId="0" xr:uid="{00000000-0006-0000-0500-000038000000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28" authorId="0" shapeId="0" xr:uid="{00000000-0006-0000-0500-000039000000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28" authorId="0" shapeId="0" xr:uid="{00000000-0006-0000-0500-00003A000000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28" authorId="0" shapeId="0" xr:uid="{00000000-0006-0000-0500-00003B000000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28" authorId="1" shapeId="0" xr:uid="{00000000-0006-0000-0500-00003C000000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30" authorId="0" shapeId="0" xr:uid="{00000000-0006-0000-0500-00003D000000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30" authorId="0" shapeId="0" xr:uid="{00000000-0006-0000-0500-00003E000000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30" authorId="0" shapeId="0" xr:uid="{00000000-0006-0000-0500-00003F000000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30" authorId="0" shapeId="0" xr:uid="{00000000-0006-0000-0500-000040000000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30" authorId="0" shapeId="0" xr:uid="{00000000-0006-0000-0500-000041000000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30" authorId="1" shapeId="0" xr:uid="{00000000-0006-0000-0500-000042000000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32" authorId="0" shapeId="0" xr:uid="{00000000-0006-0000-0500-000043000000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32" authorId="0" shapeId="0" xr:uid="{00000000-0006-0000-0500-000044000000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32" authorId="0" shapeId="0" xr:uid="{00000000-0006-0000-0500-000045000000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32" authorId="0" shapeId="0" xr:uid="{00000000-0006-0000-0500-000046000000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32" authorId="0" shapeId="0" xr:uid="{00000000-0006-0000-0500-000047000000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32" authorId="1" shapeId="0" xr:uid="{00000000-0006-0000-0500-000048000000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33" authorId="0" shapeId="0" xr:uid="{00000000-0006-0000-0500-000049000000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33" authorId="0" shapeId="0" xr:uid="{00000000-0006-0000-0500-00004A000000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33" authorId="0" shapeId="0" xr:uid="{00000000-0006-0000-0500-00004B000000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33" authorId="0" shapeId="0" xr:uid="{00000000-0006-0000-0500-00004C000000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33" authorId="0" shapeId="0" xr:uid="{00000000-0006-0000-0500-00004D000000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33" authorId="1" shapeId="0" xr:uid="{00000000-0006-0000-0500-00004E000000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35" authorId="0" shapeId="0" xr:uid="{00000000-0006-0000-0500-00004F000000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35" authorId="0" shapeId="0" xr:uid="{00000000-0006-0000-0500-000050000000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35" authorId="0" shapeId="0" xr:uid="{00000000-0006-0000-0500-000051000000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35" authorId="0" shapeId="0" xr:uid="{00000000-0006-0000-0500-000052000000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35" authorId="0" shapeId="0" xr:uid="{00000000-0006-0000-0500-000053000000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35" authorId="1" shapeId="0" xr:uid="{00000000-0006-0000-0500-000054000000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36" authorId="0" shapeId="0" xr:uid="{00000000-0006-0000-0500-000055000000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36" authorId="0" shapeId="0" xr:uid="{00000000-0006-0000-0500-000056000000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36" authorId="0" shapeId="0" xr:uid="{00000000-0006-0000-0500-000057000000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36" authorId="0" shapeId="0" xr:uid="{00000000-0006-0000-0500-000058000000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36" authorId="0" shapeId="0" xr:uid="{00000000-0006-0000-0500-000059000000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36" authorId="1" shapeId="0" xr:uid="{00000000-0006-0000-0500-00005A000000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45" authorId="0" shapeId="0" xr:uid="{00000000-0006-0000-0500-00005B000000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45" authorId="0" shapeId="0" xr:uid="{00000000-0006-0000-0500-00005C000000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45" authorId="0" shapeId="0" xr:uid="{00000000-0006-0000-0500-00005D000000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45" authorId="0" shapeId="0" xr:uid="{00000000-0006-0000-0500-00005E000000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45" authorId="0" shapeId="0" xr:uid="{00000000-0006-0000-0500-00005F000000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45" authorId="1" shapeId="0" xr:uid="{00000000-0006-0000-0500-000060000000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46" authorId="0" shapeId="0" xr:uid="{00000000-0006-0000-0500-000061000000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46" authorId="0" shapeId="0" xr:uid="{00000000-0006-0000-0500-000062000000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46" authorId="0" shapeId="0" xr:uid="{00000000-0006-0000-0500-000063000000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46" authorId="0" shapeId="0" xr:uid="{00000000-0006-0000-0500-000064000000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46" authorId="0" shapeId="0" xr:uid="{00000000-0006-0000-0500-000065000000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46" authorId="1" shapeId="0" xr:uid="{00000000-0006-0000-0500-000066000000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47" authorId="0" shapeId="0" xr:uid="{00000000-0006-0000-0500-000067000000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47" authorId="0" shapeId="0" xr:uid="{00000000-0006-0000-0500-000068000000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47" authorId="0" shapeId="0" xr:uid="{00000000-0006-0000-0500-000069000000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47" authorId="0" shapeId="0" xr:uid="{00000000-0006-0000-0500-00006A000000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47" authorId="0" shapeId="0" xr:uid="{00000000-0006-0000-0500-00006B000000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47" authorId="1" shapeId="0" xr:uid="{00000000-0006-0000-0500-00006C000000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50" authorId="0" shapeId="0" xr:uid="{00000000-0006-0000-0500-00006D000000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50" authorId="0" shapeId="0" xr:uid="{00000000-0006-0000-0500-00006E000000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50" authorId="0" shapeId="0" xr:uid="{00000000-0006-0000-0500-00006F000000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50" authorId="0" shapeId="0" xr:uid="{00000000-0006-0000-0500-000070000000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50" authorId="0" shapeId="0" xr:uid="{00000000-0006-0000-0500-000071000000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50" authorId="1" shapeId="0" xr:uid="{00000000-0006-0000-0500-000072000000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51" authorId="0" shapeId="0" xr:uid="{00000000-0006-0000-0500-000073000000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51" authorId="0" shapeId="0" xr:uid="{00000000-0006-0000-0500-000074000000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51" authorId="0" shapeId="0" xr:uid="{00000000-0006-0000-0500-000075000000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51" authorId="0" shapeId="0" xr:uid="{00000000-0006-0000-0500-000076000000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51" authorId="0" shapeId="0" xr:uid="{00000000-0006-0000-0500-000077000000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51" authorId="1" shapeId="0" xr:uid="{00000000-0006-0000-0500-000078000000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56" authorId="0" shapeId="0" xr:uid="{00000000-0006-0000-0500-000079000000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56" authorId="0" shapeId="0" xr:uid="{00000000-0006-0000-0500-00007A000000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56" authorId="0" shapeId="0" xr:uid="{00000000-0006-0000-0500-00007B000000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56" authorId="0" shapeId="0" xr:uid="{00000000-0006-0000-0500-00007C000000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56" authorId="0" shapeId="0" xr:uid="{00000000-0006-0000-0500-00007D000000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56" authorId="1" shapeId="0" xr:uid="{00000000-0006-0000-0500-00007E000000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57" authorId="0" shapeId="0" xr:uid="{00000000-0006-0000-0500-00007F000000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57" authorId="0" shapeId="0" xr:uid="{00000000-0006-0000-0500-000080000000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57" authorId="0" shapeId="0" xr:uid="{00000000-0006-0000-0500-000081000000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57" authorId="0" shapeId="0" xr:uid="{00000000-0006-0000-0500-000082000000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57" authorId="0" shapeId="0" xr:uid="{00000000-0006-0000-0500-000083000000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57" authorId="1" shapeId="0" xr:uid="{00000000-0006-0000-0500-000084000000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60" authorId="0" shapeId="0" xr:uid="{00000000-0006-0000-0500-000085000000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60" authorId="0" shapeId="0" xr:uid="{00000000-0006-0000-0500-000086000000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60" authorId="0" shapeId="0" xr:uid="{00000000-0006-0000-0500-000087000000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60" authorId="0" shapeId="0" xr:uid="{00000000-0006-0000-0500-000088000000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60" authorId="0" shapeId="0" xr:uid="{00000000-0006-0000-0500-000089000000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60" authorId="1" shapeId="0" xr:uid="{00000000-0006-0000-0500-00008A000000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61" authorId="0" shapeId="0" xr:uid="{00000000-0006-0000-0500-00008B000000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61" authorId="0" shapeId="0" xr:uid="{00000000-0006-0000-0500-00008C000000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61" authorId="0" shapeId="0" xr:uid="{00000000-0006-0000-0500-00008D000000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61" authorId="0" shapeId="0" xr:uid="{00000000-0006-0000-0500-00008E000000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61" authorId="0" shapeId="0" xr:uid="{00000000-0006-0000-0500-00008F000000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61" authorId="1" shapeId="0" xr:uid="{00000000-0006-0000-0500-000090000000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64" authorId="0" shapeId="0" xr:uid="{00000000-0006-0000-0500-000091000000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64" authorId="0" shapeId="0" xr:uid="{00000000-0006-0000-0500-000092000000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64" authorId="0" shapeId="0" xr:uid="{00000000-0006-0000-0500-000093000000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64" authorId="0" shapeId="0" xr:uid="{00000000-0006-0000-0500-000094000000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64" authorId="0" shapeId="0" xr:uid="{00000000-0006-0000-0500-000095000000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64" authorId="1" shapeId="0" xr:uid="{00000000-0006-0000-0500-000096000000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65" authorId="0" shapeId="0" xr:uid="{00000000-0006-0000-0500-000097000000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65" authorId="0" shapeId="0" xr:uid="{00000000-0006-0000-0500-000098000000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65" authorId="0" shapeId="0" xr:uid="{00000000-0006-0000-0500-000099000000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65" authorId="0" shapeId="0" xr:uid="{00000000-0006-0000-0500-00009A000000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65" authorId="0" shapeId="0" xr:uid="{00000000-0006-0000-0500-00009B000000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65" authorId="1" shapeId="0" xr:uid="{00000000-0006-0000-0500-00009C000000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67" authorId="0" shapeId="0" xr:uid="{00000000-0006-0000-0500-00009D000000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67" authorId="0" shapeId="0" xr:uid="{00000000-0006-0000-0500-00009E000000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67" authorId="0" shapeId="0" xr:uid="{00000000-0006-0000-0500-00009F000000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67" authorId="0" shapeId="0" xr:uid="{00000000-0006-0000-0500-0000A0000000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67" authorId="0" shapeId="0" xr:uid="{00000000-0006-0000-0500-0000A1000000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67" authorId="1" shapeId="0" xr:uid="{00000000-0006-0000-0500-0000A2000000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71" authorId="0" shapeId="0" xr:uid="{00000000-0006-0000-0500-0000A3000000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71" authorId="0" shapeId="0" xr:uid="{00000000-0006-0000-0500-0000A4000000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71" authorId="0" shapeId="0" xr:uid="{00000000-0006-0000-0500-0000A5000000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71" authorId="0" shapeId="0" xr:uid="{00000000-0006-0000-0500-0000A6000000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71" authorId="0" shapeId="0" xr:uid="{00000000-0006-0000-0500-0000A7000000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71" authorId="1" shapeId="0" xr:uid="{00000000-0006-0000-0500-0000A8000000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74" authorId="0" shapeId="0" xr:uid="{00000000-0006-0000-0500-0000A9000000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74" authorId="0" shapeId="0" xr:uid="{00000000-0006-0000-0500-0000AA000000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74" authorId="0" shapeId="0" xr:uid="{00000000-0006-0000-0500-0000AB000000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74" authorId="0" shapeId="0" xr:uid="{00000000-0006-0000-0500-0000AC000000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74" authorId="0" shapeId="0" xr:uid="{00000000-0006-0000-0500-0000AD000000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74" authorId="1" shapeId="0" xr:uid="{00000000-0006-0000-0500-0000AE000000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78" authorId="0" shapeId="0" xr:uid="{00000000-0006-0000-0500-0000AF000000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78" authorId="0" shapeId="0" xr:uid="{00000000-0006-0000-0500-0000B0000000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78" authorId="0" shapeId="0" xr:uid="{00000000-0006-0000-0500-0000B1000000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78" authorId="0" shapeId="0" xr:uid="{00000000-0006-0000-0500-0000B2000000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78" authorId="0" shapeId="0" xr:uid="{00000000-0006-0000-0500-0000B3000000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78" authorId="1" shapeId="0" xr:uid="{00000000-0006-0000-0500-0000B4000000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79" authorId="0" shapeId="0" xr:uid="{00000000-0006-0000-0500-0000B5000000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79" authorId="0" shapeId="0" xr:uid="{00000000-0006-0000-0500-0000B6000000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79" authorId="0" shapeId="0" xr:uid="{00000000-0006-0000-0500-0000B7000000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79" authorId="0" shapeId="0" xr:uid="{00000000-0006-0000-0500-0000B8000000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79" authorId="0" shapeId="0" xr:uid="{00000000-0006-0000-0500-0000B9000000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79" authorId="1" shapeId="0" xr:uid="{00000000-0006-0000-0500-0000BA000000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81" authorId="0" shapeId="0" xr:uid="{00000000-0006-0000-0500-0000BB000000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81" authorId="0" shapeId="0" xr:uid="{00000000-0006-0000-0500-0000BC000000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81" authorId="0" shapeId="0" xr:uid="{00000000-0006-0000-0500-0000BD000000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81" authorId="0" shapeId="0" xr:uid="{00000000-0006-0000-0500-0000BE000000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81" authorId="0" shapeId="0" xr:uid="{00000000-0006-0000-0500-0000BF000000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81" authorId="1" shapeId="0" xr:uid="{00000000-0006-0000-0500-0000C0000000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82" authorId="0" shapeId="0" xr:uid="{00000000-0006-0000-0500-0000C1000000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82" authorId="0" shapeId="0" xr:uid="{00000000-0006-0000-0500-0000C2000000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82" authorId="0" shapeId="0" xr:uid="{00000000-0006-0000-0500-0000C3000000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82" authorId="0" shapeId="0" xr:uid="{00000000-0006-0000-0500-0000C4000000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82" authorId="0" shapeId="0" xr:uid="{00000000-0006-0000-0500-0000C5000000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82" authorId="1" shapeId="0" xr:uid="{00000000-0006-0000-0500-0000C6000000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85" authorId="0" shapeId="0" xr:uid="{00000000-0006-0000-0500-0000C7000000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85" authorId="0" shapeId="0" xr:uid="{00000000-0006-0000-0500-0000C8000000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85" authorId="0" shapeId="0" xr:uid="{00000000-0006-0000-0500-0000C9000000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85" authorId="0" shapeId="0" xr:uid="{00000000-0006-0000-0500-0000CA000000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85" authorId="0" shapeId="0" xr:uid="{00000000-0006-0000-0500-0000CB000000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85" authorId="1" shapeId="0" xr:uid="{00000000-0006-0000-0500-0000CC000000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86" authorId="0" shapeId="0" xr:uid="{00000000-0006-0000-0500-0000CD000000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86" authorId="0" shapeId="0" xr:uid="{00000000-0006-0000-0500-0000CE000000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86" authorId="0" shapeId="0" xr:uid="{00000000-0006-0000-0500-0000CF000000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86" authorId="0" shapeId="0" xr:uid="{00000000-0006-0000-0500-0000D0000000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86" authorId="0" shapeId="0" xr:uid="{00000000-0006-0000-0500-0000D1000000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86" authorId="1" shapeId="0" xr:uid="{00000000-0006-0000-0500-0000D2000000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87" authorId="0" shapeId="0" xr:uid="{00000000-0006-0000-0500-0000D3000000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87" authorId="0" shapeId="0" xr:uid="{00000000-0006-0000-0500-0000D4000000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87" authorId="0" shapeId="0" xr:uid="{00000000-0006-0000-0500-0000D5000000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87" authorId="0" shapeId="0" xr:uid="{00000000-0006-0000-0500-0000D6000000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87" authorId="0" shapeId="0" xr:uid="{00000000-0006-0000-0500-0000D7000000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87" authorId="1" shapeId="0" xr:uid="{00000000-0006-0000-0500-0000D8000000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91" authorId="0" shapeId="0" xr:uid="{00000000-0006-0000-0500-0000D9000000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91" authorId="0" shapeId="0" xr:uid="{00000000-0006-0000-0500-0000DA000000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91" authorId="0" shapeId="0" xr:uid="{00000000-0006-0000-0500-0000DB000000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91" authorId="0" shapeId="0" xr:uid="{00000000-0006-0000-0500-0000DC000000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91" authorId="0" shapeId="0" xr:uid="{00000000-0006-0000-0500-0000DD000000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91" authorId="1" shapeId="0" xr:uid="{00000000-0006-0000-0500-0000DE000000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94" authorId="0" shapeId="0" xr:uid="{00000000-0006-0000-0500-0000DF000000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94" authorId="0" shapeId="0" xr:uid="{00000000-0006-0000-0500-0000E0000000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94" authorId="0" shapeId="0" xr:uid="{00000000-0006-0000-0500-0000E1000000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94" authorId="0" shapeId="0" xr:uid="{00000000-0006-0000-0500-0000E2000000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94" authorId="0" shapeId="0" xr:uid="{00000000-0006-0000-0500-0000E3000000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94" authorId="1" shapeId="0" xr:uid="{00000000-0006-0000-0500-0000E4000000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96" authorId="0" shapeId="0" xr:uid="{00000000-0006-0000-0500-0000E5000000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96" authorId="0" shapeId="0" xr:uid="{00000000-0006-0000-0500-0000E6000000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96" authorId="0" shapeId="0" xr:uid="{00000000-0006-0000-0500-0000E7000000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96" authorId="0" shapeId="0" xr:uid="{00000000-0006-0000-0500-0000E8000000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96" authorId="0" shapeId="0" xr:uid="{00000000-0006-0000-0500-0000E9000000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96" authorId="1" shapeId="0" xr:uid="{00000000-0006-0000-0500-0000EA000000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97" authorId="0" shapeId="0" xr:uid="{00000000-0006-0000-0500-0000EB000000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97" authorId="0" shapeId="0" xr:uid="{00000000-0006-0000-0500-0000EC000000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97" authorId="0" shapeId="0" xr:uid="{00000000-0006-0000-0500-0000ED000000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97" authorId="0" shapeId="0" xr:uid="{00000000-0006-0000-0500-0000EE000000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97" authorId="0" shapeId="0" xr:uid="{00000000-0006-0000-0500-0000EF000000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97" authorId="1" shapeId="0" xr:uid="{00000000-0006-0000-0500-0000F0000000}">
      <text>
        <r>
          <rPr>
            <b/>
            <sz val="9"/>
            <color indexed="81"/>
            <rFont val="Tahoma"/>
            <family val="2"/>
          </rPr>
          <t>descargada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</author>
    <author>octavio-cic</author>
  </authors>
  <commentList>
    <comment ref="F5" authorId="0" shapeId="0" xr:uid="{00000000-0006-0000-0600-000001000000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5" authorId="0" shapeId="0" xr:uid="{00000000-0006-0000-0600-000002000000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5" authorId="0" shapeId="0" xr:uid="{00000000-0006-0000-0600-000003000000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5" authorId="0" shapeId="0" xr:uid="{00000000-0006-0000-0600-000004000000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5" authorId="0" shapeId="0" xr:uid="{00000000-0006-0000-0600-000005000000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5" authorId="1" shapeId="0" xr:uid="{00000000-0006-0000-0600-000006000000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6" authorId="0" shapeId="0" xr:uid="{00000000-0006-0000-0600-000007000000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6" authorId="0" shapeId="0" xr:uid="{00000000-0006-0000-0600-000008000000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6" authorId="0" shapeId="0" xr:uid="{00000000-0006-0000-0600-000009000000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6" authorId="0" shapeId="0" xr:uid="{00000000-0006-0000-0600-00000A000000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6" authorId="0" shapeId="0" xr:uid="{00000000-0006-0000-0600-00000B000000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6" authorId="1" shapeId="0" xr:uid="{00000000-0006-0000-0600-00000C000000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10" authorId="0" shapeId="0" xr:uid="{00000000-0006-0000-0600-00000D000000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10" authorId="0" shapeId="0" xr:uid="{00000000-0006-0000-0600-00000E000000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10" authorId="0" shapeId="0" xr:uid="{00000000-0006-0000-0600-00000F000000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10" authorId="0" shapeId="0" xr:uid="{00000000-0006-0000-0600-000010000000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10" authorId="0" shapeId="0" xr:uid="{00000000-0006-0000-0600-000011000000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10" authorId="1" shapeId="0" xr:uid="{00000000-0006-0000-0600-000012000000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11" authorId="0" shapeId="0" xr:uid="{00000000-0006-0000-0600-000013000000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11" authorId="0" shapeId="0" xr:uid="{00000000-0006-0000-0600-000014000000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11" authorId="0" shapeId="0" xr:uid="{00000000-0006-0000-0600-000015000000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11" authorId="0" shapeId="0" xr:uid="{00000000-0006-0000-0600-000016000000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11" authorId="0" shapeId="0" xr:uid="{00000000-0006-0000-0600-000017000000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11" authorId="1" shapeId="0" xr:uid="{00000000-0006-0000-0600-000018000000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14" authorId="0" shapeId="0" xr:uid="{00000000-0006-0000-0600-000019000000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14" authorId="0" shapeId="0" xr:uid="{00000000-0006-0000-0600-00001A000000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14" authorId="0" shapeId="0" xr:uid="{00000000-0006-0000-0600-00001B000000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14" authorId="0" shapeId="0" xr:uid="{00000000-0006-0000-0600-00001C000000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14" authorId="0" shapeId="0" xr:uid="{00000000-0006-0000-0600-00001D000000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14" authorId="1" shapeId="0" xr:uid="{00000000-0006-0000-0600-00001E000000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18" authorId="0" shapeId="0" xr:uid="{00000000-0006-0000-0600-00001F000000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18" authorId="0" shapeId="0" xr:uid="{00000000-0006-0000-0600-000020000000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18" authorId="0" shapeId="0" xr:uid="{00000000-0006-0000-0600-000021000000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18" authorId="0" shapeId="0" xr:uid="{00000000-0006-0000-0600-000022000000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18" authorId="0" shapeId="0" xr:uid="{00000000-0006-0000-0600-000023000000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18" authorId="1" shapeId="0" xr:uid="{00000000-0006-0000-0600-000024000000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21" authorId="0" shapeId="0" xr:uid="{00000000-0006-0000-0600-000025000000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21" authorId="0" shapeId="0" xr:uid="{00000000-0006-0000-0600-000026000000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21" authorId="0" shapeId="0" xr:uid="{00000000-0006-0000-0600-000027000000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21" authorId="0" shapeId="0" xr:uid="{00000000-0006-0000-0600-000028000000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21" authorId="0" shapeId="0" xr:uid="{00000000-0006-0000-0600-000029000000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21" authorId="1" shapeId="0" xr:uid="{00000000-0006-0000-0600-00002A000000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22" authorId="0" shapeId="0" xr:uid="{00000000-0006-0000-0600-00002B000000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22" authorId="0" shapeId="0" xr:uid="{00000000-0006-0000-0600-00002C000000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22" authorId="0" shapeId="0" xr:uid="{00000000-0006-0000-0600-00002D000000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22" authorId="0" shapeId="0" xr:uid="{00000000-0006-0000-0600-00002E000000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22" authorId="0" shapeId="0" xr:uid="{00000000-0006-0000-0600-00002F000000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22" authorId="1" shapeId="0" xr:uid="{00000000-0006-0000-0600-000030000000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25" authorId="0" shapeId="0" xr:uid="{00000000-0006-0000-0600-000031000000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25" authorId="0" shapeId="0" xr:uid="{00000000-0006-0000-0600-000032000000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25" authorId="0" shapeId="0" xr:uid="{00000000-0006-0000-0600-000033000000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25" authorId="0" shapeId="0" xr:uid="{00000000-0006-0000-0600-000034000000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25" authorId="0" shapeId="0" xr:uid="{00000000-0006-0000-0600-000035000000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25" authorId="1" shapeId="0" xr:uid="{00000000-0006-0000-0600-000036000000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26" authorId="0" shapeId="0" xr:uid="{00000000-0006-0000-0600-000037000000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26" authorId="0" shapeId="0" xr:uid="{00000000-0006-0000-0600-000038000000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26" authorId="0" shapeId="0" xr:uid="{00000000-0006-0000-0600-000039000000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26" authorId="0" shapeId="0" xr:uid="{00000000-0006-0000-0600-00003A000000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26" authorId="0" shapeId="0" xr:uid="{00000000-0006-0000-0600-00003B000000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26" authorId="1" shapeId="0" xr:uid="{00000000-0006-0000-0600-00003C000000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32" authorId="0" shapeId="0" xr:uid="{00000000-0006-0000-0600-00003D000000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32" authorId="0" shapeId="0" xr:uid="{00000000-0006-0000-0600-00003E000000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32" authorId="0" shapeId="0" xr:uid="{00000000-0006-0000-0600-00003F000000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32" authorId="0" shapeId="0" xr:uid="{00000000-0006-0000-0600-000040000000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32" authorId="0" shapeId="0" xr:uid="{00000000-0006-0000-0600-000041000000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32" authorId="1" shapeId="0" xr:uid="{00000000-0006-0000-0600-000042000000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33" authorId="0" shapeId="0" xr:uid="{00000000-0006-0000-0600-000043000000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33" authorId="0" shapeId="0" xr:uid="{00000000-0006-0000-0600-000044000000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33" authorId="0" shapeId="0" xr:uid="{00000000-0006-0000-0600-000045000000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33" authorId="0" shapeId="0" xr:uid="{00000000-0006-0000-0600-000046000000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33" authorId="0" shapeId="0" xr:uid="{00000000-0006-0000-0600-000047000000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33" authorId="1" shapeId="0" xr:uid="{00000000-0006-0000-0600-000048000000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37" authorId="0" shapeId="0" xr:uid="{00000000-0006-0000-0600-000049000000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37" authorId="0" shapeId="0" xr:uid="{00000000-0006-0000-0600-00004A000000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37" authorId="0" shapeId="0" xr:uid="{00000000-0006-0000-0600-00004B000000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37" authorId="0" shapeId="0" xr:uid="{00000000-0006-0000-0600-00004C000000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37" authorId="0" shapeId="0" xr:uid="{00000000-0006-0000-0600-00004D000000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37" authorId="1" shapeId="0" xr:uid="{00000000-0006-0000-0600-00004E000000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42" authorId="0" shapeId="0" xr:uid="{00000000-0006-0000-0600-00004F000000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42" authorId="0" shapeId="0" xr:uid="{00000000-0006-0000-0600-000050000000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42" authorId="0" shapeId="0" xr:uid="{00000000-0006-0000-0600-000051000000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42" authorId="0" shapeId="0" xr:uid="{00000000-0006-0000-0600-000052000000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42" authorId="0" shapeId="0" xr:uid="{00000000-0006-0000-0600-000053000000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42" authorId="1" shapeId="0" xr:uid="{00000000-0006-0000-0600-000054000000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43" authorId="0" shapeId="0" xr:uid="{00000000-0006-0000-0600-000055000000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43" authorId="0" shapeId="0" xr:uid="{00000000-0006-0000-0600-000056000000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43" authorId="0" shapeId="0" xr:uid="{00000000-0006-0000-0600-000057000000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43" authorId="0" shapeId="0" xr:uid="{00000000-0006-0000-0600-000058000000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43" authorId="0" shapeId="0" xr:uid="{00000000-0006-0000-0600-000059000000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43" authorId="1" shapeId="0" xr:uid="{00000000-0006-0000-0600-00005A000000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46" authorId="0" shapeId="0" xr:uid="{00000000-0006-0000-0600-00005B000000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46" authorId="0" shapeId="0" xr:uid="{00000000-0006-0000-0600-00005C000000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46" authorId="0" shapeId="0" xr:uid="{00000000-0006-0000-0600-00005D000000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46" authorId="0" shapeId="0" xr:uid="{00000000-0006-0000-0600-00005E000000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46" authorId="0" shapeId="0" xr:uid="{00000000-0006-0000-0600-00005F000000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46" authorId="1" shapeId="0" xr:uid="{00000000-0006-0000-0600-000060000000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47" authorId="0" shapeId="0" xr:uid="{00000000-0006-0000-0600-000061000000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47" authorId="0" shapeId="0" xr:uid="{00000000-0006-0000-0600-000062000000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47" authorId="0" shapeId="0" xr:uid="{00000000-0006-0000-0600-000063000000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47" authorId="0" shapeId="0" xr:uid="{00000000-0006-0000-0600-000064000000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47" authorId="0" shapeId="0" xr:uid="{00000000-0006-0000-0600-000065000000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47" authorId="1" shapeId="0" xr:uid="{00000000-0006-0000-0600-000066000000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54" authorId="0" shapeId="0" xr:uid="{00000000-0006-0000-0600-000067000000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54" authorId="0" shapeId="0" xr:uid="{00000000-0006-0000-0600-000068000000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54" authorId="0" shapeId="0" xr:uid="{00000000-0006-0000-0600-000069000000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54" authorId="0" shapeId="0" xr:uid="{00000000-0006-0000-0600-00006A000000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54" authorId="0" shapeId="0" xr:uid="{00000000-0006-0000-0600-00006B000000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54" authorId="1" shapeId="0" xr:uid="{00000000-0006-0000-0600-00006C000000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R55" authorId="0" shapeId="0" xr:uid="{00000000-0006-0000-0600-00006D000000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55" authorId="0" shapeId="0" xr:uid="{00000000-0006-0000-0600-00006E000000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55" authorId="1" shapeId="0" xr:uid="{00000000-0006-0000-0600-00006F000000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56" authorId="0" shapeId="0" xr:uid="{00000000-0006-0000-0600-000070000000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56" authorId="0" shapeId="0" xr:uid="{00000000-0006-0000-0600-000071000000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56" authorId="0" shapeId="0" xr:uid="{00000000-0006-0000-0600-000072000000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56" authorId="0" shapeId="0" xr:uid="{00000000-0006-0000-0600-000073000000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56" authorId="0" shapeId="0" xr:uid="{00000000-0006-0000-0600-000074000000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56" authorId="1" shapeId="0" xr:uid="{00000000-0006-0000-0600-000075000000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62" authorId="0" shapeId="0" xr:uid="{00000000-0006-0000-0600-000076000000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62" authorId="0" shapeId="0" xr:uid="{00000000-0006-0000-0600-000077000000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62" authorId="0" shapeId="0" xr:uid="{00000000-0006-0000-0600-000078000000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62" authorId="0" shapeId="0" xr:uid="{00000000-0006-0000-0600-000079000000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62" authorId="0" shapeId="0" xr:uid="{00000000-0006-0000-0600-00007A000000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62" authorId="1" shapeId="0" xr:uid="{00000000-0006-0000-0600-00007B000000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65" authorId="0" shapeId="0" xr:uid="{00000000-0006-0000-0600-00007C000000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65" authorId="0" shapeId="0" xr:uid="{00000000-0006-0000-0600-00007D000000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65" authorId="0" shapeId="0" xr:uid="{00000000-0006-0000-0600-00007E000000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65" authorId="0" shapeId="0" xr:uid="{00000000-0006-0000-0600-00007F000000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65" authorId="0" shapeId="0" xr:uid="{00000000-0006-0000-0600-000080000000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65" authorId="1" shapeId="0" xr:uid="{00000000-0006-0000-0600-000081000000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67" authorId="0" shapeId="0" xr:uid="{00000000-0006-0000-0600-000082000000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67" authorId="0" shapeId="0" xr:uid="{00000000-0006-0000-0600-000083000000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67" authorId="0" shapeId="0" xr:uid="{00000000-0006-0000-0600-000084000000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67" authorId="0" shapeId="0" xr:uid="{00000000-0006-0000-0600-000085000000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67" authorId="0" shapeId="0" xr:uid="{00000000-0006-0000-0600-000086000000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67" authorId="1" shapeId="0" xr:uid="{00000000-0006-0000-0600-000087000000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68" authorId="0" shapeId="0" xr:uid="{00000000-0006-0000-0600-000088000000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68" authorId="0" shapeId="0" xr:uid="{00000000-0006-0000-0600-000089000000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68" authorId="0" shapeId="0" xr:uid="{00000000-0006-0000-0600-00008A000000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68" authorId="0" shapeId="0" xr:uid="{00000000-0006-0000-0600-00008B000000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68" authorId="0" shapeId="0" xr:uid="{00000000-0006-0000-0600-00008C000000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68" authorId="1" shapeId="0" xr:uid="{00000000-0006-0000-0600-00008D000000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72" authorId="0" shapeId="0" xr:uid="{00000000-0006-0000-0600-00008E000000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72" authorId="0" shapeId="0" xr:uid="{00000000-0006-0000-0600-00008F000000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72" authorId="0" shapeId="0" xr:uid="{00000000-0006-0000-0600-000090000000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72" authorId="0" shapeId="0" xr:uid="{00000000-0006-0000-0600-000091000000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72" authorId="0" shapeId="0" xr:uid="{00000000-0006-0000-0600-000092000000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72" authorId="1" shapeId="0" xr:uid="{00000000-0006-0000-0600-000093000000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73" authorId="0" shapeId="0" xr:uid="{00000000-0006-0000-0600-000094000000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73" authorId="0" shapeId="0" xr:uid="{00000000-0006-0000-0600-000095000000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73" authorId="0" shapeId="0" xr:uid="{00000000-0006-0000-0600-000096000000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73" authorId="0" shapeId="0" xr:uid="{00000000-0006-0000-0600-000097000000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73" authorId="0" shapeId="0" xr:uid="{00000000-0006-0000-0600-000098000000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73" authorId="1" shapeId="0" xr:uid="{00000000-0006-0000-0600-000099000000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78" authorId="0" shapeId="0" xr:uid="{00000000-0006-0000-0600-00009A000000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78" authorId="0" shapeId="0" xr:uid="{00000000-0006-0000-0600-00009B000000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78" authorId="0" shapeId="0" xr:uid="{00000000-0006-0000-0600-00009C000000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78" authorId="0" shapeId="0" xr:uid="{00000000-0006-0000-0600-00009D000000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78" authorId="0" shapeId="0" xr:uid="{00000000-0006-0000-0600-00009E000000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78" authorId="1" shapeId="0" xr:uid="{00000000-0006-0000-0600-00009F000000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79" authorId="0" shapeId="0" xr:uid="{00000000-0006-0000-0600-0000A0000000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79" authorId="0" shapeId="0" xr:uid="{00000000-0006-0000-0600-0000A1000000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79" authorId="0" shapeId="0" xr:uid="{00000000-0006-0000-0600-0000A2000000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79" authorId="0" shapeId="0" xr:uid="{00000000-0006-0000-0600-0000A3000000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79" authorId="0" shapeId="0" xr:uid="{00000000-0006-0000-0600-0000A4000000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79" authorId="1" shapeId="0" xr:uid="{00000000-0006-0000-0600-0000A5000000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80" authorId="0" shapeId="0" xr:uid="{00000000-0006-0000-0600-0000A6000000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80" authorId="0" shapeId="0" xr:uid="{00000000-0006-0000-0600-0000A7000000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80" authorId="0" shapeId="0" xr:uid="{00000000-0006-0000-0600-0000A8000000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80" authorId="0" shapeId="0" xr:uid="{00000000-0006-0000-0600-0000A9000000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80" authorId="0" shapeId="0" xr:uid="{00000000-0006-0000-0600-0000AA000000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80" authorId="1" shapeId="0" xr:uid="{00000000-0006-0000-0600-0000AB000000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83" authorId="0" shapeId="0" xr:uid="{00000000-0006-0000-0600-0000AC000000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83" authorId="0" shapeId="0" xr:uid="{00000000-0006-0000-0600-0000AD000000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83" authorId="0" shapeId="0" xr:uid="{00000000-0006-0000-0600-0000AE000000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83" authorId="0" shapeId="0" xr:uid="{00000000-0006-0000-0600-0000AF000000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83" authorId="0" shapeId="0" xr:uid="{00000000-0006-0000-0600-0000B0000000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83" authorId="1" shapeId="0" xr:uid="{00000000-0006-0000-0600-0000B1000000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84" authorId="0" shapeId="0" xr:uid="{00000000-0006-0000-0600-0000B2000000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84" authorId="0" shapeId="0" xr:uid="{00000000-0006-0000-0600-0000B3000000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84" authorId="0" shapeId="0" xr:uid="{00000000-0006-0000-0600-0000B4000000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84" authorId="0" shapeId="0" xr:uid="{00000000-0006-0000-0600-0000B5000000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84" authorId="0" shapeId="0" xr:uid="{00000000-0006-0000-0600-0000B6000000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84" authorId="1" shapeId="0" xr:uid="{00000000-0006-0000-0600-0000B7000000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85" authorId="0" shapeId="0" xr:uid="{00000000-0006-0000-0600-0000B8000000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85" authorId="0" shapeId="0" xr:uid="{00000000-0006-0000-0600-0000B9000000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85" authorId="0" shapeId="0" xr:uid="{00000000-0006-0000-0600-0000BA000000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85" authorId="0" shapeId="0" xr:uid="{00000000-0006-0000-0600-0000BB000000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85" authorId="0" shapeId="0" xr:uid="{00000000-0006-0000-0600-0000BC000000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85" authorId="1" shapeId="0" xr:uid="{00000000-0006-0000-0600-0000BD000000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87" authorId="0" shapeId="0" xr:uid="{00000000-0006-0000-0600-0000BE000000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87" authorId="0" shapeId="0" xr:uid="{00000000-0006-0000-0600-0000BF000000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87" authorId="0" shapeId="0" xr:uid="{00000000-0006-0000-0600-0000C0000000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87" authorId="0" shapeId="0" xr:uid="{00000000-0006-0000-0600-0000C1000000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87" authorId="0" shapeId="0" xr:uid="{00000000-0006-0000-0600-0000C2000000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87" authorId="1" shapeId="0" xr:uid="{00000000-0006-0000-0600-0000C3000000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88" authorId="0" shapeId="0" xr:uid="{00000000-0006-0000-0600-0000C4000000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88" authorId="0" shapeId="0" xr:uid="{00000000-0006-0000-0600-0000C5000000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88" authorId="0" shapeId="0" xr:uid="{00000000-0006-0000-0600-0000C6000000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88" authorId="0" shapeId="0" xr:uid="{00000000-0006-0000-0600-0000C7000000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88" authorId="0" shapeId="0" xr:uid="{00000000-0006-0000-0600-0000C8000000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88" authorId="1" shapeId="0" xr:uid="{00000000-0006-0000-0600-0000C9000000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90" authorId="0" shapeId="0" xr:uid="{00000000-0006-0000-0600-0000CA000000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90" authorId="0" shapeId="0" xr:uid="{00000000-0006-0000-0600-0000CB000000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90" authorId="0" shapeId="0" xr:uid="{00000000-0006-0000-0600-0000CC000000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90" authorId="0" shapeId="0" xr:uid="{00000000-0006-0000-0600-0000CD000000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90" authorId="0" shapeId="0" xr:uid="{00000000-0006-0000-0600-0000CE000000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90" authorId="1" shapeId="0" xr:uid="{00000000-0006-0000-0600-0000CF000000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91" authorId="0" shapeId="0" xr:uid="{00000000-0006-0000-0600-0000D0000000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91" authorId="0" shapeId="0" xr:uid="{00000000-0006-0000-0600-0000D1000000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91" authorId="0" shapeId="0" xr:uid="{00000000-0006-0000-0600-0000D2000000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91" authorId="0" shapeId="0" xr:uid="{00000000-0006-0000-0600-0000D3000000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91" authorId="0" shapeId="0" xr:uid="{00000000-0006-0000-0600-0000D4000000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91" authorId="1" shapeId="0" xr:uid="{00000000-0006-0000-0600-0000D5000000}">
      <text>
        <r>
          <rPr>
            <b/>
            <sz val="9"/>
            <color indexed="81"/>
            <rFont val="Tahoma"/>
            <family val="2"/>
          </rPr>
          <t>descargada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</author>
    <author>octavio-cic</author>
  </authors>
  <commentList>
    <comment ref="F4" authorId="0" shapeId="0" xr:uid="{00000000-0006-0000-0700-000001000000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4" authorId="0" shapeId="0" xr:uid="{00000000-0006-0000-0700-000002000000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4" authorId="0" shapeId="0" xr:uid="{00000000-0006-0000-0700-000003000000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4" authorId="0" shapeId="0" xr:uid="{00000000-0006-0000-0700-000004000000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4" authorId="0" shapeId="0" xr:uid="{00000000-0006-0000-0700-000005000000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4" authorId="1" shapeId="0" xr:uid="{00000000-0006-0000-0700-000006000000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5" authorId="0" shapeId="0" xr:uid="{00000000-0006-0000-0700-000007000000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5" authorId="0" shapeId="0" xr:uid="{00000000-0006-0000-0700-000008000000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5" authorId="0" shapeId="0" xr:uid="{00000000-0006-0000-0700-000009000000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5" authorId="0" shapeId="0" xr:uid="{00000000-0006-0000-0700-00000A000000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5" authorId="0" shapeId="0" xr:uid="{00000000-0006-0000-0700-00000B000000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5" authorId="1" shapeId="0" xr:uid="{00000000-0006-0000-0700-00000C000000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6" authorId="0" shapeId="0" xr:uid="{00000000-0006-0000-0700-00000D000000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6" authorId="0" shapeId="0" xr:uid="{00000000-0006-0000-0700-00000E000000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6" authorId="0" shapeId="0" xr:uid="{00000000-0006-0000-0700-00000F000000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6" authorId="0" shapeId="0" xr:uid="{00000000-0006-0000-0700-000010000000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6" authorId="0" shapeId="0" xr:uid="{00000000-0006-0000-0700-000011000000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6" authorId="1" shapeId="0" xr:uid="{00000000-0006-0000-0700-000012000000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7" authorId="0" shapeId="0" xr:uid="{00000000-0006-0000-0700-000013000000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7" authorId="0" shapeId="0" xr:uid="{00000000-0006-0000-0700-000014000000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7" authorId="0" shapeId="0" xr:uid="{00000000-0006-0000-0700-000015000000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7" authorId="0" shapeId="0" xr:uid="{00000000-0006-0000-0700-000016000000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7" authorId="0" shapeId="0" xr:uid="{00000000-0006-0000-0700-000017000000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7" authorId="1" shapeId="0" xr:uid="{00000000-0006-0000-0700-000018000000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10" authorId="0" shapeId="0" xr:uid="{00000000-0006-0000-0700-000019000000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10" authorId="0" shapeId="0" xr:uid="{00000000-0006-0000-0700-00001A000000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10" authorId="0" shapeId="0" xr:uid="{00000000-0006-0000-0700-00001B000000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10" authorId="0" shapeId="0" xr:uid="{00000000-0006-0000-0700-00001C000000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10" authorId="0" shapeId="0" xr:uid="{00000000-0006-0000-0700-00001D000000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10" authorId="1" shapeId="0" xr:uid="{00000000-0006-0000-0700-00001E000000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11" authorId="0" shapeId="0" xr:uid="{00000000-0006-0000-0700-00001F000000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11" authorId="0" shapeId="0" xr:uid="{00000000-0006-0000-0700-000020000000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11" authorId="0" shapeId="0" xr:uid="{00000000-0006-0000-0700-000021000000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11" authorId="0" shapeId="0" xr:uid="{00000000-0006-0000-0700-000022000000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11" authorId="0" shapeId="0" xr:uid="{00000000-0006-0000-0700-000023000000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11" authorId="1" shapeId="0" xr:uid="{00000000-0006-0000-0700-000024000000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14" authorId="0" shapeId="0" xr:uid="{00000000-0006-0000-0700-000025000000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14" authorId="0" shapeId="0" xr:uid="{00000000-0006-0000-0700-000026000000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14" authorId="0" shapeId="0" xr:uid="{00000000-0006-0000-0700-000027000000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14" authorId="0" shapeId="0" xr:uid="{00000000-0006-0000-0700-000028000000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14" authorId="0" shapeId="0" xr:uid="{00000000-0006-0000-0700-000029000000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14" authorId="1" shapeId="0" xr:uid="{00000000-0006-0000-0700-00002A000000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15" authorId="0" shapeId="0" xr:uid="{00000000-0006-0000-0700-00002B000000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15" authorId="0" shapeId="0" xr:uid="{00000000-0006-0000-0700-00002C000000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15" authorId="0" shapeId="0" xr:uid="{00000000-0006-0000-0700-00002D000000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15" authorId="0" shapeId="0" xr:uid="{00000000-0006-0000-0700-00002E000000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15" authorId="0" shapeId="0" xr:uid="{00000000-0006-0000-0700-00002F000000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15" authorId="1" shapeId="0" xr:uid="{00000000-0006-0000-0700-000030000000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18" authorId="0" shapeId="0" xr:uid="{00000000-0006-0000-0700-000031000000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18" authorId="0" shapeId="0" xr:uid="{00000000-0006-0000-0700-000032000000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18" authorId="0" shapeId="0" xr:uid="{00000000-0006-0000-0700-000033000000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18" authorId="0" shapeId="0" xr:uid="{00000000-0006-0000-0700-000034000000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18" authorId="0" shapeId="0" xr:uid="{00000000-0006-0000-0700-000035000000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18" authorId="1" shapeId="0" xr:uid="{00000000-0006-0000-0700-000036000000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19" authorId="0" shapeId="0" xr:uid="{00000000-0006-0000-0700-000037000000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19" authorId="0" shapeId="0" xr:uid="{00000000-0006-0000-0700-000038000000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19" authorId="0" shapeId="0" xr:uid="{00000000-0006-0000-0700-000039000000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19" authorId="0" shapeId="0" xr:uid="{00000000-0006-0000-0700-00003A000000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19" authorId="0" shapeId="0" xr:uid="{00000000-0006-0000-0700-00003B000000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19" authorId="1" shapeId="0" xr:uid="{00000000-0006-0000-0700-00003C000000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24" authorId="0" shapeId="0" xr:uid="{00000000-0006-0000-0700-00003D000000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24" authorId="0" shapeId="0" xr:uid="{00000000-0006-0000-0700-00003E000000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24" authorId="0" shapeId="0" xr:uid="{00000000-0006-0000-0700-00003F000000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24" authorId="0" shapeId="0" xr:uid="{00000000-0006-0000-0700-000040000000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24" authorId="0" shapeId="0" xr:uid="{00000000-0006-0000-0700-000041000000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24" authorId="1" shapeId="0" xr:uid="{00000000-0006-0000-0700-000042000000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25" authorId="0" shapeId="0" xr:uid="{00000000-0006-0000-0700-000043000000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25" authorId="0" shapeId="0" xr:uid="{00000000-0006-0000-0700-000044000000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25" authorId="0" shapeId="0" xr:uid="{00000000-0006-0000-0700-000045000000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25" authorId="0" shapeId="0" xr:uid="{00000000-0006-0000-0700-000046000000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25" authorId="0" shapeId="0" xr:uid="{00000000-0006-0000-0700-000047000000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25" authorId="1" shapeId="0" xr:uid="{00000000-0006-0000-0700-000048000000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G26" authorId="0" shapeId="0" xr:uid="{00000000-0006-0000-0700-000049000000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26" authorId="0" shapeId="0" xr:uid="{00000000-0006-0000-0700-00004A000000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F30" authorId="0" shapeId="0" xr:uid="{00000000-0006-0000-0700-00004B000000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30" authorId="0" shapeId="0" xr:uid="{00000000-0006-0000-0700-00004C000000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30" authorId="0" shapeId="0" xr:uid="{00000000-0006-0000-0700-00004D000000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30" authorId="0" shapeId="0" xr:uid="{00000000-0006-0000-0700-00004E000000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30" authorId="0" shapeId="0" xr:uid="{00000000-0006-0000-0700-00004F000000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30" authorId="1" shapeId="0" xr:uid="{00000000-0006-0000-0700-000050000000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34" authorId="0" shapeId="0" xr:uid="{00000000-0006-0000-0700-000051000000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34" authorId="0" shapeId="0" xr:uid="{00000000-0006-0000-0700-000052000000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34" authorId="0" shapeId="0" xr:uid="{00000000-0006-0000-0700-000053000000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34" authorId="0" shapeId="0" xr:uid="{00000000-0006-0000-0700-000054000000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34" authorId="0" shapeId="0" xr:uid="{00000000-0006-0000-0700-000055000000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34" authorId="1" shapeId="0" xr:uid="{00000000-0006-0000-0700-000056000000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37" authorId="0" shapeId="0" xr:uid="{00000000-0006-0000-0700-000057000000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37" authorId="0" shapeId="0" xr:uid="{00000000-0006-0000-0700-000058000000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37" authorId="0" shapeId="0" xr:uid="{00000000-0006-0000-0700-000059000000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37" authorId="0" shapeId="0" xr:uid="{00000000-0006-0000-0700-00005A000000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37" authorId="0" shapeId="0" xr:uid="{00000000-0006-0000-0700-00005B000000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37" authorId="1" shapeId="0" xr:uid="{00000000-0006-0000-0700-00005C000000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38" authorId="0" shapeId="0" xr:uid="{00000000-0006-0000-0700-00005D000000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38" authorId="0" shapeId="0" xr:uid="{00000000-0006-0000-0700-00005E000000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38" authorId="0" shapeId="0" xr:uid="{00000000-0006-0000-0700-00005F000000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38" authorId="0" shapeId="0" xr:uid="{00000000-0006-0000-0700-000060000000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38" authorId="0" shapeId="0" xr:uid="{00000000-0006-0000-0700-000061000000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38" authorId="1" shapeId="0" xr:uid="{00000000-0006-0000-0700-000062000000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40" authorId="0" shapeId="0" xr:uid="{00000000-0006-0000-0700-000063000000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40" authorId="0" shapeId="0" xr:uid="{00000000-0006-0000-0700-000064000000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40" authorId="0" shapeId="0" xr:uid="{00000000-0006-0000-0700-000065000000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40" authorId="0" shapeId="0" xr:uid="{00000000-0006-0000-0700-000066000000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40" authorId="0" shapeId="0" xr:uid="{00000000-0006-0000-0700-000067000000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40" authorId="1" shapeId="0" xr:uid="{00000000-0006-0000-0700-000068000000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41" authorId="0" shapeId="0" xr:uid="{00000000-0006-0000-0700-000069000000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41" authorId="0" shapeId="0" xr:uid="{00000000-0006-0000-0700-00006A000000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41" authorId="0" shapeId="0" xr:uid="{00000000-0006-0000-0700-00006B000000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41" authorId="0" shapeId="0" xr:uid="{00000000-0006-0000-0700-00006C000000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41" authorId="0" shapeId="0" xr:uid="{00000000-0006-0000-0700-00006D000000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41" authorId="1" shapeId="0" xr:uid="{00000000-0006-0000-0700-00006E000000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45" authorId="0" shapeId="0" xr:uid="{00000000-0006-0000-0700-00006F000000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45" authorId="0" shapeId="0" xr:uid="{00000000-0006-0000-0700-000070000000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45" authorId="0" shapeId="0" xr:uid="{00000000-0006-0000-0700-000071000000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45" authorId="0" shapeId="0" xr:uid="{00000000-0006-0000-0700-000072000000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45" authorId="0" shapeId="0" xr:uid="{00000000-0006-0000-0700-000073000000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45" authorId="1" shapeId="0" xr:uid="{00000000-0006-0000-0700-000074000000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46" authorId="0" shapeId="0" xr:uid="{00000000-0006-0000-0700-000075000000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46" authorId="0" shapeId="0" xr:uid="{00000000-0006-0000-0700-000076000000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46" authorId="0" shapeId="0" xr:uid="{00000000-0006-0000-0700-000077000000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46" authorId="0" shapeId="0" xr:uid="{00000000-0006-0000-0700-000078000000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46" authorId="0" shapeId="0" xr:uid="{00000000-0006-0000-0700-000079000000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46" authorId="1" shapeId="0" xr:uid="{00000000-0006-0000-0700-00007A000000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47" authorId="0" shapeId="0" xr:uid="{00000000-0006-0000-0700-00007B000000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47" authorId="0" shapeId="0" xr:uid="{00000000-0006-0000-0700-00007C000000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47" authorId="0" shapeId="0" xr:uid="{00000000-0006-0000-0700-00007D000000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47" authorId="0" shapeId="0" xr:uid="{00000000-0006-0000-0700-00007E000000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47" authorId="0" shapeId="0" xr:uid="{00000000-0006-0000-0700-00007F000000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47" authorId="1" shapeId="0" xr:uid="{00000000-0006-0000-0700-000080000000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48" authorId="0" shapeId="0" xr:uid="{00000000-0006-0000-0700-000081000000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48" authorId="0" shapeId="0" xr:uid="{00000000-0006-0000-0700-000082000000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48" authorId="0" shapeId="0" xr:uid="{00000000-0006-0000-0700-000083000000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48" authorId="0" shapeId="0" xr:uid="{00000000-0006-0000-0700-000084000000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48" authorId="0" shapeId="0" xr:uid="{00000000-0006-0000-0700-000085000000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48" authorId="1" shapeId="0" xr:uid="{00000000-0006-0000-0700-000086000000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51" authorId="0" shapeId="0" xr:uid="{00000000-0006-0000-0700-000087000000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51" authorId="0" shapeId="0" xr:uid="{00000000-0006-0000-0700-000088000000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51" authorId="0" shapeId="0" xr:uid="{00000000-0006-0000-0700-000089000000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51" authorId="0" shapeId="0" xr:uid="{00000000-0006-0000-0700-00008A000000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51" authorId="0" shapeId="0" xr:uid="{00000000-0006-0000-0700-00008B000000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51" authorId="1" shapeId="0" xr:uid="{00000000-0006-0000-0700-00008C000000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56" authorId="0" shapeId="0" xr:uid="{00000000-0006-0000-0700-00008D000000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56" authorId="0" shapeId="0" xr:uid="{00000000-0006-0000-0700-00008E000000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56" authorId="0" shapeId="0" xr:uid="{00000000-0006-0000-0700-00008F000000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56" authorId="0" shapeId="0" xr:uid="{00000000-0006-0000-0700-000090000000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56" authorId="0" shapeId="0" xr:uid="{00000000-0006-0000-0700-000091000000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56" authorId="1" shapeId="0" xr:uid="{00000000-0006-0000-0700-000092000000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57" authorId="0" shapeId="0" xr:uid="{00000000-0006-0000-0700-000093000000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57" authorId="0" shapeId="0" xr:uid="{00000000-0006-0000-0700-000094000000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57" authorId="0" shapeId="0" xr:uid="{00000000-0006-0000-0700-000095000000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57" authorId="0" shapeId="0" xr:uid="{00000000-0006-0000-0700-000096000000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57" authorId="0" shapeId="0" xr:uid="{00000000-0006-0000-0700-000097000000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57" authorId="1" shapeId="0" xr:uid="{00000000-0006-0000-0700-000098000000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59" authorId="0" shapeId="0" xr:uid="{00000000-0006-0000-0700-000099000000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59" authorId="0" shapeId="0" xr:uid="{00000000-0006-0000-0700-00009A000000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59" authorId="0" shapeId="0" xr:uid="{00000000-0006-0000-0700-00009B000000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59" authorId="0" shapeId="0" xr:uid="{00000000-0006-0000-0700-00009C000000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59" authorId="0" shapeId="0" xr:uid="{00000000-0006-0000-0700-00009D000000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59" authorId="1" shapeId="0" xr:uid="{00000000-0006-0000-0700-00009E000000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60" authorId="0" shapeId="0" xr:uid="{00000000-0006-0000-0700-00009F000000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60" authorId="0" shapeId="0" xr:uid="{00000000-0006-0000-0700-0000A0000000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60" authorId="0" shapeId="0" xr:uid="{00000000-0006-0000-0700-0000A1000000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60" authorId="0" shapeId="0" xr:uid="{00000000-0006-0000-0700-0000A2000000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60" authorId="0" shapeId="0" xr:uid="{00000000-0006-0000-0700-0000A3000000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60" authorId="1" shapeId="0" xr:uid="{00000000-0006-0000-0700-0000A4000000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63" authorId="0" shapeId="0" xr:uid="{00000000-0006-0000-0700-0000A5000000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63" authorId="0" shapeId="0" xr:uid="{00000000-0006-0000-0700-0000A6000000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63" authorId="0" shapeId="0" xr:uid="{00000000-0006-0000-0700-0000A7000000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63" authorId="0" shapeId="0" xr:uid="{00000000-0006-0000-0700-0000A8000000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63" authorId="0" shapeId="0" xr:uid="{00000000-0006-0000-0700-0000A9000000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63" authorId="1" shapeId="0" xr:uid="{00000000-0006-0000-0700-0000AA000000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64" authorId="0" shapeId="0" xr:uid="{00000000-0006-0000-0700-0000AB000000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64" authorId="0" shapeId="0" xr:uid="{00000000-0006-0000-0700-0000AC000000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64" authorId="0" shapeId="0" xr:uid="{00000000-0006-0000-0700-0000AD000000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64" authorId="0" shapeId="0" xr:uid="{00000000-0006-0000-0700-0000AE000000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64" authorId="0" shapeId="0" xr:uid="{00000000-0006-0000-0700-0000AF000000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64" authorId="1" shapeId="0" xr:uid="{00000000-0006-0000-0700-0000B0000000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67" authorId="0" shapeId="0" xr:uid="{00000000-0006-0000-0700-0000B1000000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67" authorId="0" shapeId="0" xr:uid="{00000000-0006-0000-0700-0000B2000000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67" authorId="0" shapeId="0" xr:uid="{00000000-0006-0000-0700-0000B3000000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67" authorId="0" shapeId="0" xr:uid="{00000000-0006-0000-0700-0000B4000000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67" authorId="0" shapeId="0" xr:uid="{00000000-0006-0000-0700-0000B5000000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67" authorId="1" shapeId="0" xr:uid="{00000000-0006-0000-0700-0000B6000000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68" authorId="0" shapeId="0" xr:uid="{00000000-0006-0000-0700-0000B7000000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68" authorId="0" shapeId="0" xr:uid="{00000000-0006-0000-0700-0000B8000000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68" authorId="0" shapeId="0" xr:uid="{00000000-0006-0000-0700-0000B9000000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68" authorId="0" shapeId="0" xr:uid="{00000000-0006-0000-0700-0000BA000000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68" authorId="0" shapeId="0" xr:uid="{00000000-0006-0000-0700-0000BB000000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68" authorId="1" shapeId="0" xr:uid="{00000000-0006-0000-0700-0000BC000000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71" authorId="0" shapeId="0" xr:uid="{00000000-0006-0000-0700-0000BD000000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71" authorId="0" shapeId="0" xr:uid="{00000000-0006-0000-0700-0000BE000000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71" authorId="0" shapeId="0" xr:uid="{00000000-0006-0000-0700-0000BF000000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71" authorId="0" shapeId="0" xr:uid="{00000000-0006-0000-0700-0000C0000000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71" authorId="0" shapeId="0" xr:uid="{00000000-0006-0000-0700-0000C1000000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71" authorId="1" shapeId="0" xr:uid="{00000000-0006-0000-0700-0000C2000000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75" authorId="0" shapeId="0" xr:uid="{00000000-0006-0000-0700-0000C3000000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75" authorId="0" shapeId="0" xr:uid="{00000000-0006-0000-0700-0000C4000000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75" authorId="0" shapeId="0" xr:uid="{00000000-0006-0000-0700-0000C5000000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75" authorId="0" shapeId="0" xr:uid="{00000000-0006-0000-0700-0000C6000000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75" authorId="0" shapeId="0" xr:uid="{00000000-0006-0000-0700-0000C7000000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75" authorId="1" shapeId="0" xr:uid="{00000000-0006-0000-0700-0000C8000000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76" authorId="0" shapeId="0" xr:uid="{00000000-0006-0000-0700-0000C9000000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76" authorId="0" shapeId="0" xr:uid="{00000000-0006-0000-0700-0000CA000000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76" authorId="0" shapeId="0" xr:uid="{00000000-0006-0000-0700-0000CB000000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76" authorId="0" shapeId="0" xr:uid="{00000000-0006-0000-0700-0000CC000000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76" authorId="0" shapeId="0" xr:uid="{00000000-0006-0000-0700-0000CD000000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76" authorId="1" shapeId="0" xr:uid="{00000000-0006-0000-0700-0000CE000000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77" authorId="0" shapeId="0" xr:uid="{00000000-0006-0000-0700-0000CF000000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77" authorId="0" shapeId="0" xr:uid="{00000000-0006-0000-0700-0000D0000000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77" authorId="0" shapeId="0" xr:uid="{00000000-0006-0000-0700-0000D1000000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77" authorId="0" shapeId="0" xr:uid="{00000000-0006-0000-0700-0000D2000000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77" authorId="0" shapeId="0" xr:uid="{00000000-0006-0000-0700-0000D3000000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77" authorId="1" shapeId="0" xr:uid="{00000000-0006-0000-0700-0000D4000000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79" authorId="0" shapeId="0" xr:uid="{00000000-0006-0000-0700-0000D5000000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79" authorId="0" shapeId="0" xr:uid="{00000000-0006-0000-0700-0000D6000000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79" authorId="0" shapeId="0" xr:uid="{00000000-0006-0000-0700-0000D7000000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79" authorId="0" shapeId="0" xr:uid="{00000000-0006-0000-0700-0000D8000000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79" authorId="0" shapeId="0" xr:uid="{00000000-0006-0000-0700-0000D9000000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79" authorId="1" shapeId="0" xr:uid="{00000000-0006-0000-0700-0000DA000000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80" authorId="0" shapeId="0" xr:uid="{00000000-0006-0000-0700-0000DB000000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80" authorId="0" shapeId="0" xr:uid="{00000000-0006-0000-0700-0000DC000000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80" authorId="0" shapeId="0" xr:uid="{00000000-0006-0000-0700-0000DD000000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80" authorId="0" shapeId="0" xr:uid="{00000000-0006-0000-0700-0000DE000000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80" authorId="0" shapeId="0" xr:uid="{00000000-0006-0000-0700-0000DF000000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80" authorId="1" shapeId="0" xr:uid="{00000000-0006-0000-0700-0000E0000000}">
      <text>
        <r>
          <rPr>
            <b/>
            <sz val="9"/>
            <color indexed="81"/>
            <rFont val="Tahoma"/>
            <family val="2"/>
          </rPr>
          <t>descargada</t>
        </r>
      </text>
    </comment>
  </commentList>
</comments>
</file>

<file path=xl/sharedStrings.xml><?xml version="1.0" encoding="utf-8"?>
<sst xmlns="http://schemas.openxmlformats.org/spreadsheetml/2006/main" count="10189" uniqueCount="3447">
  <si>
    <t>diciembre 17</t>
  </si>
  <si>
    <t>V</t>
  </si>
  <si>
    <t>Smith Farm  mi 22/11/17  nl17-B94</t>
  </si>
  <si>
    <t>fact 96017361</t>
  </si>
  <si>
    <t>intercam $29,726.18</t>
  </si>
  <si>
    <t>transfer santander</t>
  </si>
  <si>
    <t>Seaboard vi 08/12/17  nlse17-132</t>
  </si>
  <si>
    <t>fact 1429248</t>
  </si>
  <si>
    <t>intercam $33,000.00</t>
  </si>
  <si>
    <t>Roel  mi 22/11/17</t>
  </si>
  <si>
    <t>fact H4111</t>
  </si>
  <si>
    <t>caña,sesos marq y copa y contra</t>
  </si>
  <si>
    <t>55.5,46,57,88</t>
  </si>
  <si>
    <t>S</t>
  </si>
  <si>
    <t>D</t>
  </si>
  <si>
    <t>L</t>
  </si>
  <si>
    <t>Seaboard  sa 09/12/17  nlse17-133</t>
  </si>
  <si>
    <t>intercam $40,000.00</t>
  </si>
  <si>
    <t>Ideal Trading  ma 04/12/17 nlp001</t>
  </si>
  <si>
    <t>fact 201968</t>
  </si>
  <si>
    <t>intercam $31,813.65</t>
  </si>
  <si>
    <t>Adams International sa 25/11/17</t>
  </si>
  <si>
    <t>fact 56021</t>
  </si>
  <si>
    <t>cuero belly fresco</t>
  </si>
  <si>
    <t>Porc Paso Blanco  do 19/11/17</t>
  </si>
  <si>
    <t>fact 2596, 2621</t>
  </si>
  <si>
    <t>cerdo vivo y matanza</t>
  </si>
  <si>
    <t>Transfer Odelpa</t>
  </si>
  <si>
    <t>Agrop El Topete  do 19/11/17</t>
  </si>
  <si>
    <t>fact 5805, 5819</t>
  </si>
  <si>
    <t>Agrop El Topete  lu 20/11/17</t>
  </si>
  <si>
    <t>fact 5806, 5822</t>
  </si>
  <si>
    <t>Agrop La Gaby  ma 21/11/17</t>
  </si>
  <si>
    <t>fact 5636, 5639</t>
  </si>
  <si>
    <t>M</t>
  </si>
  <si>
    <t>Adams International  ma 28/11/17</t>
  </si>
  <si>
    <t>fact 56073</t>
  </si>
  <si>
    <t>Agrop El Topete  mi 22/11/17</t>
  </si>
  <si>
    <t>fact 5818, 5820</t>
  </si>
  <si>
    <t>Tyson  ma 12/12/17  F0770</t>
  </si>
  <si>
    <t>069N06824A</t>
  </si>
  <si>
    <t>intercam $30,000.00</t>
  </si>
  <si>
    <t>Tyson  ma 12/12/17  F0775</t>
  </si>
  <si>
    <t>069N06826A</t>
  </si>
  <si>
    <t>Mi</t>
  </si>
  <si>
    <t>Agrop El Topete  ju 23/11/17</t>
  </si>
  <si>
    <t>fact 5807, 5821</t>
  </si>
  <si>
    <t>Smith Farm  sa 25/11/17  nl17-94</t>
  </si>
  <si>
    <t>fact 96021716</t>
  </si>
  <si>
    <t>intercam $28,768.97</t>
  </si>
  <si>
    <t>J</t>
  </si>
  <si>
    <t>Seaboard  ju 14/12/17  nlse17-134</t>
  </si>
  <si>
    <t>fact 1431011</t>
  </si>
  <si>
    <t>intercam $35,000.00</t>
  </si>
  <si>
    <t>Seaboard  ju 14/12/17  nlse17-135</t>
  </si>
  <si>
    <t>fact 1431012</t>
  </si>
  <si>
    <t>Agrop Las Reses  vi 24/11/17</t>
  </si>
  <si>
    <t>fact 6452, 6453</t>
  </si>
  <si>
    <t>Porc Paso Blanco  vi 24/11/17</t>
  </si>
  <si>
    <t>fact 2618, 2622</t>
  </si>
  <si>
    <t>Seaboard vi 15/12/17  nlse17-136</t>
  </si>
  <si>
    <t>fact 1431603</t>
  </si>
  <si>
    <t xml:space="preserve">Roel  mi 28/11/17 </t>
  </si>
  <si>
    <t>fact H4174</t>
  </si>
  <si>
    <t>caña de lomo</t>
  </si>
  <si>
    <t>Seaboard sa 16/12/17  nlse17-137</t>
  </si>
  <si>
    <t>fact 1431604</t>
  </si>
  <si>
    <t>Seaboard sa 16/12/17  nlse17-138</t>
  </si>
  <si>
    <t>fact 1431963</t>
  </si>
  <si>
    <t>Agrop El Dorado  do 26/11/17</t>
  </si>
  <si>
    <t>fact 1361, 1362</t>
  </si>
  <si>
    <t>Agrop La Chemita  do 26/11/17</t>
  </si>
  <si>
    <t>fact 3781, 3782</t>
  </si>
  <si>
    <t>Agrop La Gaby  lu 27/11/17</t>
  </si>
  <si>
    <t>fact 5647, 5648</t>
  </si>
  <si>
    <t>Porc Paso Blanco  ma 28/11/17</t>
  </si>
  <si>
    <t>fact 2646, 2647</t>
  </si>
  <si>
    <t>Agrop La Gaby  ma 28/11/17</t>
  </si>
  <si>
    <t>fact 5645, 5646</t>
  </si>
  <si>
    <t>Adams International  sa 02/12/17</t>
  </si>
  <si>
    <t>fact 56187</t>
  </si>
  <si>
    <t>Smith Farm  vi 01/12/17  nl17-95</t>
  </si>
  <si>
    <t>fact 96028806</t>
  </si>
  <si>
    <t>intercam $28,973.39</t>
  </si>
  <si>
    <t>Smith Farm  sa 02/12/17  nl17-96</t>
  </si>
  <si>
    <t>fact 96028105</t>
  </si>
  <si>
    <t>intercam $29,833.66</t>
  </si>
  <si>
    <t>Agrop El Topete  mi 29/11/17</t>
  </si>
  <si>
    <t>fact 5828, 5829</t>
  </si>
  <si>
    <t>Agrop El Topete  ju 30/11/17</t>
  </si>
  <si>
    <t>fact 5835, 5836</t>
  </si>
  <si>
    <t>Agrop La Chemita  ju 30/11/17</t>
  </si>
  <si>
    <t>fact 3793, 3794</t>
  </si>
  <si>
    <t>Agrop La Gaby  vi 01/12/17</t>
  </si>
  <si>
    <t>fact 5655, 5656</t>
  </si>
  <si>
    <t>Porc Soto  vi 01/12/17</t>
  </si>
  <si>
    <t>fact 1185, 1186</t>
  </si>
  <si>
    <t>Seaboard ju 21/12/17  nlse17-139</t>
  </si>
  <si>
    <t>fact 1433790</t>
  </si>
  <si>
    <t>intercam $32,000.00</t>
  </si>
  <si>
    <t>Seaboard ju 21/12/17  nlse17-140</t>
  </si>
  <si>
    <t>fact 1433791</t>
  </si>
  <si>
    <t>Tyson  sa  23/12/17  F0776</t>
  </si>
  <si>
    <t>fact 069N19824A</t>
  </si>
  <si>
    <t>Seaboard vi 22/12/17  nlse17-141</t>
  </si>
  <si>
    <t>fact 1434096</t>
  </si>
  <si>
    <t>Smith Farm  ma 05/12/17  nl17-97</t>
  </si>
  <si>
    <t>fact 96032563</t>
  </si>
  <si>
    <t>intercam $29,604.00</t>
  </si>
  <si>
    <t>descontados $150usd nc carga NL17-87</t>
  </si>
  <si>
    <t>Seaboard sa 23/12/17  nlse17-142</t>
  </si>
  <si>
    <t>intercam $25,000.00</t>
  </si>
  <si>
    <t>Seaboard sa 23/12/17  nlse17-143</t>
  </si>
  <si>
    <t>Ideal Trading  sa 15/12/17 nlp002</t>
  </si>
  <si>
    <t>fact 201981</t>
  </si>
  <si>
    <t>intercam $32,028.38</t>
  </si>
  <si>
    <t>Adams International  lu 11/12/17</t>
  </si>
  <si>
    <t>fact 56449</t>
  </si>
  <si>
    <t>Roel  ju 07/12/17</t>
  </si>
  <si>
    <t>fact H4240</t>
  </si>
  <si>
    <t>esp car; corbata;queso</t>
  </si>
  <si>
    <t>90/45.5/87</t>
  </si>
  <si>
    <t>Porc Soto  do 03/12/17</t>
  </si>
  <si>
    <t>fact 1194, 1195</t>
  </si>
  <si>
    <t>Agrop El Topete  do 03/12/17</t>
  </si>
  <si>
    <t>fact 5840, 5841</t>
  </si>
  <si>
    <t>Porc Soto  lu 04/12/17</t>
  </si>
  <si>
    <t>fact 1196, 1197</t>
  </si>
  <si>
    <t>Agrop El Dorado lu 04/12/17</t>
  </si>
  <si>
    <t>fact 1372, 1373</t>
  </si>
  <si>
    <t>Agrop Las Reses ma 05/12/17</t>
  </si>
  <si>
    <t>fact 6468, 6469</t>
  </si>
  <si>
    <t>Porc Soto  ma 05/12/17</t>
  </si>
  <si>
    <t>fact 1198, 1199</t>
  </si>
  <si>
    <t>Smith Farm  lu 11/12/17  nl17-98</t>
  </si>
  <si>
    <t>fact 96038973</t>
  </si>
  <si>
    <t>intercam $31,595.71</t>
  </si>
  <si>
    <t>Porc Soto  mi 06/12/17</t>
  </si>
  <si>
    <t>fact 1203, 1204</t>
  </si>
  <si>
    <t>Agrop La Gaby  mi 06/12/17</t>
  </si>
  <si>
    <t>fact 5665, 5666</t>
  </si>
  <si>
    <t>Tyson  mi 27/12/17  F0777</t>
  </si>
  <si>
    <t>fact 069N20822A</t>
  </si>
  <si>
    <t>Tyson  mi 27/12/17  F0778</t>
  </si>
  <si>
    <t>fact 069N20826A</t>
  </si>
  <si>
    <t>Agrop El Topete  ju 07/12/17</t>
  </si>
  <si>
    <t>fact 5844, 5845</t>
  </si>
  <si>
    <t>Agrop La Chemita  ju 07/12/17</t>
  </si>
  <si>
    <t>fact 3808,3809</t>
  </si>
  <si>
    <t>Seaboard  ju 28/12/17  nlse17-144</t>
  </si>
  <si>
    <t>fact 1435446</t>
  </si>
  <si>
    <t>ideal Trading  mi 20/12/17  nlp003</t>
  </si>
  <si>
    <t>fact 201988</t>
  </si>
  <si>
    <t>intercam $27,886.77</t>
  </si>
  <si>
    <t>Agrop La Chemita  vi 08/12/17</t>
  </si>
  <si>
    <t>fact 3810, 3811</t>
  </si>
  <si>
    <t>Agrop Las Reses  vi 08/12/17</t>
  </si>
  <si>
    <t>fact 6472, 6473</t>
  </si>
  <si>
    <t>Seaboard  vi 29/12/17  nlse17-145</t>
  </si>
  <si>
    <t>fact 1435965</t>
  </si>
  <si>
    <t>Smith Farm  ma 12/12/17  nl17-99</t>
  </si>
  <si>
    <t>fact 96045604</t>
  </si>
  <si>
    <t>intercam $30,850.42</t>
  </si>
  <si>
    <t>fact $32,350.42 menos $1,500 usd de 10 NC</t>
  </si>
  <si>
    <t>NL17-89, B90, 90, 91, 92, 93, B94, 94, 95, 96</t>
  </si>
  <si>
    <t>Smith Farm  mi 13/12/17  nl17-106</t>
  </si>
  <si>
    <t>fact 96046653</t>
  </si>
  <si>
    <t>intercam $32,219.47</t>
  </si>
  <si>
    <t>Agrop El Topete  do 10/12/17</t>
  </si>
  <si>
    <t>fact 5850, 5851</t>
  </si>
  <si>
    <t>Porc Soto  lu 11/12/17</t>
  </si>
  <si>
    <t>fact 1218, 1219</t>
  </si>
  <si>
    <t>Agrop La Chemita  lu 11/12/17</t>
  </si>
  <si>
    <t>fact 3816, 3817</t>
  </si>
  <si>
    <t>Agrop La Gaby  ma 12/12/17</t>
  </si>
  <si>
    <t>fact 5671, 5672</t>
  </si>
  <si>
    <t>Agrop Las Reses  ma 12/12/17</t>
  </si>
  <si>
    <t>fact 6476, 6477</t>
  </si>
  <si>
    <t>Porc Paso Blanco  ma 12/12/17</t>
  </si>
  <si>
    <t>fact 2680, 2681</t>
  </si>
  <si>
    <t>Porc Soto  mi 13/12/17</t>
  </si>
  <si>
    <t>fact 1223, 1224</t>
  </si>
  <si>
    <t>Agrop El Dorado  mi 13/12/17</t>
  </si>
  <si>
    <t>fact 1386, 1387</t>
  </si>
  <si>
    <t>Smith Farm  vi 15/12/17  nl17-100</t>
  </si>
  <si>
    <t>fact 96048427</t>
  </si>
  <si>
    <t>intercam $33,030.39</t>
  </si>
  <si>
    <t>Smith Farm  ju 14/12/17  nl17-115</t>
  </si>
  <si>
    <t>fact 96047788</t>
  </si>
  <si>
    <t>intercam $32,619.32</t>
  </si>
  <si>
    <t>Seaboard  sa 30/12/17  nlse18-01</t>
  </si>
  <si>
    <t>intercam $20,000.00</t>
  </si>
  <si>
    <t>carga cancelada NLSE17-146, pasa el pago a la NLSE18-01</t>
  </si>
  <si>
    <t>Tyson  mi  03/01/18   F0779</t>
  </si>
  <si>
    <t>Tyson  mi  03/01/18   F0780</t>
  </si>
  <si>
    <t>Porc Soto  ju 14/12/17</t>
  </si>
  <si>
    <t>fact 1225, 1226</t>
  </si>
  <si>
    <t>Agrop Las Reses  ju 14/12/17</t>
  </si>
  <si>
    <t>fact 6479, 6480</t>
  </si>
  <si>
    <t>Roel  sa 16/12/17</t>
  </si>
  <si>
    <t>fact H 4337</t>
  </si>
  <si>
    <t xml:space="preserve">menudo excel 86M </t>
  </si>
  <si>
    <t>Smith Farm  20/12/17  nl17-109</t>
  </si>
  <si>
    <t>fact 96055928</t>
  </si>
  <si>
    <t>intercam $26,269.42</t>
  </si>
  <si>
    <t>Smith Farm  20/12/17  nl17-116</t>
  </si>
  <si>
    <t>fact 96056452</t>
  </si>
  <si>
    <t>intercam $27,607.69</t>
  </si>
  <si>
    <t>Smith Farm  20/12/17  nl17-117</t>
  </si>
  <si>
    <t>fact 96055929</t>
  </si>
  <si>
    <t>intercam $27,361.88</t>
  </si>
  <si>
    <t>Smith Farm  do 24/12/17  nl17-102</t>
  </si>
  <si>
    <t>fact 96059877</t>
  </si>
  <si>
    <t>intercam $27,275.36</t>
  </si>
  <si>
    <t>Smith Farm  sa 23/12/17  nl17-110</t>
  </si>
  <si>
    <t>fact 96059263</t>
  </si>
  <si>
    <t>intercam $26,185.26</t>
  </si>
  <si>
    <t>Smith Farm mi 27/12/17  nl17-104</t>
  </si>
  <si>
    <t>fact 96063536</t>
  </si>
  <si>
    <t>intercam $26,808.08</t>
  </si>
  <si>
    <t>Porc Soto  vi 15/12/17</t>
  </si>
  <si>
    <t>fact 1228, 1229</t>
  </si>
  <si>
    <t>Agrop Las Reses  vi 15/12/17</t>
  </si>
  <si>
    <t>fact 5483, 5485</t>
  </si>
  <si>
    <t>Seaboard  vi  05/01/18  nlse18-02</t>
  </si>
  <si>
    <t>Smith Farm  19/12/17  nl17-101</t>
  </si>
  <si>
    <t>fact 96054285</t>
  </si>
  <si>
    <t>intercam $26,130.81</t>
  </si>
  <si>
    <t>Smith Farm  19/12/17  nl17-107</t>
  </si>
  <si>
    <t>fact 96052693</t>
  </si>
  <si>
    <t>intercam $30,875.10</t>
  </si>
  <si>
    <t>Smith Farm  19/12/17  nl17-108</t>
  </si>
  <si>
    <t>fact 96053464</t>
  </si>
  <si>
    <t>intercam $27,232.54</t>
  </si>
  <si>
    <t>Smith Farm  27/12/17  nl17-105</t>
  </si>
  <si>
    <t>fact 96062255</t>
  </si>
  <si>
    <t>intercam $25,755.51</t>
  </si>
  <si>
    <t>transfer bancomer</t>
  </si>
  <si>
    <t>fact 96064315</t>
  </si>
  <si>
    <t>intercam $27,329.92</t>
  </si>
  <si>
    <t>Porc Soto do 17/12/17</t>
  </si>
  <si>
    <t>fact 1235, 1236</t>
  </si>
  <si>
    <t>Porc Soto lu 18/12/17</t>
  </si>
  <si>
    <t>fact 1237,1238</t>
  </si>
  <si>
    <t>Porc Soto ma 19/12/17</t>
  </si>
  <si>
    <t>fact 1240, 1241</t>
  </si>
  <si>
    <t>Agrop La Chemita  ma 19/12/17</t>
  </si>
  <si>
    <t>fact 3834, 3835</t>
  </si>
  <si>
    <t>Agrop La Gaby  mi 20/12/17</t>
  </si>
  <si>
    <t>fact 5684 y 5685</t>
  </si>
  <si>
    <t>Agrop Las Reses  mi 20/12/17</t>
  </si>
  <si>
    <t>fact 6487, 6488</t>
  </si>
  <si>
    <t>Roel   sa 23/12/17</t>
  </si>
  <si>
    <t>fact H 4381</t>
  </si>
  <si>
    <t xml:space="preserve">contra swift </t>
  </si>
  <si>
    <t>fact H 4384</t>
  </si>
  <si>
    <t>sesos marqueta</t>
  </si>
  <si>
    <t>Roel vi 22/12/17</t>
  </si>
  <si>
    <t>fact H 4416</t>
  </si>
  <si>
    <t>Roel  mi 20/12/17</t>
  </si>
  <si>
    <t>fact H 4354</t>
  </si>
  <si>
    <t>corbata seab/queso gouda</t>
  </si>
  <si>
    <t>45.5  / 87</t>
  </si>
  <si>
    <t>Porc Soto  ju 21/12/17</t>
  </si>
  <si>
    <t>fact 1252, 1253</t>
  </si>
  <si>
    <t>Agrop La Gaby  ju 21/12/17</t>
  </si>
  <si>
    <t>fact 5686, 5687</t>
  </si>
  <si>
    <t>Seaboard  ju 11/01/18  nlse18-03</t>
  </si>
  <si>
    <t>intercam $28,000.00</t>
  </si>
  <si>
    <t>Agrop La Gaby vi 22/12/17</t>
  </si>
  <si>
    <t>fact 5690, 5691</t>
  </si>
  <si>
    <t>Agrop El Dorado  vi 22/12/17</t>
  </si>
  <si>
    <t>fact 1397, 1398</t>
  </si>
  <si>
    <t>Agrop La Gaby  sa 23/12/17</t>
  </si>
  <si>
    <t>fact 5692, 5693</t>
  </si>
  <si>
    <t>Porc Soto  sa 23/12/17</t>
  </si>
  <si>
    <t>fact 1257, 1258</t>
  </si>
  <si>
    <t>Seaboard  sa 13/1/18  nlse18-04</t>
  </si>
  <si>
    <t>Roel   ju 28/12/17</t>
  </si>
  <si>
    <t xml:space="preserve">pernil Tyson </t>
  </si>
  <si>
    <t>Agrop La Gaby  do 24/12/17</t>
  </si>
  <si>
    <t>fact 5695, 5696</t>
  </si>
  <si>
    <t>Agrop El Dorado  do 24/12/17</t>
  </si>
  <si>
    <t>fact 1403, 1404</t>
  </si>
  <si>
    <t>Agrop La Gaby  mi 27/12/17</t>
  </si>
  <si>
    <t>fact 5698, 5699</t>
  </si>
  <si>
    <t>Agrop La Gaby  ju 28/12/17</t>
  </si>
  <si>
    <t>fact 5700, 5701</t>
  </si>
  <si>
    <t>Agrop Las Reses  ju 28/12/17</t>
  </si>
  <si>
    <t>fact 6496, 6497</t>
  </si>
  <si>
    <t>Agrop El Topete  vi 29/12/17</t>
  </si>
  <si>
    <t>fact 5880, 5881</t>
  </si>
  <si>
    <t>Agrop Las Reses  vi 29/12/17</t>
  </si>
  <si>
    <t>fact 6503, 6504</t>
  </si>
  <si>
    <t>Agrop La Gaby  sa 30/12/17</t>
  </si>
  <si>
    <t>fact 5707 , 5708</t>
  </si>
  <si>
    <t>Agrop El Dorado  sa 30/12/17</t>
  </si>
  <si>
    <t>fact 1415, 1416</t>
  </si>
  <si>
    <t>Porc Soto  do 31/12/17</t>
  </si>
  <si>
    <t>fact 1276, 1277</t>
  </si>
  <si>
    <t>Agrop La Chemita  do 31/12/17</t>
  </si>
  <si>
    <t>fact 3860, 3861</t>
  </si>
  <si>
    <t>Enero 2018</t>
  </si>
  <si>
    <t>Producto</t>
  </si>
  <si>
    <t>Marca</t>
  </si>
  <si>
    <t>Proveedor</t>
  </si>
  <si>
    <t>unidades</t>
  </si>
  <si>
    <t>Peso total factura</t>
  </si>
  <si>
    <t>Peso recib real</t>
  </si>
  <si>
    <t>dif recepcion</t>
  </si>
  <si>
    <t>referencia</t>
  </si>
  <si>
    <t>transporte</t>
  </si>
  <si>
    <t>fecha frontera</t>
  </si>
  <si>
    <t>fecha arribo</t>
  </si>
  <si>
    <t>dia</t>
  </si>
  <si>
    <t>formula</t>
  </si>
  <si>
    <t>$ Puebla</t>
  </si>
  <si>
    <t>$ frontera</t>
  </si>
  <si>
    <t>flete</t>
  </si>
  <si>
    <t>$ aduanal / matanzas</t>
  </si>
  <si>
    <t>tipo cambio / visceras</t>
  </si>
  <si>
    <t>seguro carga</t>
  </si>
  <si>
    <t>cargada</t>
  </si>
  <si>
    <t>com</t>
  </si>
  <si>
    <t>costo logistica</t>
  </si>
  <si>
    <t>costo integrado</t>
  </si>
  <si>
    <t>costo real</t>
  </si>
  <si>
    <t>$ carga total</t>
  </si>
  <si>
    <t>Pernil con piel</t>
  </si>
  <si>
    <t>Farmland</t>
  </si>
  <si>
    <t>nl17-113</t>
  </si>
  <si>
    <t>mi</t>
  </si>
  <si>
    <t>hoja + 9.5 vi 29 dic</t>
  </si>
  <si>
    <t>nl17-114</t>
  </si>
  <si>
    <t>nl17-112</t>
  </si>
  <si>
    <t>hoja + 9.5 lu 25 dic</t>
  </si>
  <si>
    <t>Tyson</t>
  </si>
  <si>
    <t>F0779</t>
  </si>
  <si>
    <t>hoja + 9.5 ju 28 dic</t>
  </si>
  <si>
    <t>F0780</t>
  </si>
  <si>
    <t>Canal de cerdo</t>
  </si>
  <si>
    <t>Nu3</t>
  </si>
  <si>
    <t>ju</t>
  </si>
  <si>
    <t>Seaboard</t>
  </si>
  <si>
    <t>nlse18-01</t>
  </si>
  <si>
    <t>vi</t>
  </si>
  <si>
    <t>hoja + 10.5 lu 1 ene</t>
  </si>
  <si>
    <t>nl18-01</t>
  </si>
  <si>
    <t>sa</t>
  </si>
  <si>
    <t>do</t>
  </si>
  <si>
    <t>lu</t>
  </si>
  <si>
    <t>Menudo</t>
  </si>
  <si>
    <t>86 M Excel</t>
  </si>
  <si>
    <t>Ryc Alimentos</t>
  </si>
  <si>
    <t>nl18-02</t>
  </si>
  <si>
    <t>ma</t>
  </si>
  <si>
    <t>hoja + 9.5 ju 4 ene</t>
  </si>
  <si>
    <t>nl17-120</t>
  </si>
  <si>
    <t>Ideal</t>
  </si>
  <si>
    <t>nlp-04</t>
  </si>
  <si>
    <t>hoja + 10.5 mi 3 ene</t>
  </si>
  <si>
    <t>nlse18-02</t>
  </si>
  <si>
    <t>hoja + 10.5 ju 4 ene</t>
  </si>
  <si>
    <t>nlse18-03</t>
  </si>
  <si>
    <t>hoja + 10.5 vi 5 ene</t>
  </si>
  <si>
    <t>nl18-03</t>
  </si>
  <si>
    <t>hoja + 9.5 vi 5 ene</t>
  </si>
  <si>
    <t>nlse18-04</t>
  </si>
  <si>
    <t>hoja + 10.5 ma 9 ene</t>
  </si>
  <si>
    <t>ESTADO DE CUENTA SEABOARD</t>
  </si>
  <si>
    <t>inicio de operaciones</t>
  </si>
  <si>
    <t>recepcion carga</t>
  </si>
  <si>
    <t>PO</t>
  </si>
  <si>
    <t>anticipo</t>
  </si>
  <si>
    <t>fecha pago</t>
  </si>
  <si>
    <t>factura</t>
  </si>
  <si>
    <t>$ factura</t>
  </si>
  <si>
    <t>frontera</t>
  </si>
  <si>
    <t>diferencia</t>
  </si>
  <si>
    <t>dif acumulada</t>
  </si>
  <si>
    <t>cancelada</t>
  </si>
  <si>
    <t xml:space="preserve">lu </t>
  </si>
  <si>
    <t xml:space="preserve">ju </t>
  </si>
  <si>
    <t xml:space="preserve">mi </t>
  </si>
  <si>
    <t>CANCELADA</t>
  </si>
  <si>
    <t>NLSE16-276</t>
  </si>
  <si>
    <t>seaboard tiene a favor -$18,159.94 usd</t>
  </si>
  <si>
    <t>correccion el 18/01/17 en la fact 113410, NLP15-34 del 23/05/15 claim por $4,287.60usd</t>
  </si>
  <si>
    <t>ajuste con Seaboard</t>
  </si>
  <si>
    <t>NLSE16-253</t>
  </si>
  <si>
    <t>NLSE17-03</t>
  </si>
  <si>
    <t>NLSE17-04</t>
  </si>
  <si>
    <t>NLSE17-05</t>
  </si>
  <si>
    <t>NLSE17-06</t>
  </si>
  <si>
    <t>NLSE17-07</t>
  </si>
  <si>
    <t>NLSE17-08</t>
  </si>
  <si>
    <t>se traslada el pago a la NLSE17-12</t>
  </si>
  <si>
    <t>NLSE17-09</t>
  </si>
  <si>
    <t>NLSE17-10</t>
  </si>
  <si>
    <t>NLSE17-11</t>
  </si>
  <si>
    <t>NLSE17-12</t>
  </si>
  <si>
    <t>NLSE17-13</t>
  </si>
  <si>
    <t>NLSE17-14</t>
  </si>
  <si>
    <t>NLSE17-15</t>
  </si>
  <si>
    <t>NLSE17-16</t>
  </si>
  <si>
    <t>NLSE17-17</t>
  </si>
  <si>
    <t>NLSE17-18</t>
  </si>
  <si>
    <t>NLSE17-19</t>
  </si>
  <si>
    <t>NLSE17-20</t>
  </si>
  <si>
    <t>NLSE17-21</t>
  </si>
  <si>
    <t>NLSE17-22</t>
  </si>
  <si>
    <t>NLSE17-23</t>
  </si>
  <si>
    <t>NLSE17-24</t>
  </si>
  <si>
    <t>NLSE17-25</t>
  </si>
  <si>
    <t>NLSE17-26</t>
  </si>
  <si>
    <t>NLSE17-27</t>
  </si>
  <si>
    <t>NLSE17-28</t>
  </si>
  <si>
    <t>NLSE17-29</t>
  </si>
  <si>
    <t>NLSE17-30</t>
  </si>
  <si>
    <t>NLSE17-31</t>
  </si>
  <si>
    <t>NLSE17-32</t>
  </si>
  <si>
    <t>NLSE17-33</t>
  </si>
  <si>
    <t>NLSE17-34</t>
  </si>
  <si>
    <t>NLSE17-35</t>
  </si>
  <si>
    <t>NLSE17-36</t>
  </si>
  <si>
    <t>NLSE17-39</t>
  </si>
  <si>
    <t>NLSE17-37</t>
  </si>
  <si>
    <t>NLSE17-40</t>
  </si>
  <si>
    <t>NLSE17-38</t>
  </si>
  <si>
    <t>NLSE17-41</t>
  </si>
  <si>
    <t>NLSE17-42</t>
  </si>
  <si>
    <t>NLSE17-43</t>
  </si>
  <si>
    <t>NLSE17-44</t>
  </si>
  <si>
    <t>NLSE17-45</t>
  </si>
  <si>
    <t>NLSE17-46</t>
  </si>
  <si>
    <t>NLSE17-47</t>
  </si>
  <si>
    <t>NLSE17-48</t>
  </si>
  <si>
    <t>NLSE17-49</t>
  </si>
  <si>
    <t>NLSE17-50</t>
  </si>
  <si>
    <t>claim 55752</t>
  </si>
  <si>
    <t>reclamo por diferencia en precio carga NLSE17-50</t>
  </si>
  <si>
    <t>NLSE17-51</t>
  </si>
  <si>
    <t>NLSE17-52</t>
  </si>
  <si>
    <t>NLSE17-53</t>
  </si>
  <si>
    <t>NLSE17-54</t>
  </si>
  <si>
    <t>NLSE17-55</t>
  </si>
  <si>
    <t>NLSE17-57</t>
  </si>
  <si>
    <t>NLSE17-56</t>
  </si>
  <si>
    <t>NLSE17-58</t>
  </si>
  <si>
    <t>NLSE17-59</t>
  </si>
  <si>
    <t>NLSE17-60</t>
  </si>
  <si>
    <t>NLSE17-61</t>
  </si>
  <si>
    <t>NLSE17-62</t>
  </si>
  <si>
    <t>NLSE17-63</t>
  </si>
  <si>
    <t>NLSE17-64</t>
  </si>
  <si>
    <t>NLSE17-65</t>
  </si>
  <si>
    <t>NLSE17-66</t>
  </si>
  <si>
    <t>NLSE17-67</t>
  </si>
  <si>
    <t>NLSE17-68</t>
  </si>
  <si>
    <t>NLSE17-69</t>
  </si>
  <si>
    <t>NLCONG17-01</t>
  </si>
  <si>
    <t>NLSE17-70</t>
  </si>
  <si>
    <t>NLSE17-71</t>
  </si>
  <si>
    <t>NLSE17-72</t>
  </si>
  <si>
    <t>NLSE17-73</t>
  </si>
  <si>
    <t>NLSE17-74</t>
  </si>
  <si>
    <t>NLSE17-75</t>
  </si>
  <si>
    <t>NLSE17-76</t>
  </si>
  <si>
    <t>NLSE17-77</t>
  </si>
  <si>
    <t>NLSE17-78</t>
  </si>
  <si>
    <t>NLSE17-79</t>
  </si>
  <si>
    <t>NLSE17-80</t>
  </si>
  <si>
    <t>NLSE17-81</t>
  </si>
  <si>
    <t>NLSE17-82</t>
  </si>
  <si>
    <t>NLSE17-83</t>
  </si>
  <si>
    <t>NLSE17-84</t>
  </si>
  <si>
    <t>NLSE17-85</t>
  </si>
  <si>
    <t>NLSE17-86</t>
  </si>
  <si>
    <t>NLSE17-87</t>
  </si>
  <si>
    <t>NLSE17-88</t>
  </si>
  <si>
    <t>NLSE17-89</t>
  </si>
  <si>
    <t>NLSE17-90</t>
  </si>
  <si>
    <t>NLSE17-91</t>
  </si>
  <si>
    <t>NLSE17-92</t>
  </si>
  <si>
    <t>NLSE17-93</t>
  </si>
  <si>
    <t>NLSE17-94</t>
  </si>
  <si>
    <t>NLSE17-95</t>
  </si>
  <si>
    <t>NLSE17-96</t>
  </si>
  <si>
    <t>NLSE17-97</t>
  </si>
  <si>
    <t>NLSE17-98</t>
  </si>
  <si>
    <t>NLSE17-99</t>
  </si>
  <si>
    <t>NLSE17-100</t>
  </si>
  <si>
    <t>NLSE17-101</t>
  </si>
  <si>
    <t>NLSE17-102</t>
  </si>
  <si>
    <t>NLSE17-103</t>
  </si>
  <si>
    <t>NLSE17-104</t>
  </si>
  <si>
    <t>NLSE17-105</t>
  </si>
  <si>
    <t>NLSE17-106</t>
  </si>
  <si>
    <t>NLSE17-107</t>
  </si>
  <si>
    <t>NLSE17-108</t>
  </si>
  <si>
    <t>NLSE17-109</t>
  </si>
  <si>
    <t>NLSE17-110</t>
  </si>
  <si>
    <t>NLSE17-111</t>
  </si>
  <si>
    <t>NLSE17-112</t>
  </si>
  <si>
    <t>NLSE17-113</t>
  </si>
  <si>
    <t>NLSE17-114</t>
  </si>
  <si>
    <t>NLSE17-115</t>
  </si>
  <si>
    <t>NLSE17-116</t>
  </si>
  <si>
    <t>NLSE17-117</t>
  </si>
  <si>
    <t>NLSE17-118</t>
  </si>
  <si>
    <t>NLSE17-119</t>
  </si>
  <si>
    <t>NLSE17-120</t>
  </si>
  <si>
    <t>NLSE17-121</t>
  </si>
  <si>
    <t>NLSE17-122</t>
  </si>
  <si>
    <t>NLSE17-B122</t>
  </si>
  <si>
    <t>NLSE17-123</t>
  </si>
  <si>
    <t>NLSE17-124</t>
  </si>
  <si>
    <t>NLSE17-125</t>
  </si>
  <si>
    <t>NLSE17-126</t>
  </si>
  <si>
    <t>claim 59184</t>
  </si>
  <si>
    <t>reclamo por diferencia en precio carga NLSE17-126 por 0.01 usd</t>
  </si>
  <si>
    <t>NLSE17-127</t>
  </si>
  <si>
    <t>NLSE17-128</t>
  </si>
  <si>
    <t>NLSE17-129</t>
  </si>
  <si>
    <t>NLSE17-131</t>
  </si>
  <si>
    <t>NLSE17-132</t>
  </si>
  <si>
    <t>NLSE17-130</t>
  </si>
  <si>
    <t>NLSE17-133</t>
  </si>
  <si>
    <t>NLSE17-134</t>
  </si>
  <si>
    <t>NLSE17-135</t>
  </si>
  <si>
    <t>NLSE17-136</t>
  </si>
  <si>
    <t>NLSE17-137</t>
  </si>
  <si>
    <t>NLSE17-138</t>
  </si>
  <si>
    <t>NLSE17-139</t>
  </si>
  <si>
    <t>NLSE17-140</t>
  </si>
  <si>
    <t>NLSE17-141</t>
  </si>
  <si>
    <t>NLSE17-142</t>
  </si>
  <si>
    <t>NLSE17-143</t>
  </si>
  <si>
    <t>NLSE17-144</t>
  </si>
  <si>
    <t>Claim#59460</t>
  </si>
  <si>
    <t>ju 28/12/17</t>
  </si>
  <si>
    <t>diferencia en precio carga NLSE17-144</t>
  </si>
  <si>
    <t>NLSE17-145</t>
  </si>
  <si>
    <t>NLSE17-146</t>
  </si>
  <si>
    <t>no llego la carga</t>
  </si>
  <si>
    <t>NLSE18-01</t>
  </si>
  <si>
    <t>NLSE18-02</t>
  </si>
  <si>
    <t>NLSE18-03</t>
  </si>
  <si>
    <t>NLSE18-04</t>
  </si>
  <si>
    <t>NLSE18-05</t>
  </si>
  <si>
    <t>NLSE18-06</t>
  </si>
  <si>
    <t>NLSE18-07</t>
  </si>
  <si>
    <t>NLSE18-08</t>
  </si>
  <si>
    <t>NLSE18-09</t>
  </si>
  <si>
    <t>ESTADO DE CUENTA TYSON (IBP)</t>
  </si>
  <si>
    <t>J9621</t>
  </si>
  <si>
    <t>088D02822A</t>
  </si>
  <si>
    <t>J9647</t>
  </si>
  <si>
    <t>088D08822A</t>
  </si>
  <si>
    <t>J9648</t>
  </si>
  <si>
    <t>069D16827A</t>
  </si>
  <si>
    <t>J9689</t>
  </si>
  <si>
    <t>069D23831A</t>
  </si>
  <si>
    <t>Q4745</t>
  </si>
  <si>
    <t xml:space="preserve">ma </t>
  </si>
  <si>
    <t>069E01827A</t>
  </si>
  <si>
    <t>Q4749</t>
  </si>
  <si>
    <t>069E02830A</t>
  </si>
  <si>
    <t>Q4750</t>
  </si>
  <si>
    <t>069E08824A</t>
  </si>
  <si>
    <t>Q4751</t>
  </si>
  <si>
    <t>069E09826A</t>
  </si>
  <si>
    <t>Q4752</t>
  </si>
  <si>
    <t>069E15824A</t>
  </si>
  <si>
    <t>Q4753</t>
  </si>
  <si>
    <t>069E17820A</t>
  </si>
  <si>
    <t>Q4754</t>
  </si>
  <si>
    <t>069E22825A</t>
  </si>
  <si>
    <t>Q4755</t>
  </si>
  <si>
    <t>069E23822A</t>
  </si>
  <si>
    <t>X4015</t>
  </si>
  <si>
    <t>088E29821A</t>
  </si>
  <si>
    <t>X4030</t>
  </si>
  <si>
    <t>088E30822A</t>
  </si>
  <si>
    <t>X4031</t>
  </si>
  <si>
    <t>088F03822A</t>
  </si>
  <si>
    <t>X4032</t>
  </si>
  <si>
    <t>069F05826A</t>
  </si>
  <si>
    <t>storm lake 244</t>
  </si>
  <si>
    <t>X4033</t>
  </si>
  <si>
    <t>088F06821A</t>
  </si>
  <si>
    <t>waterloo  244W</t>
  </si>
  <si>
    <t>Y5642</t>
  </si>
  <si>
    <t>069F13825A</t>
  </si>
  <si>
    <t>X4034</t>
  </si>
  <si>
    <t>088F13824A</t>
  </si>
  <si>
    <t>X4035</t>
  </si>
  <si>
    <t>088F17820A</t>
  </si>
  <si>
    <t>X4036</t>
  </si>
  <si>
    <t>088F20820A</t>
  </si>
  <si>
    <t>X4037</t>
  </si>
  <si>
    <t>088F20824A</t>
  </si>
  <si>
    <t>X4038</t>
  </si>
  <si>
    <t>088F22820A</t>
  </si>
  <si>
    <t>069F29823A</t>
  </si>
  <si>
    <t>069G01828A</t>
  </si>
  <si>
    <t>069G05821A</t>
  </si>
  <si>
    <t>069G05831A</t>
  </si>
  <si>
    <t>pago trasladado a la orden 81550</t>
  </si>
  <si>
    <t>072G10820A</t>
  </si>
  <si>
    <t>088G13820A</t>
  </si>
  <si>
    <t>038G17822A</t>
  </si>
  <si>
    <t>est 244 I  Logansport</t>
  </si>
  <si>
    <t>069G19820A</t>
  </si>
  <si>
    <t>069G20820A</t>
  </si>
  <si>
    <t>088G25821A</t>
  </si>
  <si>
    <t>038G26822A</t>
  </si>
  <si>
    <t>069G31821A</t>
  </si>
  <si>
    <t>069H01827A</t>
  </si>
  <si>
    <t>069H07825A</t>
  </si>
  <si>
    <t>038H08827A</t>
  </si>
  <si>
    <t>069H14824A</t>
  </si>
  <si>
    <t>069H15828A</t>
  </si>
  <si>
    <t>088H21824A</t>
  </si>
  <si>
    <t>069H22822A</t>
  </si>
  <si>
    <t>G8659</t>
  </si>
  <si>
    <t>038H28822A</t>
  </si>
  <si>
    <t>G8685</t>
  </si>
  <si>
    <t>038H28826A</t>
  </si>
  <si>
    <t>G8686</t>
  </si>
  <si>
    <t>038I05822A</t>
  </si>
  <si>
    <t>G8687</t>
  </si>
  <si>
    <t>038I06821A</t>
  </si>
  <si>
    <t>G8688</t>
  </si>
  <si>
    <t>072I12821A</t>
  </si>
  <si>
    <t>G8689</t>
  </si>
  <si>
    <t>069I12822A</t>
  </si>
  <si>
    <t>G8690</t>
  </si>
  <si>
    <t>038I19823A</t>
  </si>
  <si>
    <t>G8691</t>
  </si>
  <si>
    <t>038I19821A</t>
  </si>
  <si>
    <t>G8692</t>
  </si>
  <si>
    <t>038I27824A</t>
  </si>
  <si>
    <t>G8693</t>
  </si>
  <si>
    <t>038I28830A</t>
  </si>
  <si>
    <t>L9662</t>
  </si>
  <si>
    <t>069J02823A</t>
  </si>
  <si>
    <t>L9666</t>
  </si>
  <si>
    <t>088J03821A</t>
  </si>
  <si>
    <t>L9677</t>
  </si>
  <si>
    <t>069J09821A</t>
  </si>
  <si>
    <t>L9678</t>
  </si>
  <si>
    <t>069J10823A</t>
  </si>
  <si>
    <t>L9679</t>
  </si>
  <si>
    <t>038J16827A</t>
  </si>
  <si>
    <t>L9680</t>
  </si>
  <si>
    <t>069J17823A</t>
  </si>
  <si>
    <t>L9681</t>
  </si>
  <si>
    <t>072J23821A</t>
  </si>
  <si>
    <t>L9682</t>
  </si>
  <si>
    <t>069J24804A</t>
  </si>
  <si>
    <t>diferencia ok con edo de cuenta de Tyson del 29/08/17</t>
  </si>
  <si>
    <t>U3017</t>
  </si>
  <si>
    <t>072K07822A</t>
  </si>
  <si>
    <t>U3028</t>
  </si>
  <si>
    <t>038K07820A</t>
  </si>
  <si>
    <t>U3029</t>
  </si>
  <si>
    <t>088K13821A</t>
  </si>
  <si>
    <t>U3030</t>
  </si>
  <si>
    <t>088K14824A</t>
  </si>
  <si>
    <t>U3031</t>
  </si>
  <si>
    <t>088K15821A</t>
  </si>
  <si>
    <t>U3032</t>
  </si>
  <si>
    <t>088K20822A</t>
  </si>
  <si>
    <t>U3033</t>
  </si>
  <si>
    <t>072K22823A</t>
  </si>
  <si>
    <t>01412</t>
  </si>
  <si>
    <t>069K27824A</t>
  </si>
  <si>
    <t>01418</t>
  </si>
  <si>
    <t>088K30821A</t>
  </si>
  <si>
    <t>01419</t>
  </si>
  <si>
    <t>069L04823A</t>
  </si>
  <si>
    <t>01420</t>
  </si>
  <si>
    <t>069L05831A</t>
  </si>
  <si>
    <t>01421</t>
  </si>
  <si>
    <t>069L11821A</t>
  </si>
  <si>
    <t>01422</t>
  </si>
  <si>
    <t>069L12830A</t>
  </si>
  <si>
    <t>01423</t>
  </si>
  <si>
    <t>069L13824A</t>
  </si>
  <si>
    <t>01424</t>
  </si>
  <si>
    <t>069L18823A</t>
  </si>
  <si>
    <t>01425</t>
  </si>
  <si>
    <t>069L19829A</t>
  </si>
  <si>
    <t>01426</t>
  </si>
  <si>
    <t>069L25825A</t>
  </si>
  <si>
    <t>01427</t>
  </si>
  <si>
    <t>069L27828A</t>
  </si>
  <si>
    <t>01428</t>
  </si>
  <si>
    <t>069M01825A</t>
  </si>
  <si>
    <t>069M08822A</t>
  </si>
  <si>
    <t>069M09824A</t>
  </si>
  <si>
    <t>069M15824A</t>
  </si>
  <si>
    <t>069M15826A</t>
  </si>
  <si>
    <t>069M20825A</t>
  </si>
  <si>
    <t>F0770</t>
  </si>
  <si>
    <t>F0775</t>
  </si>
  <si>
    <t>F0776</t>
  </si>
  <si>
    <t>069N19824A</t>
  </si>
  <si>
    <t>F0777</t>
  </si>
  <si>
    <t>069N20822A</t>
  </si>
  <si>
    <t>F0778</t>
  </si>
  <si>
    <t>069N20826A</t>
  </si>
  <si>
    <t>REALCION DE ENTEGA DE REMISIONES CAJA OBRADOR</t>
  </si>
  <si>
    <t>REMISION</t>
  </si>
  <si>
    <t>VALOR</t>
  </si>
  <si>
    <t>PAGOS</t>
  </si>
  <si>
    <t>FECHA PAGO</t>
  </si>
  <si>
    <t>DIFERENCIA</t>
  </si>
  <si>
    <t>FECHA RECIBIDA</t>
  </si>
  <si>
    <t>FECHA ENTREGADA A CAJA</t>
  </si>
  <si>
    <t>efectivo</t>
  </si>
  <si>
    <t>vale rosa</t>
  </si>
  <si>
    <t>rem 1079</t>
  </si>
  <si>
    <t>rem 1143</t>
  </si>
  <si>
    <t>rem 1193</t>
  </si>
  <si>
    <t>rem 1264</t>
  </si>
  <si>
    <t>transfer</t>
  </si>
  <si>
    <t>dep en transfer</t>
  </si>
  <si>
    <t>d19680</t>
  </si>
  <si>
    <t>rem 971</t>
  </si>
  <si>
    <t>rem 961</t>
  </si>
  <si>
    <t>d19977</t>
  </si>
  <si>
    <t>d20155</t>
  </si>
  <si>
    <t>d20079</t>
  </si>
  <si>
    <t>d20116</t>
  </si>
  <si>
    <t>d22348</t>
  </si>
  <si>
    <t>d22843</t>
  </si>
  <si>
    <t>d22632</t>
  </si>
  <si>
    <t>d23087</t>
  </si>
  <si>
    <t>d23298</t>
  </si>
  <si>
    <t>d22958</t>
  </si>
  <si>
    <t>d22633</t>
  </si>
  <si>
    <t>rem 1081</t>
  </si>
  <si>
    <t>rem xx</t>
  </si>
  <si>
    <t>rem 1071</t>
  </si>
  <si>
    <t>d23690</t>
  </si>
  <si>
    <t>d23496</t>
  </si>
  <si>
    <t>d23345</t>
  </si>
  <si>
    <t>rem 1099</t>
  </si>
  <si>
    <t>rem 1072</t>
  </si>
  <si>
    <t>d23832</t>
  </si>
  <si>
    <t>d23964</t>
  </si>
  <si>
    <t>Transfer</t>
  </si>
  <si>
    <t>d24432</t>
  </si>
  <si>
    <t>d24148</t>
  </si>
  <si>
    <t>d24249</t>
  </si>
  <si>
    <t>d24398</t>
  </si>
  <si>
    <t>d24247</t>
  </si>
  <si>
    <t>d24402</t>
  </si>
  <si>
    <t>d24724</t>
  </si>
  <si>
    <t>d24607</t>
  </si>
  <si>
    <t>d24841</t>
  </si>
  <si>
    <t>E00102</t>
  </si>
  <si>
    <t>e00240</t>
  </si>
  <si>
    <t>e00101</t>
  </si>
  <si>
    <t>e00589</t>
  </si>
  <si>
    <t>e00262</t>
  </si>
  <si>
    <t>e00267</t>
  </si>
  <si>
    <t>rem 1122</t>
  </si>
  <si>
    <t>e00251</t>
  </si>
  <si>
    <t>rem 1125</t>
  </si>
  <si>
    <t>e00539</t>
  </si>
  <si>
    <t>rem 1132</t>
  </si>
  <si>
    <t>28/29/30/31/08/17</t>
  </si>
  <si>
    <t xml:space="preserve"> </t>
  </si>
  <si>
    <t>e000644</t>
  </si>
  <si>
    <t>e00427</t>
  </si>
  <si>
    <t>e00902</t>
  </si>
  <si>
    <t>e00906</t>
  </si>
  <si>
    <t>e01243</t>
  </si>
  <si>
    <t>rem 1151</t>
  </si>
  <si>
    <t>e00905</t>
  </si>
  <si>
    <t>e02148</t>
  </si>
  <si>
    <t>e01389</t>
  </si>
  <si>
    <t>e01402</t>
  </si>
  <si>
    <t>e01242</t>
  </si>
  <si>
    <t>rem 1166</t>
  </si>
  <si>
    <t>e01529</t>
  </si>
  <si>
    <t>rem 1150</t>
  </si>
  <si>
    <t>8-11/08/17</t>
  </si>
  <si>
    <t xml:space="preserve">                                                    </t>
  </si>
  <si>
    <t>e01807</t>
  </si>
  <si>
    <t>e02421</t>
  </si>
  <si>
    <t>rem 1172</t>
  </si>
  <si>
    <t>sobrante no registrado en proledo</t>
  </si>
  <si>
    <t>e02183</t>
  </si>
  <si>
    <t>e02147</t>
  </si>
  <si>
    <t>e02573</t>
  </si>
  <si>
    <t>e02737</t>
  </si>
  <si>
    <t>rem 1179</t>
  </si>
  <si>
    <t>rem 1192</t>
  </si>
  <si>
    <t>e02857</t>
  </si>
  <si>
    <t>e02954</t>
  </si>
  <si>
    <t>e03023</t>
  </si>
  <si>
    <t>e03040</t>
  </si>
  <si>
    <t>e03267</t>
  </si>
  <si>
    <t>e03266</t>
  </si>
  <si>
    <t>e02764</t>
  </si>
  <si>
    <t>e03691</t>
  </si>
  <si>
    <t>rem 1220</t>
  </si>
  <si>
    <t>rem 1188</t>
  </si>
  <si>
    <t>rem 1186</t>
  </si>
  <si>
    <t>rem1181</t>
  </si>
  <si>
    <t>rem 1180</t>
  </si>
  <si>
    <t>rem 1216</t>
  </si>
  <si>
    <t>transfer banco</t>
  </si>
  <si>
    <t xml:space="preserve">transfer  </t>
  </si>
  <si>
    <t>e03727</t>
  </si>
  <si>
    <t>e03681</t>
  </si>
  <si>
    <t>e03690</t>
  </si>
  <si>
    <t>e03892</t>
  </si>
  <si>
    <t>e03397</t>
  </si>
  <si>
    <t>tranfer</t>
  </si>
  <si>
    <t>e04146</t>
  </si>
  <si>
    <t>e04014</t>
  </si>
  <si>
    <t>rem 1234</t>
  </si>
  <si>
    <t>rem 1233</t>
  </si>
  <si>
    <t>rem 1237</t>
  </si>
  <si>
    <t>rem 1235</t>
  </si>
  <si>
    <t>rem 1238</t>
  </si>
  <si>
    <t>rem 1242</t>
  </si>
  <si>
    <t>e04772</t>
  </si>
  <si>
    <t>e04019</t>
  </si>
  <si>
    <t>e04426</t>
  </si>
  <si>
    <t>e04412</t>
  </si>
  <si>
    <t>e04892</t>
  </si>
  <si>
    <t>e04893</t>
  </si>
  <si>
    <t>e05038</t>
  </si>
  <si>
    <t>rem 1262</t>
  </si>
  <si>
    <t>rem 1248</t>
  </si>
  <si>
    <t>rem 1255</t>
  </si>
  <si>
    <t>rem 1258</t>
  </si>
  <si>
    <t>e05066</t>
  </si>
  <si>
    <t xml:space="preserve">transfer </t>
  </si>
  <si>
    <t>e05173</t>
  </si>
  <si>
    <t>e05570</t>
  </si>
  <si>
    <t>e04749</t>
  </si>
  <si>
    <t>e05332</t>
  </si>
  <si>
    <t>e05469</t>
  </si>
  <si>
    <t>e05321</t>
  </si>
  <si>
    <t>e05793</t>
  </si>
  <si>
    <t>e05820</t>
  </si>
  <si>
    <t>rem 1283</t>
  </si>
  <si>
    <t>rem 1275</t>
  </si>
  <si>
    <t>rem 1271</t>
  </si>
  <si>
    <t>rem 1266</t>
  </si>
  <si>
    <t>e05842</t>
  </si>
  <si>
    <t>e05953</t>
  </si>
  <si>
    <t>e06096</t>
  </si>
  <si>
    <t>e06269</t>
  </si>
  <si>
    <t>rem 1302</t>
  </si>
  <si>
    <t>rem 1295</t>
  </si>
  <si>
    <t>e06632</t>
  </si>
  <si>
    <t>e06655</t>
  </si>
  <si>
    <t>e06569</t>
  </si>
  <si>
    <t>e07189</t>
  </si>
  <si>
    <t>e07190</t>
  </si>
  <si>
    <t>e07033</t>
  </si>
  <si>
    <t>e06777</t>
  </si>
  <si>
    <t>e07214</t>
  </si>
  <si>
    <t>e07485</t>
  </si>
  <si>
    <t>e07547</t>
  </si>
  <si>
    <t>e07556</t>
  </si>
  <si>
    <t>rem 1311</t>
  </si>
  <si>
    <t>rem 1310</t>
  </si>
  <si>
    <t>e 07682</t>
  </si>
  <si>
    <t>rem 1342</t>
  </si>
  <si>
    <t>e07808</t>
  </si>
  <si>
    <t>rem 1352</t>
  </si>
  <si>
    <t>e07954</t>
  </si>
  <si>
    <t>rem1345</t>
  </si>
  <si>
    <t>rem 1355</t>
  </si>
  <si>
    <t>e08110</t>
  </si>
  <si>
    <t>e08247</t>
  </si>
  <si>
    <t>e08544</t>
  </si>
  <si>
    <t>e08558</t>
  </si>
  <si>
    <t>e08703</t>
  </si>
  <si>
    <t>rem 1362</t>
  </si>
  <si>
    <t>rem 1371</t>
  </si>
  <si>
    <t>rem 1378</t>
  </si>
  <si>
    <t>rem 1373</t>
  </si>
  <si>
    <t>e08774</t>
  </si>
  <si>
    <t>e09054</t>
  </si>
  <si>
    <t>e08958</t>
  </si>
  <si>
    <t>e09056</t>
  </si>
  <si>
    <t>e09073</t>
  </si>
  <si>
    <t>e09329</t>
  </si>
  <si>
    <t>e09340</t>
  </si>
  <si>
    <t>e09448</t>
  </si>
  <si>
    <t>rem 1399</t>
  </si>
  <si>
    <t>e09576</t>
  </si>
  <si>
    <t>e09720</t>
  </si>
  <si>
    <t>e09719</t>
  </si>
  <si>
    <t>e09637</t>
  </si>
  <si>
    <t>e09854</t>
  </si>
  <si>
    <t>vale es por 59105.70</t>
  </si>
  <si>
    <t>e10172</t>
  </si>
  <si>
    <t>e09339</t>
  </si>
  <si>
    <t>e10062</t>
  </si>
  <si>
    <t>e10461</t>
  </si>
  <si>
    <t>e10396</t>
  </si>
  <si>
    <t>e11004</t>
  </si>
  <si>
    <t>e11133</t>
  </si>
  <si>
    <t>e11134</t>
  </si>
  <si>
    <t>rem 1451</t>
  </si>
  <si>
    <t>rem 1458</t>
  </si>
  <si>
    <t>rem 1437</t>
  </si>
  <si>
    <t>e11270</t>
  </si>
  <si>
    <t>la transfer real es por 148,000 pero se contemplo solo 147, los 1000 se compensan en la siguiente nota</t>
  </si>
  <si>
    <t>rem 1457</t>
  </si>
  <si>
    <t>rem 1397</t>
  </si>
  <si>
    <t>rem 1443</t>
  </si>
  <si>
    <t>rem 1413</t>
  </si>
  <si>
    <t>rem 1409</t>
  </si>
  <si>
    <t>rem 1402</t>
  </si>
  <si>
    <t>rem 1425</t>
  </si>
  <si>
    <t>sobrante real en caja $54,024.00</t>
  </si>
  <si>
    <t>e11142</t>
  </si>
  <si>
    <t>sobrante</t>
  </si>
  <si>
    <t>sobrante real en caja $45,492.00</t>
  </si>
  <si>
    <t>e10581</t>
  </si>
  <si>
    <t>e11559</t>
  </si>
  <si>
    <t>e11862</t>
  </si>
  <si>
    <t>e11750</t>
  </si>
  <si>
    <t>vale por 143,243.40 , menos 100 por adeudo de billete falso</t>
  </si>
  <si>
    <t>hay una diferencia en vales de 400 en total a cobrar</t>
  </si>
  <si>
    <t>e11863</t>
  </si>
  <si>
    <t>rem 1489</t>
  </si>
  <si>
    <t>e12115</t>
  </si>
  <si>
    <t>rem 1484</t>
  </si>
  <si>
    <t>e12087</t>
  </si>
  <si>
    <t>rem 1481</t>
  </si>
  <si>
    <t>e12015</t>
  </si>
  <si>
    <t>e11984</t>
  </si>
  <si>
    <t>e12690</t>
  </si>
  <si>
    <t>e12258</t>
  </si>
  <si>
    <t>rem 1507</t>
  </si>
  <si>
    <t>e12395</t>
  </si>
  <si>
    <t>rem 1512</t>
  </si>
  <si>
    <t>rem 1504</t>
  </si>
  <si>
    <t>rem 1502</t>
  </si>
  <si>
    <t>rem 1494</t>
  </si>
  <si>
    <t>rem 1505</t>
  </si>
  <si>
    <t>e12853</t>
  </si>
  <si>
    <t>e12997</t>
  </si>
  <si>
    <t>e12721</t>
  </si>
  <si>
    <t>rem 1518</t>
  </si>
  <si>
    <t>rem 1520</t>
  </si>
  <si>
    <t>rem 1513</t>
  </si>
  <si>
    <t>e13151</t>
  </si>
  <si>
    <t>rem 1536</t>
  </si>
  <si>
    <t>e13306</t>
  </si>
  <si>
    <t>e13150</t>
  </si>
  <si>
    <t>rem 1537</t>
  </si>
  <si>
    <t>e13677</t>
  </si>
  <si>
    <t>boleta transfer</t>
  </si>
  <si>
    <t>e13688</t>
  </si>
  <si>
    <t>e13281</t>
  </si>
  <si>
    <t>e13431</t>
  </si>
  <si>
    <t>rem 1544</t>
  </si>
  <si>
    <t>rem 1545</t>
  </si>
  <si>
    <t>e13588</t>
  </si>
  <si>
    <t>rem 1552</t>
  </si>
  <si>
    <t>e13863</t>
  </si>
  <si>
    <t>E13731</t>
  </si>
  <si>
    <t>E14151</t>
  </si>
  <si>
    <t>rem 1563</t>
  </si>
  <si>
    <t>e14188</t>
  </si>
  <si>
    <t>e14175</t>
  </si>
  <si>
    <t>e14194</t>
  </si>
  <si>
    <t>rem 1575</t>
  </si>
  <si>
    <t>e14051</t>
  </si>
  <si>
    <t>e14730</t>
  </si>
  <si>
    <t>e14888</t>
  </si>
  <si>
    <t>rem 1587</t>
  </si>
  <si>
    <t>rem 1601</t>
  </si>
  <si>
    <t>rem 1599</t>
  </si>
  <si>
    <t>rem 1589</t>
  </si>
  <si>
    <t>rem 1600</t>
  </si>
  <si>
    <t>rem 1607</t>
  </si>
  <si>
    <t>rem 1583</t>
  </si>
  <si>
    <t>rem 1570</t>
  </si>
  <si>
    <t>rem 1595</t>
  </si>
  <si>
    <t>e15235</t>
  </si>
  <si>
    <t>e15511</t>
  </si>
  <si>
    <t>e15272</t>
  </si>
  <si>
    <t>no captura este pago con sobrante</t>
  </si>
  <si>
    <t>rem 1623</t>
  </si>
  <si>
    <t>rem 1620</t>
  </si>
  <si>
    <t>rem 1613</t>
  </si>
  <si>
    <t>e15596</t>
  </si>
  <si>
    <t>e15512</t>
  </si>
  <si>
    <t>rem 1618</t>
  </si>
  <si>
    <t>rem 1628</t>
  </si>
  <si>
    <t>rem 1631</t>
  </si>
  <si>
    <t>rem 1633</t>
  </si>
  <si>
    <t>e 15751</t>
  </si>
  <si>
    <t>e15754</t>
  </si>
  <si>
    <t>Smith Farm  ju 28/12/17  nl17-111</t>
  </si>
  <si>
    <t>Filete Basa</t>
  </si>
  <si>
    <t>Salmon Porcion</t>
  </si>
  <si>
    <t>Baja Bay 7/9</t>
  </si>
  <si>
    <t>Baja By 6/8</t>
  </si>
  <si>
    <t>Marimex</t>
  </si>
  <si>
    <t>400 cajas</t>
  </si>
  <si>
    <t>10 cajas</t>
  </si>
  <si>
    <t>fact PUI 2492</t>
  </si>
  <si>
    <t>Marimex  ma 02/1/18</t>
  </si>
  <si>
    <t xml:space="preserve">filete basa y salmon </t>
  </si>
  <si>
    <t>38 / 170</t>
  </si>
  <si>
    <t>20 combos</t>
  </si>
  <si>
    <t>Sanchez</t>
  </si>
  <si>
    <t>Cruz</t>
  </si>
  <si>
    <t>069N28822A</t>
  </si>
  <si>
    <t>072N29821A</t>
  </si>
  <si>
    <t>fact 072N29821A</t>
  </si>
  <si>
    <t>fact 069N28822A</t>
  </si>
  <si>
    <t>Tyson  ma 16/01/18  J0601</t>
  </si>
  <si>
    <t>Tyson  mi 17/01/18  J0613</t>
  </si>
  <si>
    <t>Seaboard  ju 18/01/18  nlse18-05</t>
  </si>
  <si>
    <t>Seaboard  sa 20/01/18  nlse18-06</t>
  </si>
  <si>
    <t>hoja + 9.5 ma 2 ene</t>
  </si>
  <si>
    <t>intercam $29,500.00</t>
  </si>
  <si>
    <t>Smith Farm  ju 04/01/18  nl17-112</t>
  </si>
  <si>
    <t>fact 96065527</t>
  </si>
  <si>
    <t>intercam $26,227.97</t>
  </si>
  <si>
    <t>El Dorado y Soto</t>
  </si>
  <si>
    <t>fact 1422,1423,1283,1284</t>
  </si>
  <si>
    <t>P 40.15  E16680</t>
  </si>
  <si>
    <t>21 combos</t>
  </si>
  <si>
    <t>Smith Farm  ju 4/01/18  nl17-113</t>
  </si>
  <si>
    <t>fact 96071087</t>
  </si>
  <si>
    <t>intercam $28,103.39</t>
  </si>
  <si>
    <t>Smith Farm  ju 4/01/18  nl17-114</t>
  </si>
  <si>
    <t>fact 96071088</t>
  </si>
  <si>
    <t>intercam $28,172.29</t>
  </si>
  <si>
    <t>Agrop El Topete</t>
  </si>
  <si>
    <t>Porc Soto</t>
  </si>
  <si>
    <t>fact 5892, 5893</t>
  </si>
  <si>
    <t>fact 1287, 1288</t>
  </si>
  <si>
    <t>e16521</t>
  </si>
  <si>
    <t>e16277</t>
  </si>
  <si>
    <t>e16168</t>
  </si>
  <si>
    <t>e16389</t>
  </si>
  <si>
    <t>e16388</t>
  </si>
  <si>
    <t>rem 1630</t>
  </si>
  <si>
    <t>rem 1635</t>
  </si>
  <si>
    <t>rem 1621</t>
  </si>
  <si>
    <t>P 40  E16818</t>
  </si>
  <si>
    <t>Agrop La Gaby</t>
  </si>
  <si>
    <t>fact 5715,5716</t>
  </si>
  <si>
    <t>fact 1289, 1290</t>
  </si>
  <si>
    <t>Contra</t>
  </si>
  <si>
    <t>Excell</t>
  </si>
  <si>
    <t>Roel</t>
  </si>
  <si>
    <t>e16680</t>
  </si>
  <si>
    <t>e16818</t>
  </si>
  <si>
    <t>P 40 E16963</t>
  </si>
  <si>
    <t>e16963</t>
  </si>
  <si>
    <t>rem 1662</t>
  </si>
  <si>
    <t>rem 1679</t>
  </si>
  <si>
    <t>s/f</t>
  </si>
  <si>
    <t>rem 1668</t>
  </si>
  <si>
    <t>rem 1680</t>
  </si>
  <si>
    <t>rem 1675</t>
  </si>
  <si>
    <t>rem 1684</t>
  </si>
  <si>
    <t>rem 1676</t>
  </si>
  <si>
    <t>J0601</t>
  </si>
  <si>
    <t>J0613</t>
  </si>
  <si>
    <t>J0614</t>
  </si>
  <si>
    <t>J0615</t>
  </si>
  <si>
    <t>J0616</t>
  </si>
  <si>
    <t>J0617</t>
  </si>
  <si>
    <t>J0618</t>
  </si>
  <si>
    <t>m</t>
  </si>
  <si>
    <t>ideal Trading  ma 09/01/18 nlp04</t>
  </si>
  <si>
    <t>fact 201998</t>
  </si>
  <si>
    <t>intercam $27,874.44</t>
  </si>
  <si>
    <t>Tamez</t>
  </si>
  <si>
    <t>fact H4475</t>
  </si>
  <si>
    <t>Carnes Sectas el 100  lu 08/01/18</t>
  </si>
  <si>
    <t>fact B458</t>
  </si>
  <si>
    <t>canal de res</t>
  </si>
  <si>
    <t xml:space="preserve">transfer bancomer </t>
  </si>
  <si>
    <t>5 y 8/01/18</t>
  </si>
  <si>
    <t>hoja + 9.5 ju 11 ene</t>
  </si>
  <si>
    <t>hoja + 9.5 mi 10 ene</t>
  </si>
  <si>
    <t>hoja + 10.5 vi 12 ene</t>
  </si>
  <si>
    <t>hoja + 9.5 lu 15 ene</t>
  </si>
  <si>
    <t>fact 5895, 5896</t>
  </si>
  <si>
    <t>fact 1429, 1430</t>
  </si>
  <si>
    <t>Agrop El Dorado</t>
  </si>
  <si>
    <t>fact 1292, 1293</t>
  </si>
  <si>
    <t>fact 1438178</t>
  </si>
  <si>
    <t>Cuero belly fco</t>
  </si>
  <si>
    <t>Adams</t>
  </si>
  <si>
    <t>5 combos</t>
  </si>
  <si>
    <t>fact 57287</t>
  </si>
  <si>
    <t>Adams International  lu 08/01/18</t>
  </si>
  <si>
    <t>Agrop El Dorado  mi 03/01/18</t>
  </si>
  <si>
    <t>fact 1422, 1423</t>
  </si>
  <si>
    <t>fact 1283, 1284</t>
  </si>
  <si>
    <t>Agrop El Topete  ju 04/01/18</t>
  </si>
  <si>
    <t>Porc Soto  mi 03/01/18</t>
  </si>
  <si>
    <t>fact 5892, 2893</t>
  </si>
  <si>
    <t>Porc Soto  ju 04/01/18</t>
  </si>
  <si>
    <t>Agrop La Gaby  vi 05/01/18</t>
  </si>
  <si>
    <t>fact 5715, 5718</t>
  </si>
  <si>
    <t>Porc Soto  vi 05/01/08</t>
  </si>
  <si>
    <t>P 40  E17162</t>
  </si>
  <si>
    <t>Marimex  lu 08/01/17</t>
  </si>
  <si>
    <t>filete Tilapia 3/5</t>
  </si>
  <si>
    <t>Mares</t>
  </si>
  <si>
    <t>nl18-04</t>
  </si>
  <si>
    <t>nlse18-05</t>
  </si>
  <si>
    <t>nl18-05</t>
  </si>
  <si>
    <t>nlse18-06</t>
  </si>
  <si>
    <t>nl18-06</t>
  </si>
  <si>
    <t>Ideal Trading</t>
  </si>
  <si>
    <t>hoja + 9.5 ju 18 ene</t>
  </si>
  <si>
    <t>hoja + 10.5 vi 19 ene</t>
  </si>
  <si>
    <t>hoja + 9.5 vi 19 ene</t>
  </si>
  <si>
    <t>hoja + 10.5 ma 23 ene</t>
  </si>
  <si>
    <t>Sesos maqueta</t>
  </si>
  <si>
    <t xml:space="preserve">corbata </t>
  </si>
  <si>
    <t>swift</t>
  </si>
  <si>
    <t>fact 1439735</t>
  </si>
  <si>
    <t>P 40.30 E17300</t>
  </si>
  <si>
    <t>$74 bruto mas gastos</t>
  </si>
  <si>
    <t>gastos propio flete</t>
  </si>
  <si>
    <t>fact 5720, 5721</t>
  </si>
  <si>
    <t>e17300</t>
  </si>
  <si>
    <t>e17162</t>
  </si>
  <si>
    <t>e17196</t>
  </si>
  <si>
    <t>e16976</t>
  </si>
  <si>
    <t>Smith Farm  09/01/18  nl18-02</t>
  </si>
  <si>
    <t>fact 96075814</t>
  </si>
  <si>
    <t>intercam $27,066.50</t>
  </si>
  <si>
    <t>costo neto 75.53</t>
  </si>
  <si>
    <t>P 39.90  E17437</t>
  </si>
  <si>
    <t>nl18-08</t>
  </si>
  <si>
    <t>nl18-07</t>
  </si>
  <si>
    <t>nlse18-08</t>
  </si>
  <si>
    <t>nlse18-07</t>
  </si>
  <si>
    <t>nlp 006</t>
  </si>
  <si>
    <t>nl1se18-09</t>
  </si>
  <si>
    <t>nl18-09</t>
  </si>
  <si>
    <t>nl18-10</t>
  </si>
  <si>
    <t>nlse18-10</t>
  </si>
  <si>
    <t>hoja + 9.5 ju 25 ene</t>
  </si>
  <si>
    <t>hoja + 10.5 mi 24 ene</t>
  </si>
  <si>
    <t>hoja + 9.5 mi 24 ene</t>
  </si>
  <si>
    <t>hoja + 10.5 vi 26 ene</t>
  </si>
  <si>
    <t>hoja + 9.5 vi 26 ene</t>
  </si>
  <si>
    <t>hoja + 9.5 lu 29 ene</t>
  </si>
  <si>
    <t>hoja + 10.5 ma 30 ene</t>
  </si>
  <si>
    <t>fact 5897, 5898</t>
  </si>
  <si>
    <t>19 combos</t>
  </si>
  <si>
    <t>P 39.80  E17570</t>
  </si>
  <si>
    <t>Ideal Trading  ma 23/01/18 nlp-05</t>
  </si>
  <si>
    <t>Tyson  mi 24/01/18  J0614</t>
  </si>
  <si>
    <t>Seaboard  ju  25/01/18  nlse18-07</t>
  </si>
  <si>
    <t>Seaboard  sa 27/01/18  nlse18-08</t>
  </si>
  <si>
    <t>Agrop La Chemita</t>
  </si>
  <si>
    <t>fact 3864, 3865</t>
  </si>
  <si>
    <t>fact 5725, 5726</t>
  </si>
  <si>
    <t>e17299</t>
  </si>
  <si>
    <t>e17211</t>
  </si>
  <si>
    <t>e17292</t>
  </si>
  <si>
    <t>e17437</t>
  </si>
  <si>
    <t>e17570</t>
  </si>
  <si>
    <t>P 39  E17726</t>
  </si>
  <si>
    <t>fact 1440209</t>
  </si>
  <si>
    <t>fact1440472</t>
  </si>
  <si>
    <t>Smith Farm vi 11/01/18  nl18-03</t>
  </si>
  <si>
    <t>fact 96079403</t>
  </si>
  <si>
    <t>intercam $25,916.66</t>
  </si>
  <si>
    <t>Smith Farm  sa 13/01/18  nl17-120</t>
  </si>
  <si>
    <t>fact 96080764</t>
  </si>
  <si>
    <t>intercam $28,297.46</t>
  </si>
  <si>
    <t>fact 1294, 1295</t>
  </si>
  <si>
    <t>fact 1296, 1297</t>
  </si>
  <si>
    <t>fact 1440, 1441</t>
  </si>
  <si>
    <t>fact 3869, 3870</t>
  </si>
  <si>
    <t>hoja + 10.5 ju 18 ene</t>
  </si>
  <si>
    <t>fact 1442, 1443</t>
  </si>
  <si>
    <t>P 40.10  e18056</t>
  </si>
  <si>
    <t>P   39 .90  e18055</t>
  </si>
  <si>
    <t>hoja + 9.5 mi 17 ene</t>
  </si>
  <si>
    <t>Tyson  ma 23/01/18  I9810</t>
  </si>
  <si>
    <t>se transfiere el pago a esta carga</t>
  </si>
  <si>
    <t>fact PUI2580</t>
  </si>
  <si>
    <t>filete Tilapia</t>
  </si>
  <si>
    <t>fact 038C11820A</t>
  </si>
  <si>
    <t>038C11820A</t>
  </si>
  <si>
    <t>I9810</t>
  </si>
  <si>
    <t>221 cajas</t>
  </si>
  <si>
    <t>Adams International  vi 12/01/18</t>
  </si>
  <si>
    <t>Adams International  lu 15/1/18</t>
  </si>
  <si>
    <t>fact 1008537</t>
  </si>
  <si>
    <t>680 cajas</t>
  </si>
  <si>
    <t>Ryc Alimentos  08/01/18</t>
  </si>
  <si>
    <t>364 cajas</t>
  </si>
  <si>
    <t>fact H4537</t>
  </si>
  <si>
    <t>Roel    lu 08/01/18</t>
  </si>
  <si>
    <t>contra excel</t>
  </si>
  <si>
    <t>103 cajas</t>
  </si>
  <si>
    <t>48 cajas</t>
  </si>
  <si>
    <t>Roel    ma 09/01/18</t>
  </si>
  <si>
    <t>sesos y corbata</t>
  </si>
  <si>
    <t>49 /  45.80</t>
  </si>
  <si>
    <t>P 40  E18184</t>
  </si>
  <si>
    <t>Agrop El Topete  do 07/01/18</t>
  </si>
  <si>
    <t>Agrop El Dorado  do 07/01/18</t>
  </si>
  <si>
    <t>Porc Soto  lu 08/01/18</t>
  </si>
  <si>
    <t>Agrop La Gaby  ma 09/01/18</t>
  </si>
  <si>
    <t>Agrop EL Topete  mi 10/01/18</t>
  </si>
  <si>
    <t>bonificacio 0.50 por tamaño</t>
  </si>
  <si>
    <t>Porc Soto  vi 12/01/18</t>
  </si>
  <si>
    <t>Agrop La Gaby  ju 11/01/18</t>
  </si>
  <si>
    <t>Agrop La Chemita  ju 11/01/18</t>
  </si>
  <si>
    <t>fact 5732, 5733</t>
  </si>
  <si>
    <t>fact H4524</t>
  </si>
  <si>
    <t>Agrop La Chemita  do 14/01/18</t>
  </si>
  <si>
    <t>fact 2869, 3867</t>
  </si>
  <si>
    <t>Agrop El Dorado  do 14/01/18</t>
  </si>
  <si>
    <t>Agrop El Dorado  lu 15/01/18</t>
  </si>
  <si>
    <t>fact 1442,1443</t>
  </si>
  <si>
    <t>Agrop La Gaby  ma 16/01/18</t>
  </si>
  <si>
    <t>fact 57504</t>
  </si>
  <si>
    <t>fact 57537</t>
  </si>
  <si>
    <t>e18055</t>
  </si>
  <si>
    <t>e18184</t>
  </si>
  <si>
    <t>Porc Paso Blanco</t>
  </si>
  <si>
    <t>fact 2725, 2726</t>
  </si>
  <si>
    <t>Porc Paso Blanco  mi 17/01/18</t>
  </si>
  <si>
    <t>fact 1442682</t>
  </si>
  <si>
    <t>P 39.80  E18405</t>
  </si>
  <si>
    <t>P 39.80 E18308</t>
  </si>
  <si>
    <t>Smith Farm  ma 16/01/18  nl18-04</t>
  </si>
  <si>
    <t>fact 96083868</t>
  </si>
  <si>
    <t>pagado en efectivo con vale para compensar gastos y mecanico</t>
  </si>
  <si>
    <t>fact 5734, 5735</t>
  </si>
  <si>
    <t>fact 1303, 1304</t>
  </si>
  <si>
    <t>Smith Farm sa 20/01/18  nl18-05</t>
  </si>
  <si>
    <t>fact 96088511</t>
  </si>
  <si>
    <t>P 39.70  E18579</t>
  </si>
  <si>
    <t>fact 5739, 5740</t>
  </si>
  <si>
    <t>fact 1307, 1308</t>
  </si>
  <si>
    <t>2 combos</t>
  </si>
  <si>
    <t>Agrop La Gaby  ju 18/01/18</t>
  </si>
  <si>
    <t>fact 5734,  5735</t>
  </si>
  <si>
    <t>Porc Soto  ju 18/01/18</t>
  </si>
  <si>
    <t>Febrero 2018</t>
  </si>
  <si>
    <t>Tyson  ma  30/01/18  J0615</t>
  </si>
  <si>
    <t>Tyson  mi  31/01/18  J0616</t>
  </si>
  <si>
    <t>Seaboard  ju 01/02/18  nlse18-09</t>
  </si>
  <si>
    <t>e18308</t>
  </si>
  <si>
    <t>P  39.75  E18719</t>
  </si>
  <si>
    <t>fact 202007</t>
  </si>
  <si>
    <t>intercam $31,534.39</t>
  </si>
  <si>
    <t>nlp 005 (7)</t>
  </si>
  <si>
    <t>precio real  0.7624</t>
  </si>
  <si>
    <t>Seaboard  sa 03/02/18  nlse18-10</t>
  </si>
  <si>
    <t>Camaron 30/40-40/50</t>
  </si>
  <si>
    <t>ensenada</t>
  </si>
  <si>
    <t>5 cajas</t>
  </si>
  <si>
    <t>Marimex  sa 20/01/18</t>
  </si>
  <si>
    <t>fact PUI2739</t>
  </si>
  <si>
    <t>camaron 30/40 muestra 40/50</t>
  </si>
  <si>
    <t>165 / /135</t>
  </si>
  <si>
    <t>NLSE18-10</t>
  </si>
  <si>
    <t>NLSE18-11</t>
  </si>
  <si>
    <t>NLSE18-12</t>
  </si>
  <si>
    <t>Carnes Selectas el 100  mi 24/01/18</t>
  </si>
  <si>
    <t>20 reses a $74.00kg</t>
  </si>
  <si>
    <t>fact 038C17826A</t>
  </si>
  <si>
    <t>e18341</t>
  </si>
  <si>
    <t>e18579</t>
  </si>
  <si>
    <t>fact 2738, 2739</t>
  </si>
  <si>
    <t>fact 2740, 2741</t>
  </si>
  <si>
    <t>P 39.80  E18897</t>
  </si>
  <si>
    <t>Agrop Gaby y Dorado</t>
  </si>
  <si>
    <t>fact 5742, 5743, 1450, 1451</t>
  </si>
  <si>
    <t>intercam $34,000.00</t>
  </si>
  <si>
    <t>fact 038C18829A</t>
  </si>
  <si>
    <t>fact 1444147</t>
  </si>
  <si>
    <t>038C17826A</t>
  </si>
  <si>
    <t>038C18829A</t>
  </si>
  <si>
    <t>P 39.80  E19027</t>
  </si>
  <si>
    <t>Delta</t>
  </si>
  <si>
    <t>fact 3879, 3880</t>
  </si>
  <si>
    <t>saldo 24/01/18</t>
  </si>
  <si>
    <t>fact B1776</t>
  </si>
  <si>
    <t>e18405</t>
  </si>
  <si>
    <t>e18719</t>
  </si>
  <si>
    <t>e18836</t>
  </si>
  <si>
    <t>rem 1751</t>
  </si>
  <si>
    <t>rem 1696</t>
  </si>
  <si>
    <t>rem 1688</t>
  </si>
  <si>
    <t>rem 1705</t>
  </si>
  <si>
    <t>rem 1706</t>
  </si>
  <si>
    <t>rem 1721</t>
  </si>
  <si>
    <t>rem 1715</t>
  </si>
  <si>
    <t>rem 1737</t>
  </si>
  <si>
    <t>fact 1444623</t>
  </si>
  <si>
    <t>P 39.80  E19151</t>
  </si>
  <si>
    <t>Porc Paso Blanco  mi 24/01/18</t>
  </si>
  <si>
    <t>fact 2748, 2749</t>
  </si>
  <si>
    <t>Tyson  mi 07/02/18  J0618</t>
  </si>
  <si>
    <t>Tyson  mi 07/02/18  J0617</t>
  </si>
  <si>
    <t>intercam $34,500.00</t>
  </si>
  <si>
    <t>Ideal Trading  ma 06/02/18  nlp-08</t>
  </si>
  <si>
    <t>Seaboard  ju 08/02/18  nlse18-11</t>
  </si>
  <si>
    <t>Seaboard  sa 10/02/18  nlse18-12</t>
  </si>
  <si>
    <t>Smith Farm  ma 23/01/18  nl18-06</t>
  </si>
  <si>
    <t>fact 96092039</t>
  </si>
  <si>
    <t>intercam $31,066.59</t>
  </si>
  <si>
    <t>intercam $37,000.00</t>
  </si>
  <si>
    <t>intercam  $29,699.62-150</t>
  </si>
  <si>
    <t>descontada nc nl17-97 por $150</t>
  </si>
  <si>
    <t>intercam $31,883.89-2850</t>
  </si>
  <si>
    <t>descontar $2,850usd nc nl17-98 a la 117</t>
  </si>
  <si>
    <t>19 notas de credito</t>
  </si>
  <si>
    <t>fact 5748, 5749</t>
  </si>
  <si>
    <t>fact 5918, 5919</t>
  </si>
  <si>
    <t>P 39.80  E19466</t>
  </si>
  <si>
    <t>Porcinos Delta  vi 26/01/18</t>
  </si>
  <si>
    <t>fact A103131</t>
  </si>
  <si>
    <t>canales de cerdo</t>
  </si>
  <si>
    <t>fact 103131</t>
  </si>
  <si>
    <t>P 39.10  E19611</t>
  </si>
  <si>
    <t>fact FPL1011441</t>
  </si>
  <si>
    <t>Ryc Alimentos  sa 20/01/18</t>
  </si>
  <si>
    <t>Menudo 86 M</t>
  </si>
  <si>
    <t>fact 57679</t>
  </si>
  <si>
    <t>Adams International  sa 20/01/18</t>
  </si>
  <si>
    <t>fact 1444974</t>
  </si>
  <si>
    <t>Alliance</t>
  </si>
  <si>
    <t>Aleman</t>
  </si>
  <si>
    <t>Corbata</t>
  </si>
  <si>
    <t>Sesos marqueta</t>
  </si>
  <si>
    <t>Esp Carnero</t>
  </si>
  <si>
    <t>Queso manchego</t>
  </si>
  <si>
    <t>Nanas</t>
  </si>
  <si>
    <t>Buche</t>
  </si>
  <si>
    <t>176 cajas</t>
  </si>
  <si>
    <t>74 cajas</t>
  </si>
  <si>
    <t>212 cajas</t>
  </si>
  <si>
    <t>34 cajas</t>
  </si>
  <si>
    <t>15 cajas</t>
  </si>
  <si>
    <t>37 cajas</t>
  </si>
  <si>
    <t>fact H4610</t>
  </si>
  <si>
    <t>Roel   sa 20/01/18</t>
  </si>
  <si>
    <t>corb/seso m/esp car/queso/nana/buche</t>
  </si>
  <si>
    <t>45.5/45/91/89/33/60</t>
  </si>
  <si>
    <t>Agrop La Gaby  vi 19/01/18</t>
  </si>
  <si>
    <t>Porc Soto  vi 19/01/18</t>
  </si>
  <si>
    <t>festivo</t>
  </si>
  <si>
    <t>Porc Paso Blanco  do 21/01/18</t>
  </si>
  <si>
    <t>Agrop La Gaby  lu 22/01/18</t>
  </si>
  <si>
    <t>fact 5742, 5743</t>
  </si>
  <si>
    <t>fact 1450, 1451</t>
  </si>
  <si>
    <t>Agrop El Dorado  lu 22/01/18</t>
  </si>
  <si>
    <t>Agrop La Chemita  ma 23/01/18</t>
  </si>
  <si>
    <t>fact 54748, 5749</t>
  </si>
  <si>
    <t>Agrop La Gaby   ju 25/01/18</t>
  </si>
  <si>
    <t>Agrop El Topete  ju 25/01/18</t>
  </si>
  <si>
    <t>1 combo</t>
  </si>
  <si>
    <t>Adams International  sa 27/01/18</t>
  </si>
  <si>
    <t>Agrop La Gaby  vi 26/01/18</t>
  </si>
  <si>
    <t>fact 5751, 5752</t>
  </si>
  <si>
    <t>Agrop Reses y Topete</t>
  </si>
  <si>
    <t>fact 6528,6529,5922,5923</t>
  </si>
  <si>
    <t>Ideal Trading  ma 30/01/18 nlp006</t>
  </si>
  <si>
    <t>intercam $33,821.80</t>
  </si>
  <si>
    <t>fact 202016</t>
  </si>
  <si>
    <t>P 38.90  E19893</t>
  </si>
  <si>
    <t>Agrop Las Reses</t>
  </si>
  <si>
    <t>fact 5630, 5631</t>
  </si>
  <si>
    <t>fact 038C24826A</t>
  </si>
  <si>
    <t>fact 038C27821A</t>
  </si>
  <si>
    <t>038C24828A</t>
  </si>
  <si>
    <t>038C27821A</t>
  </si>
  <si>
    <t>e18897</t>
  </si>
  <si>
    <t>e19151</t>
  </si>
  <si>
    <t>e19466</t>
  </si>
  <si>
    <t>e19027</t>
  </si>
  <si>
    <t>rem 1767</t>
  </si>
  <si>
    <t>sobrante $42,694 15/01/18</t>
  </si>
  <si>
    <t>fact 2766, 2767</t>
  </si>
  <si>
    <t>fact 1447141</t>
  </si>
  <si>
    <t>P 39.20  E 20039</t>
  </si>
  <si>
    <t>Smith Farm  vi 26/01/18 nl17-07</t>
  </si>
  <si>
    <t>fact 96094499</t>
  </si>
  <si>
    <t>intercam $32,247.33</t>
  </si>
  <si>
    <t>Smith Farm  ma 30/01/18  nl18-08</t>
  </si>
  <si>
    <t>fact 96099323</t>
  </si>
  <si>
    <t>intercam $33,249.27</t>
  </si>
  <si>
    <t>Agrop Las Reses  do 28/01/18</t>
  </si>
  <si>
    <t>fact 6528 y 6529</t>
  </si>
  <si>
    <t>fact 5922 y 5923</t>
  </si>
  <si>
    <t>Agrop El Topete  do 28/01/18</t>
  </si>
  <si>
    <t>intercam $31,000.00</t>
  </si>
  <si>
    <t>fact 57847</t>
  </si>
  <si>
    <t>Porc Paso Blanco  ma 30/01/18</t>
  </si>
  <si>
    <t>Agrop Las Reses  lu 29/01/18</t>
  </si>
  <si>
    <t>fact 6530, 6531</t>
  </si>
  <si>
    <t>fact 2770, 2771</t>
  </si>
  <si>
    <t>Porc Paso Blanco  mi 31/01/18</t>
  </si>
  <si>
    <t>Adams International  mi 31/01/18</t>
  </si>
  <si>
    <t>fact 57917</t>
  </si>
  <si>
    <t>contra nacional</t>
  </si>
  <si>
    <t>nacional</t>
  </si>
  <si>
    <t>e19611</t>
  </si>
  <si>
    <t>e20039</t>
  </si>
  <si>
    <t>rem 1782</t>
  </si>
  <si>
    <t>DEUDA AL CIERRE DEL 31 ENERO 2018</t>
  </si>
  <si>
    <t>P 39.10 E20184</t>
  </si>
  <si>
    <t>nlp008</t>
  </si>
  <si>
    <t>hoja + 9.5 ju 01 feb</t>
  </si>
  <si>
    <t>hoja + 10.5 ju 01 feb</t>
  </si>
  <si>
    <t>nlse18-11</t>
  </si>
  <si>
    <t>hoja + 10.5 vi 02 feb</t>
  </si>
  <si>
    <t>hoja + 9.5 vi 02 feb</t>
  </si>
  <si>
    <t>nl18-11</t>
  </si>
  <si>
    <t>nlse18-12</t>
  </si>
  <si>
    <t>hoja + 10.5 ma 06 feb</t>
  </si>
  <si>
    <t xml:space="preserve">excell </t>
  </si>
  <si>
    <t>Ryc</t>
  </si>
  <si>
    <t>fact 2777, 2778</t>
  </si>
  <si>
    <t>5932, 5933</t>
  </si>
  <si>
    <t>Porc Paso Blanco  ju 01/02/18</t>
  </si>
  <si>
    <t>fact 5932, 5933</t>
  </si>
  <si>
    <t>Agrop El Topete  ju 01/02/18</t>
  </si>
  <si>
    <t>fact A103436</t>
  </si>
  <si>
    <t>P 39.25 e20348</t>
  </si>
  <si>
    <t>fact 1447785</t>
  </si>
  <si>
    <t>NLSE18-13</t>
  </si>
  <si>
    <t>NLSE18-14</t>
  </si>
  <si>
    <t>NLSE18-15</t>
  </si>
  <si>
    <t>NLSE18-16</t>
  </si>
  <si>
    <t>NLSE18-17</t>
  </si>
  <si>
    <t>NLSE18-18</t>
  </si>
  <si>
    <t>NLSE18-19</t>
  </si>
  <si>
    <t>NLSE18-20</t>
  </si>
  <si>
    <t>NLSE18-21</t>
  </si>
  <si>
    <t>NLSE18-22</t>
  </si>
  <si>
    <t>NLSE18-23</t>
  </si>
  <si>
    <t>fact 96103758</t>
  </si>
  <si>
    <t>intercam $33,162.04</t>
  </si>
  <si>
    <t>Smith Farm  lu 05/02/18  nl18-10</t>
  </si>
  <si>
    <t>Smith Farm  vi 02/02/18  nl18-09</t>
  </si>
  <si>
    <t>fact 96104898</t>
  </si>
  <si>
    <t>intercam $32,200.66</t>
  </si>
  <si>
    <t>fact 6539, 6540</t>
  </si>
  <si>
    <t>Porcinos Delta  vi 02/02/18</t>
  </si>
  <si>
    <t>canal de cerdo</t>
  </si>
  <si>
    <t>39-70-40.10</t>
  </si>
  <si>
    <t>Agrop Las Reses  vi 03/02/18</t>
  </si>
  <si>
    <t>P 39.30  e 20491</t>
  </si>
  <si>
    <t>e19973</t>
  </si>
  <si>
    <t>corregida</t>
  </si>
  <si>
    <t>e19669</t>
  </si>
  <si>
    <t>e19893</t>
  </si>
  <si>
    <t>e20487</t>
  </si>
  <si>
    <t>e20348</t>
  </si>
  <si>
    <t>Seaboard  ma 13/02/18  nlse18-22</t>
  </si>
  <si>
    <t>Seaboard  mi 14/02/18  nlse18-23</t>
  </si>
  <si>
    <t>Seaboard  ju 15/02/18  nlse18-13</t>
  </si>
  <si>
    <t>Seaboard  vi 16/02/18  nlse18-14</t>
  </si>
  <si>
    <t>Seaboard  sa 17/02/18  nlse18-15</t>
  </si>
  <si>
    <t>fact 202021</t>
  </si>
  <si>
    <t>intercam $30,084.71</t>
  </si>
  <si>
    <t>fact 6542, 6543</t>
  </si>
  <si>
    <t>fact 2792, 2793</t>
  </si>
  <si>
    <t>fact 038C31820A</t>
  </si>
  <si>
    <t>fact 038C31822A</t>
  </si>
  <si>
    <t>038C31822A</t>
  </si>
  <si>
    <t>038C31820A</t>
  </si>
  <si>
    <t>fact 1449573</t>
  </si>
  <si>
    <t>fact 2796, 2797</t>
  </si>
  <si>
    <t>e20184</t>
  </si>
  <si>
    <t>e20510</t>
  </si>
  <si>
    <t>rem 1799</t>
  </si>
  <si>
    <t>rem 1798</t>
  </si>
  <si>
    <t>e20711</t>
  </si>
  <si>
    <t>e20491</t>
  </si>
  <si>
    <t>P 38.70  e20907</t>
  </si>
  <si>
    <t>P 38.70  e20908</t>
  </si>
  <si>
    <t>Cuero Belly fco</t>
  </si>
  <si>
    <t xml:space="preserve">Adams </t>
  </si>
  <si>
    <t>fact 57964</t>
  </si>
  <si>
    <t>Adams International  vi 02/02/18</t>
  </si>
  <si>
    <t>54 cajas</t>
  </si>
  <si>
    <t>fact 582026</t>
  </si>
  <si>
    <t xml:space="preserve">Contra </t>
  </si>
  <si>
    <t>Nal San Juan</t>
  </si>
  <si>
    <t>Adams    ma 06/02/18</t>
  </si>
  <si>
    <t>fact 58026</t>
  </si>
  <si>
    <t>Adams  mi 07/02/18</t>
  </si>
  <si>
    <t>fact 58053</t>
  </si>
  <si>
    <t>Agrop Las Reses  do 06/02/18</t>
  </si>
  <si>
    <t>Porc Paso Blanco  do 06/02/18</t>
  </si>
  <si>
    <t>Porc Paso Blanco  lu 07/02/18</t>
  </si>
  <si>
    <t>Nal Ramada</t>
  </si>
  <si>
    <t>Ramada</t>
  </si>
  <si>
    <t>Rancho Ramada  mi 07/02/18</t>
  </si>
  <si>
    <t>fact A11012</t>
  </si>
  <si>
    <t>contra nacional e inyectada</t>
  </si>
  <si>
    <t>87  /  82</t>
  </si>
  <si>
    <t>fact 2800, 28001</t>
  </si>
  <si>
    <t>hoja + 9.5 ju 8 feb</t>
  </si>
  <si>
    <t>hoja + 10.5 ju 8 feb</t>
  </si>
  <si>
    <t>nlse18-22</t>
  </si>
  <si>
    <t>e20649</t>
  </si>
  <si>
    <t>rem 1804</t>
  </si>
  <si>
    <t>rem 1806</t>
  </si>
  <si>
    <t>e20907</t>
  </si>
  <si>
    <t>fact 2809, 2810</t>
  </si>
  <si>
    <t>fact 5943, 5944</t>
  </si>
  <si>
    <t>P 38.65 e21195</t>
  </si>
  <si>
    <t>P 38.70  e21196</t>
  </si>
  <si>
    <t>fact 1450207</t>
  </si>
  <si>
    <t>nl18-12</t>
  </si>
  <si>
    <t>nlse18-23</t>
  </si>
  <si>
    <t>hoja + 10.5 vi 09 feb</t>
  </si>
  <si>
    <t>nlse18-13</t>
  </si>
  <si>
    <t>hoja + 9.5 vi 09 feb</t>
  </si>
  <si>
    <t>nl18-13</t>
  </si>
  <si>
    <t>nlse18-14</t>
  </si>
  <si>
    <t>nlse18-15</t>
  </si>
  <si>
    <t>hoja + 10.5 lu 12 feb</t>
  </si>
  <si>
    <t>hoja + 10.5 ma 13 feb</t>
  </si>
  <si>
    <t>fact 5948, 5949</t>
  </si>
  <si>
    <t>fact 1470, 1471</t>
  </si>
  <si>
    <t>e20908</t>
  </si>
  <si>
    <t>e21195</t>
  </si>
  <si>
    <t>e21196</t>
  </si>
  <si>
    <t>e21159</t>
  </si>
  <si>
    <t>rem 1818</t>
  </si>
  <si>
    <t>P  38.60  e21341</t>
  </si>
  <si>
    <t>Smint Farm  vi 09/02/18  nl18-11</t>
  </si>
  <si>
    <t>fact 96110963</t>
  </si>
  <si>
    <t>intercam $31,094.98</t>
  </si>
  <si>
    <t>Ideal Trading  lu 19/02/18  nlp009</t>
  </si>
  <si>
    <t>Seaboard   mi 21/02/18  nlse18-24</t>
  </si>
  <si>
    <t>Seaboard   ju 22/02/18  nlse18-16</t>
  </si>
  <si>
    <t>Seaboard   vi  23/02/18  nlse18-17</t>
  </si>
  <si>
    <t>Tyson  ma 27/02/18  R1057</t>
  </si>
  <si>
    <t>Tyson  ma 27/02/18  R1062</t>
  </si>
  <si>
    <t>Ideal Trading  ma 27/02/18 nlp010</t>
  </si>
  <si>
    <t>Seaboard  sa 03/03/18  nlse18-19</t>
  </si>
  <si>
    <t>marzo 2018</t>
  </si>
  <si>
    <t>Tyson  mi  07/03/18  R1064</t>
  </si>
  <si>
    <t>Tyson  ma 06/03/18  R1063</t>
  </si>
  <si>
    <t>Seaboard  ju 08/03/18  nlse18-20</t>
  </si>
  <si>
    <t>Seaboard  sa 10/03/18  nlse18-21</t>
  </si>
  <si>
    <t>NLSE18-24</t>
  </si>
  <si>
    <t>233 cajas</t>
  </si>
  <si>
    <t>fact H4763</t>
  </si>
  <si>
    <t>Roel   vi 09/02/18</t>
  </si>
  <si>
    <t>contra excell</t>
  </si>
  <si>
    <t>Porc Paso Blanco  mi 07/02/18</t>
  </si>
  <si>
    <t>fact 2800, 2801</t>
  </si>
  <si>
    <t>Porc Paso Blanco  ju 08/02/18</t>
  </si>
  <si>
    <t>Agrop El Topete  ju 08/02/18</t>
  </si>
  <si>
    <t>Agrop El Topete  vi 09/02/18</t>
  </si>
  <si>
    <t>Agrop El Dorado  vi 09/02/18</t>
  </si>
  <si>
    <t>fact 1450756</t>
  </si>
  <si>
    <t>fact 2824, 2825</t>
  </si>
  <si>
    <t>fact 2829, 2830</t>
  </si>
  <si>
    <t>Gan R Sn Felipe</t>
  </si>
  <si>
    <t>fact 559, 560</t>
  </si>
  <si>
    <t>e21332</t>
  </si>
  <si>
    <t>e21341</t>
  </si>
  <si>
    <t>rem 1832</t>
  </si>
  <si>
    <t>P 38.65  e21733</t>
  </si>
  <si>
    <t>P 38.60  e21734</t>
  </si>
  <si>
    <t>fact 561, 562</t>
  </si>
  <si>
    <t>fact 1451581</t>
  </si>
  <si>
    <t>fact 1452038</t>
  </si>
  <si>
    <t>Smith Farm  ma 13/02/18  nl18-12</t>
  </si>
  <si>
    <t>fact 96116013</t>
  </si>
  <si>
    <t>intercam $26,840.05</t>
  </si>
  <si>
    <t>Esp de Carnero</t>
  </si>
  <si>
    <t>alliance</t>
  </si>
  <si>
    <t>5/7 ensenada</t>
  </si>
  <si>
    <t>fact PUI3044</t>
  </si>
  <si>
    <t>Filete Tilapia</t>
  </si>
  <si>
    <t>3/5 ensenada</t>
  </si>
  <si>
    <t>Salmon porcion</t>
  </si>
  <si>
    <t>6/8 baja bay</t>
  </si>
  <si>
    <t>Atun porcion</t>
  </si>
  <si>
    <t>Camaron</t>
  </si>
  <si>
    <t>30/40 mkt</t>
  </si>
  <si>
    <t>P 38.60    e21824</t>
  </si>
  <si>
    <t>recibido en obrador</t>
  </si>
  <si>
    <t>nl18-14</t>
  </si>
  <si>
    <t>nlp009</t>
  </si>
  <si>
    <t>hoja + 9.5 ju 15 feb</t>
  </si>
  <si>
    <t>hoja + 10.5 mi 14 feb</t>
  </si>
  <si>
    <t>nlse18-24</t>
  </si>
  <si>
    <t>hoja + 10.5 ju 15 feb</t>
  </si>
  <si>
    <t>nlse18-16</t>
  </si>
  <si>
    <t>hoja + 10.5 vi 16 feb</t>
  </si>
  <si>
    <t>nlse18-17</t>
  </si>
  <si>
    <t>hoja + 10.5 lu 19 feb</t>
  </si>
  <si>
    <t>nl18-15</t>
  </si>
  <si>
    <t>hoja + 9.5 lu 19 feb</t>
  </si>
  <si>
    <t>R1057</t>
  </si>
  <si>
    <t>R1062</t>
  </si>
  <si>
    <t>intercam $26,000.00</t>
  </si>
  <si>
    <t>Las Reses y Paso Bco</t>
  </si>
  <si>
    <t>fact 6551, 6552, 2841, 2842</t>
  </si>
  <si>
    <t>P 38.60  e22003</t>
  </si>
  <si>
    <t>hoja + 9.5 mi 21 feb</t>
  </si>
  <si>
    <t>Marzo 2018</t>
  </si>
  <si>
    <t>nl18-16</t>
  </si>
  <si>
    <t>nlp010</t>
  </si>
  <si>
    <t>nlse18-18</t>
  </si>
  <si>
    <t>nl18-17</t>
  </si>
  <si>
    <t>nlse18-19</t>
  </si>
  <si>
    <t>nlsecong-01</t>
  </si>
  <si>
    <t>Sesos copa</t>
  </si>
  <si>
    <t>Lengua cerdo</t>
  </si>
  <si>
    <t>Nana</t>
  </si>
  <si>
    <t>Seaboard  sa 03/03/18  nlsecong-01</t>
  </si>
  <si>
    <t>NLSECONG-01</t>
  </si>
  <si>
    <t>fact 1452634</t>
  </si>
  <si>
    <t>fact 1452353</t>
  </si>
  <si>
    <t>intercam $44,000.00</t>
  </si>
  <si>
    <t>Smith Farm  sa 17/02/18  nl18-13</t>
  </si>
  <si>
    <t>fact 96119868</t>
  </si>
  <si>
    <t>634 cajas</t>
  </si>
  <si>
    <t>fact FPL1016225</t>
  </si>
  <si>
    <t>Ryc Alimentos  sa 10/02/18</t>
  </si>
  <si>
    <t>Marimex  mi 14/02/18</t>
  </si>
  <si>
    <t>fact Oui 3044</t>
  </si>
  <si>
    <t>camaron, atun salmon, basa Tilapia</t>
  </si>
  <si>
    <t>300 cajas</t>
  </si>
  <si>
    <t>4 combos</t>
  </si>
  <si>
    <t>fact 58204</t>
  </si>
  <si>
    <t>Porc Paso Blanco  do 11/02/18</t>
  </si>
  <si>
    <t>fact 2829,2830</t>
  </si>
  <si>
    <t>Porc Paso Blanco lu 12/02/18</t>
  </si>
  <si>
    <t>Gan Rancho San Felipe ma 13/02/18</t>
  </si>
  <si>
    <t>Gan Rancho San Felipe mi 14/02/18</t>
  </si>
  <si>
    <t>Agrop Las Reses  ju 15/02/18</t>
  </si>
  <si>
    <t>fact 6551, 6552</t>
  </si>
  <si>
    <t>fact 2841, 2842</t>
  </si>
  <si>
    <t>Porc Paso Blanco  ju 15/02/18</t>
  </si>
  <si>
    <t>fact 202031</t>
  </si>
  <si>
    <t>intercam $28,184.90</t>
  </si>
  <si>
    <t>Porc San Bernardo</t>
  </si>
  <si>
    <t>fact 2794, 2795</t>
  </si>
  <si>
    <t>fact 5959, 5960</t>
  </si>
  <si>
    <t>Gan Rancho Sn Felipe</t>
  </si>
  <si>
    <t>fact 566, 567</t>
  </si>
  <si>
    <t>P 38.80  E22328</t>
  </si>
  <si>
    <t>P  38.15  E22329</t>
  </si>
  <si>
    <t>fact 568, 569</t>
  </si>
  <si>
    <t>Porc San Bernardo  vi 16/02/18</t>
  </si>
  <si>
    <t>Agrop El Topete  vi 16/02/18</t>
  </si>
  <si>
    <t>Gan Rancho San Felipe do 18/02/18</t>
  </si>
  <si>
    <t>e21824</t>
  </si>
  <si>
    <t>e22328</t>
  </si>
  <si>
    <t>e22003</t>
  </si>
  <si>
    <t>entrega caja</t>
  </si>
  <si>
    <t>vale</t>
  </si>
  <si>
    <t xml:space="preserve">tomo </t>
  </si>
  <si>
    <t xml:space="preserve">entrega caja </t>
  </si>
  <si>
    <t>e21734</t>
  </si>
  <si>
    <t>rem 11862</t>
  </si>
  <si>
    <t>rem 1849</t>
  </si>
  <si>
    <t>Gan Rancho San Felipe lu 19/02/18</t>
  </si>
  <si>
    <t>P 38.10  E22475</t>
  </si>
  <si>
    <t>Carga cancelada se pasa el pago a la NLSE18-18</t>
  </si>
  <si>
    <t>Seaboard   ju  01/03/18  nlse18-18</t>
  </si>
  <si>
    <t>Pago acreditado de la carga NLSE18-17</t>
  </si>
  <si>
    <t>fact 1453253</t>
  </si>
  <si>
    <t>fact 572, 573</t>
  </si>
  <si>
    <t>e21733</t>
  </si>
  <si>
    <t>e21838</t>
  </si>
  <si>
    <t>e22329</t>
  </si>
  <si>
    <t>P 38.0  e22581</t>
  </si>
  <si>
    <t>fact 1454480</t>
  </si>
  <si>
    <t>fact 575, 576</t>
  </si>
  <si>
    <t>e22475</t>
  </si>
  <si>
    <t>trasnsfer</t>
  </si>
  <si>
    <t>P 38.0  e22709</t>
  </si>
  <si>
    <t>Adams International  ma 13/02/18</t>
  </si>
  <si>
    <t>e22581</t>
  </si>
  <si>
    <t>R1063</t>
  </si>
  <si>
    <t>R1064</t>
  </si>
  <si>
    <t>X0628</t>
  </si>
  <si>
    <t>X0644</t>
  </si>
  <si>
    <t>X0645</t>
  </si>
  <si>
    <t>X0646</t>
  </si>
  <si>
    <t>X0647</t>
  </si>
  <si>
    <t>X0648</t>
  </si>
  <si>
    <t>fact 6563, 6564</t>
  </si>
  <si>
    <t>fact 2802, 2803</t>
  </si>
  <si>
    <t>fact 2804, 2805</t>
  </si>
  <si>
    <t>fact 6567, 6568</t>
  </si>
  <si>
    <t>P 37.95 e22986</t>
  </si>
  <si>
    <t>P 38.10 e22987</t>
  </si>
  <si>
    <t>e22709</t>
  </si>
  <si>
    <t>e22986</t>
  </si>
  <si>
    <t>Sioux Prime</t>
  </si>
  <si>
    <t>hoja + 10 lu 26 feb</t>
  </si>
  <si>
    <t>196 cajas</t>
  </si>
  <si>
    <t>Roel   ma 20/02/18</t>
  </si>
  <si>
    <t>espaldilla de carnero</t>
  </si>
  <si>
    <t>fact 58359</t>
  </si>
  <si>
    <t>fact 58438</t>
  </si>
  <si>
    <t>fact 58510</t>
  </si>
  <si>
    <t>Adams International  lu 19/02/18</t>
  </si>
  <si>
    <t>Adams International  ju 22/02/18</t>
  </si>
  <si>
    <t>Adams International  sa  24/02/18</t>
  </si>
  <si>
    <t>Gan Rancho San Felipe ma 20/02/18</t>
  </si>
  <si>
    <t>Gan Rancho San Felipe mi 21/02/18</t>
  </si>
  <si>
    <t>Porc San Bernardo  ju 22/02/18</t>
  </si>
  <si>
    <t>Agrop Las Reses  ju  22/02/18</t>
  </si>
  <si>
    <t>Porc San Bernardo  vi 23/02/18</t>
  </si>
  <si>
    <t>Agrop Las Reses  vi 23/02/18</t>
  </si>
  <si>
    <t>Smith Farm  ma 20/02/18  nl18-14</t>
  </si>
  <si>
    <t>fact 96126320</t>
  </si>
  <si>
    <t>Smith Farm  sa 24/02/18  nl18-15</t>
  </si>
  <si>
    <t>fact 96130052</t>
  </si>
  <si>
    <t>intercam $29,517.53</t>
  </si>
  <si>
    <t>carga cancelada , se pasa el pago a la carga R1063 pago ma 27/02/18</t>
  </si>
  <si>
    <t>Pago acreditado de la carga R1057 del 20/02/18</t>
  </si>
  <si>
    <t>nlp013</t>
  </si>
  <si>
    <t>intercam $26,874.43</t>
  </si>
  <si>
    <t>Las Reses y Sn Bernardo</t>
  </si>
  <si>
    <t>fact 6575, 6576, 2809, 2810</t>
  </si>
  <si>
    <t>Ideal Trading  ma 27/02/18 nlp013</t>
  </si>
  <si>
    <t>P 38  e23170</t>
  </si>
  <si>
    <t>33.50-34</t>
  </si>
  <si>
    <t>fact 5984, 5985</t>
  </si>
  <si>
    <t>088D22822A</t>
  </si>
  <si>
    <t>Smith Farm  27/02/18  nl18-16</t>
  </si>
  <si>
    <t>fact 96133309</t>
  </si>
  <si>
    <t>intercam $29,990.54</t>
  </si>
  <si>
    <t>Agrop Las Reses  do 25/02/18</t>
  </si>
  <si>
    <t>fact 6575 6576</t>
  </si>
  <si>
    <t>fact 5809, 2810</t>
  </si>
  <si>
    <t>Porc San Bernardo  do 25/02/18</t>
  </si>
  <si>
    <t>Agrop El Topete  lu 26/02/18</t>
  </si>
  <si>
    <t>e22987</t>
  </si>
  <si>
    <t>P 38.10  e 23287</t>
  </si>
  <si>
    <t>e22850</t>
  </si>
  <si>
    <t>e23287</t>
  </si>
  <si>
    <t>intercam $38,000.00</t>
  </si>
  <si>
    <t>fact 2812, 2813</t>
  </si>
  <si>
    <t>fact 202040</t>
  </si>
  <si>
    <t>intercam $29,836.31</t>
  </si>
  <si>
    <t>fact 1456892</t>
  </si>
  <si>
    <t>fact 088D22822A</t>
  </si>
  <si>
    <t>P 38.20  e23445</t>
  </si>
  <si>
    <t>sobran 345.80</t>
  </si>
  <si>
    <t>Pago total por $68,844.60</t>
  </si>
  <si>
    <t>fact 202039</t>
  </si>
  <si>
    <t>intercam $30,660.30</t>
  </si>
  <si>
    <t>Porc San Bernardo  ma 27/02/18</t>
  </si>
  <si>
    <t>e23445</t>
  </si>
  <si>
    <t>hoja + 9.5 vi 23 feb</t>
  </si>
  <si>
    <t>hoja + 10.5 vi 23 feb</t>
  </si>
  <si>
    <t>Porc San Bernardo  mi 28/02/18</t>
  </si>
  <si>
    <t>fact 2814, 2815</t>
  </si>
  <si>
    <t>Descuento de 13 NC etiquetado, 150c/u= $1,950 usd</t>
  </si>
  <si>
    <t>intercam $27,436.21-$1950</t>
  </si>
  <si>
    <t>nl17-117,120; nl18-02 a 12</t>
  </si>
  <si>
    <t>CIERRE AL 28 DE FEBRERO DE 2018</t>
  </si>
  <si>
    <t xml:space="preserve">P 38.20    </t>
  </si>
  <si>
    <t>hoja + 9.5 mi 28 feb</t>
  </si>
  <si>
    <t>hoja + 9.5 ju 01 mar</t>
  </si>
  <si>
    <t>nl18-18</t>
  </si>
  <si>
    <t>1181 cajas</t>
  </si>
  <si>
    <t>125 cajas</t>
  </si>
  <si>
    <t>83 cajas</t>
  </si>
  <si>
    <t>75 cajas</t>
  </si>
  <si>
    <t>50 cajas</t>
  </si>
  <si>
    <t>fact 2820, 2821</t>
  </si>
  <si>
    <t>fact 6582, 6583</t>
  </si>
  <si>
    <t>pago de etiquetado $3,332.10 + $5331.36 tarimas</t>
  </si>
  <si>
    <t>e23170</t>
  </si>
  <si>
    <t>P 38.30  e23711</t>
  </si>
  <si>
    <t>nlse18-20</t>
  </si>
  <si>
    <t>nl18-19</t>
  </si>
  <si>
    <t>nlse18-21</t>
  </si>
  <si>
    <t>hoja + 10.5 vi 02 mar</t>
  </si>
  <si>
    <t>hoja + 9.5 vi 02 mar</t>
  </si>
  <si>
    <t>hoja + 10.5 ma 06 mar</t>
  </si>
  <si>
    <t>fact 6588, 6589</t>
  </si>
  <si>
    <t>Smith Farm  vi  03/03/18  nl18-17</t>
  </si>
  <si>
    <t>fact 96137457</t>
  </si>
  <si>
    <t>intercam $31,114.96</t>
  </si>
  <si>
    <t>hoja + 9.5 ju 08 mar</t>
  </si>
  <si>
    <t>hoja + 9.5  vi 09 mar</t>
  </si>
  <si>
    <t>hoja + 10.5 vi 09 mar</t>
  </si>
  <si>
    <t>hoja + 9.5 vi 09 mar</t>
  </si>
  <si>
    <t>hoja + 9.5 lu 12 mar</t>
  </si>
  <si>
    <t>hoja + 10.5 ma 13 mar</t>
  </si>
  <si>
    <t>hoja + 9.5 ju 15 mar</t>
  </si>
  <si>
    <t>hoja + 10.5 vi 16 mar</t>
  </si>
  <si>
    <t>nlp011</t>
  </si>
  <si>
    <t>hoja + 10.5 mi 7 mar</t>
  </si>
  <si>
    <t>nl18-20</t>
  </si>
  <si>
    <t>nlse18-25</t>
  </si>
  <si>
    <t>nl18-21</t>
  </si>
  <si>
    <t>nlse18-26</t>
  </si>
  <si>
    <t>nl18-22</t>
  </si>
  <si>
    <t>nlse18-27</t>
  </si>
  <si>
    <t>nl18-23</t>
  </si>
  <si>
    <t>nlse18-28</t>
  </si>
  <si>
    <t>hoja + 9.5 vi 16 mar</t>
  </si>
  <si>
    <t>hoja + 10.5 ma 20 mar</t>
  </si>
  <si>
    <t>Abril 2018</t>
  </si>
  <si>
    <t>nl18-24</t>
  </si>
  <si>
    <t>nlp012</t>
  </si>
  <si>
    <t>nl18-25</t>
  </si>
  <si>
    <t>hoja + 9.5 ju 22 mar</t>
  </si>
  <si>
    <t>hoja + 10.5 mi 21 mar</t>
  </si>
  <si>
    <t>hoja + 10.5 vi 23 mar</t>
  </si>
  <si>
    <t>nlse18-29</t>
  </si>
  <si>
    <t>nlse18-30</t>
  </si>
  <si>
    <t>fact 58627</t>
  </si>
  <si>
    <t>Adams International  ju 01/03/18</t>
  </si>
  <si>
    <t>Porc San Bernardo  ju 01/03/18</t>
  </si>
  <si>
    <t>Agrop Las Reses  ju 01/03/18</t>
  </si>
  <si>
    <t>Porc San Bernardo  vi 02/03/18</t>
  </si>
  <si>
    <t>Agrop Las Reses  vi 02/03/18</t>
  </si>
  <si>
    <t>Ideal Trading  ma 13/03/18  nlp011</t>
  </si>
  <si>
    <t>Tyson  mi 14/03/18  X0628</t>
  </si>
  <si>
    <t>Seaboard  ju 15/03/18  nlse18-25</t>
  </si>
  <si>
    <t>Tyson  mi 20/03/18  X0644</t>
  </si>
  <si>
    <t>Tyson  mi 20/03/18  X0645</t>
  </si>
  <si>
    <t>Seaboard  ju 21/03/18  nlse18-27</t>
  </si>
  <si>
    <t>Seaboard  sa 24/03/18  nlse18-28</t>
  </si>
  <si>
    <t>Ideal Trading  ma 27/03/18  nlp012</t>
  </si>
  <si>
    <t>Tyson  mi 28/03/18  X0646</t>
  </si>
  <si>
    <t>Seaboard  ju 29/03/18  nlse18-29</t>
  </si>
  <si>
    <t>Seaboard  ju 29/03/18  nlse18-30</t>
  </si>
  <si>
    <t>Tyson  ma 03/04/18  X0647</t>
  </si>
  <si>
    <t>Seaboard  ju 05/04/18  nlse18-31</t>
  </si>
  <si>
    <t>Tyson  mi 04/04/18  X0648</t>
  </si>
  <si>
    <t>Seaboard  vi 06/04/18  nlse18-32</t>
  </si>
  <si>
    <t>Intercam $31,000.00</t>
  </si>
  <si>
    <t>intercam $33,500.00</t>
  </si>
  <si>
    <t>NLSE18-25</t>
  </si>
  <si>
    <t>NLSE18-26</t>
  </si>
  <si>
    <t>NLSE18-27</t>
  </si>
  <si>
    <t>NLSE18-28</t>
  </si>
  <si>
    <t>NLSE18-29</t>
  </si>
  <si>
    <t>NLSE18-30</t>
  </si>
  <si>
    <t>NLSE18-31</t>
  </si>
  <si>
    <t>NLSE18-32</t>
  </si>
  <si>
    <t>intercam $32,500.00</t>
  </si>
  <si>
    <t>fact H4825</t>
  </si>
  <si>
    <t>fact h4825</t>
  </si>
  <si>
    <t>P 38.30  e24009</t>
  </si>
  <si>
    <t>fact 1498, 1499</t>
  </si>
  <si>
    <t>fact 1500, 1501</t>
  </si>
  <si>
    <t>038E01822A</t>
  </si>
  <si>
    <t>e23573</t>
  </si>
  <si>
    <t>e23711</t>
  </si>
  <si>
    <t>e24009</t>
  </si>
  <si>
    <t>e23935</t>
  </si>
  <si>
    <t>corregida esta ultima</t>
  </si>
  <si>
    <t>rem 1912</t>
  </si>
  <si>
    <t>P 38.0  e24024</t>
  </si>
  <si>
    <t>P 38.15  e24137</t>
  </si>
  <si>
    <t>e24137</t>
  </si>
  <si>
    <t>fact 2831, 2832</t>
  </si>
  <si>
    <t>fact 038E01825A</t>
  </si>
  <si>
    <t>038E01825A</t>
  </si>
  <si>
    <t>fact 038E01822A</t>
  </si>
  <si>
    <t>fact 1457248</t>
  </si>
  <si>
    <t>fact 1457141</t>
  </si>
  <si>
    <t>48.58 sesos</t>
  </si>
  <si>
    <t>Seaboard  sa 17/03/18  nlse18-26</t>
  </si>
  <si>
    <t>P 38.15  e24287</t>
  </si>
  <si>
    <t>fact 2835, 2836</t>
  </si>
  <si>
    <t>Smith Farm  06/03/18  nl18-18</t>
  </si>
  <si>
    <t>fact 96141860</t>
  </si>
  <si>
    <t>intercam $30,836.78</t>
  </si>
  <si>
    <t>Smith Farm  vi 09/03/18  nl18-19</t>
  </si>
  <si>
    <t>fact 96145328</t>
  </si>
  <si>
    <t>intercam $31,753.85</t>
  </si>
  <si>
    <t>e24024</t>
  </si>
  <si>
    <t>rem 1910</t>
  </si>
  <si>
    <t>rem 1914</t>
  </si>
  <si>
    <t>rem 1911</t>
  </si>
  <si>
    <t>e24287</t>
  </si>
  <si>
    <t>rem 1919</t>
  </si>
  <si>
    <t>fact 2804, 2805, nc</t>
  </si>
  <si>
    <t>fact 2824, 2825, nc</t>
  </si>
  <si>
    <t>fact 1507, 1508</t>
  </si>
  <si>
    <t>fact 2840, 2841</t>
  </si>
  <si>
    <t>fact 5830, 5831</t>
  </si>
  <si>
    <t>fact 6015, 6016</t>
  </si>
  <si>
    <t>fact 1459314</t>
  </si>
  <si>
    <t>fact 1459800</t>
  </si>
  <si>
    <t>P 38  e24529</t>
  </si>
  <si>
    <t>P 38.10 e24649</t>
  </si>
  <si>
    <t xml:space="preserve">Agrop El Dorado  do 04/03/18  </t>
  </si>
  <si>
    <t xml:space="preserve">Agrop El Dorado  lu 05/03/18  </t>
  </si>
  <si>
    <t>Porc San Bernardo  ma 06/03/18</t>
  </si>
  <si>
    <t>Porc San Bernardo  mi 07/03/18</t>
  </si>
  <si>
    <t>Agrop El Dorado  ju 08/03/18</t>
  </si>
  <si>
    <t>Porc San Bernardo  ju 08/03/18</t>
  </si>
  <si>
    <t>Agrop La Gaby  vi 09/03/18</t>
  </si>
  <si>
    <t>Agrop El Topete  vi 09/03/18</t>
  </si>
  <si>
    <t>Intercam $27,500.00</t>
  </si>
  <si>
    <t>El Dorado y Sn Bernardo</t>
  </si>
  <si>
    <t>fact 1520, 1521, 2644, 2645</t>
  </si>
  <si>
    <t>fact 202049</t>
  </si>
  <si>
    <t>intercam $29,201.72</t>
  </si>
  <si>
    <t>e24529</t>
  </si>
  <si>
    <t>P 38  e24855</t>
  </si>
  <si>
    <t>e24649</t>
  </si>
  <si>
    <t>12/03/18 $1,000,000 y $599,895.80</t>
  </si>
  <si>
    <t>fact 58752</t>
  </si>
  <si>
    <t>Adams International  ma 06/03/18</t>
  </si>
  <si>
    <t xml:space="preserve">Menudo </t>
  </si>
  <si>
    <t>Excel 86M</t>
  </si>
  <si>
    <t>337 cajas</t>
  </si>
  <si>
    <t>fact H4945</t>
  </si>
  <si>
    <t>Roel    sa 10/03/18</t>
  </si>
  <si>
    <t>069E08826A</t>
  </si>
  <si>
    <t>fact 069E08826A</t>
  </si>
  <si>
    <t>fact 2903, 2904</t>
  </si>
  <si>
    <t>P 38.15  e24981</t>
  </si>
  <si>
    <t>fact 1528, 1529</t>
  </si>
  <si>
    <t>e24686</t>
  </si>
  <si>
    <t>e24855</t>
  </si>
  <si>
    <t>rem1939</t>
  </si>
  <si>
    <t>rem 1937</t>
  </si>
  <si>
    <t>rem 1933</t>
  </si>
  <si>
    <t>P 38.10  F00092</t>
  </si>
  <si>
    <t>fact 2850, 2851</t>
  </si>
  <si>
    <t>P 38.15 F0017</t>
  </si>
  <si>
    <t>fact 1537, 1538</t>
  </si>
  <si>
    <t>fact 2912, 2913</t>
  </si>
  <si>
    <t>e24990</t>
  </si>
  <si>
    <t>e24981</t>
  </si>
  <si>
    <t>f00092</t>
  </si>
  <si>
    <t>P 38.20  F00362</t>
  </si>
  <si>
    <t>f00217</t>
  </si>
  <si>
    <t>rem 1947</t>
  </si>
  <si>
    <t>sobran 430 en el deposito</t>
  </si>
  <si>
    <t>fact 1461449</t>
  </si>
  <si>
    <t>fact 1462432</t>
  </si>
  <si>
    <t>fact 96152366</t>
  </si>
  <si>
    <t>intercam $28,205.36</t>
  </si>
  <si>
    <t>Smith Farm  vi 16/03/18  nl18-21</t>
  </si>
  <si>
    <t>fact 96155326</t>
  </si>
  <si>
    <t>intercam $28,603.46</t>
  </si>
  <si>
    <t>Smith Farm  sa 17/03/18  nl18-22</t>
  </si>
  <si>
    <t>fact 96156739</t>
  </si>
  <si>
    <t>intercam $27,988.26</t>
  </si>
  <si>
    <t>fact 2915, 2916</t>
  </si>
  <si>
    <t>fact 5845, 5846</t>
  </si>
  <si>
    <t>f00362</t>
  </si>
  <si>
    <t>P 38.10   f00499</t>
  </si>
  <si>
    <t>El Dorado y Sa Bernardo</t>
  </si>
  <si>
    <t>088E16821A</t>
  </si>
  <si>
    <t>088E16823A</t>
  </si>
  <si>
    <t>fact 1546, 1547, 2859,2860</t>
  </si>
  <si>
    <t>fact 2862, 2863</t>
  </si>
  <si>
    <t>P 38.10  f00802</t>
  </si>
  <si>
    <t>P 38.20  f00803</t>
  </si>
  <si>
    <t>fact 6035, 6036</t>
  </si>
  <si>
    <t>Smith Farm  mi 14/03/18  nl18-20</t>
  </si>
  <si>
    <t>f00499</t>
  </si>
  <si>
    <t>f00802</t>
  </si>
  <si>
    <t>P 38.10  f00932</t>
  </si>
  <si>
    <t>fact 088E16821A</t>
  </si>
  <si>
    <t>fact 088E16823A</t>
  </si>
  <si>
    <t>Agrop El Dorado  do 11/03/18</t>
  </si>
  <si>
    <t>fact 1520, 1521</t>
  </si>
  <si>
    <t>fact 2844, 2845</t>
  </si>
  <si>
    <t>Porc San Bernardo  do 11/03/18</t>
  </si>
  <si>
    <t>fact 2866, 2867</t>
  </si>
  <si>
    <t>abril 2018</t>
  </si>
  <si>
    <t>Smith Farm  vi 23/03/18  nl18-23</t>
  </si>
  <si>
    <t>fact 96164689</t>
  </si>
  <si>
    <t>intercam $26,156.96</t>
  </si>
  <si>
    <t>fact 1464397</t>
  </si>
  <si>
    <t>Porc Paso Blanco  lu 12/03/18</t>
  </si>
  <si>
    <t>Agrop El Dorado  ma 13/03/18</t>
  </si>
  <si>
    <t>Porc San Bernardo  mi 14/0318</t>
  </si>
  <si>
    <t>fact 2850,2851</t>
  </si>
  <si>
    <t>Porc Paso Blanco  ju 15/03/18</t>
  </si>
  <si>
    <t>Agrop El Dorado ju 15/03/18</t>
  </si>
  <si>
    <t>Porc Paso Blanco  vi 16/03/18</t>
  </si>
  <si>
    <t>Agrop La Gaby  vi 16/03/18</t>
  </si>
  <si>
    <t>f00803</t>
  </si>
  <si>
    <t>f00933</t>
  </si>
  <si>
    <t>f00932</t>
  </si>
  <si>
    <t>P 38.10  f01066</t>
  </si>
  <si>
    <t>precios canal  GF 38.50 trailer</t>
  </si>
  <si>
    <t>fact 1464693</t>
  </si>
  <si>
    <t>hoja + 9.5  ju 29 mar</t>
  </si>
  <si>
    <t>hoja + 9.5 mi 28 mar</t>
  </si>
  <si>
    <t>hoja + 9.5 ju 29 mar</t>
  </si>
  <si>
    <t>hoja + 10.5 vi 30 mar</t>
  </si>
  <si>
    <t>hoja + 10.5 lu 02 abr</t>
  </si>
  <si>
    <t>hoja + 9.5 lu 02 abr</t>
  </si>
  <si>
    <t>nlp014</t>
  </si>
  <si>
    <t>nl18-26</t>
  </si>
  <si>
    <t>x0647</t>
  </si>
  <si>
    <t>x0648</t>
  </si>
  <si>
    <t>nlse18-31</t>
  </si>
  <si>
    <t>nlse18-32</t>
  </si>
  <si>
    <t>nl18-27</t>
  </si>
  <si>
    <t>fact 2923, 2924</t>
  </si>
  <si>
    <t>fact 1557, 1558</t>
  </si>
  <si>
    <t>Agrop El Dorado  do 18/03/18</t>
  </si>
  <si>
    <t>fact 1546, 1547</t>
  </si>
  <si>
    <t>fact 2859, 2860</t>
  </si>
  <si>
    <t>Porc San Bernardo  do 18/03/18</t>
  </si>
  <si>
    <t>Porc  San Bernardo  lu 19/03/18</t>
  </si>
  <si>
    <t>Agrop El Topete  ma 20/03/18</t>
  </si>
  <si>
    <t>Porc San Bernardo  mi 21/03/18</t>
  </si>
  <si>
    <t>fact 2873, 2874</t>
  </si>
  <si>
    <t>fact 5864, 5865</t>
  </si>
  <si>
    <t>P 38.10  f01298</t>
  </si>
  <si>
    <t>P 38.15  f01299</t>
  </si>
  <si>
    <t>f01298</t>
  </si>
  <si>
    <t>f01066</t>
  </si>
  <si>
    <t>rem 1974</t>
  </si>
  <si>
    <t>intercami $26,000.00</t>
  </si>
  <si>
    <t>fact 202055</t>
  </si>
  <si>
    <t>intercam $26,001.69</t>
  </si>
  <si>
    <t>Juan Pablo Torres</t>
  </si>
  <si>
    <t>Juan Pablo Torres  do 25/03/18</t>
  </si>
  <si>
    <t>Juan Pablo Torres  lu 26/03/18</t>
  </si>
  <si>
    <t>Juan Pablo Torres  ma 27/03/18</t>
  </si>
  <si>
    <t>Juan Pablo Torres mi 28/03/18</t>
  </si>
  <si>
    <t>Juan Pablo Torres ju 29/03/18</t>
  </si>
  <si>
    <t>Juan Pablo Torres  ju 29/03/18</t>
  </si>
  <si>
    <t>P 38.15  f01502</t>
  </si>
  <si>
    <t>fact 51</t>
  </si>
  <si>
    <t>mira</t>
  </si>
  <si>
    <t>fact 56</t>
  </si>
  <si>
    <t>fact 069E22827A</t>
  </si>
  <si>
    <t>069E22827A</t>
  </si>
  <si>
    <t>Tyson  ma 10/04/18   43772</t>
  </si>
  <si>
    <t>Seaboard  ju  12/04/18  nlse18-33</t>
  </si>
  <si>
    <t>Seaboard  sa  14/04/18  nlse18-34</t>
  </si>
  <si>
    <t>Ricardo</t>
  </si>
  <si>
    <t>fact 1466469</t>
  </si>
  <si>
    <t>fact 1466470</t>
  </si>
  <si>
    <t>fact 57</t>
  </si>
  <si>
    <t>f01299</t>
  </si>
  <si>
    <t>rem 1970</t>
  </si>
  <si>
    <t>rem 1952</t>
  </si>
  <si>
    <t>P 38.15  F01719</t>
  </si>
  <si>
    <t>f01719</t>
  </si>
  <si>
    <t>f01022</t>
  </si>
  <si>
    <t>rem 0001</t>
  </si>
  <si>
    <t>rem 1994</t>
  </si>
  <si>
    <t xml:space="preserve">Esp Carnero </t>
  </si>
  <si>
    <t>245 cajas</t>
  </si>
  <si>
    <t>Roel    vi   16/03/18</t>
  </si>
  <si>
    <t>Swift</t>
  </si>
  <si>
    <t>350 cajas</t>
  </si>
  <si>
    <t>Roel    lu  26/03/18</t>
  </si>
  <si>
    <t>contra swift</t>
  </si>
  <si>
    <t>fact 59045</t>
  </si>
  <si>
    <t>v</t>
  </si>
  <si>
    <t>Adams International  ju 15/03/18</t>
  </si>
  <si>
    <t>fact 58882</t>
  </si>
  <si>
    <t>Adams International  sa 10/03/18</t>
  </si>
  <si>
    <t>fact 59133</t>
  </si>
  <si>
    <t>Adams International  ma 20/3/18</t>
  </si>
  <si>
    <t>hoja + 10 ju 29 mar</t>
  </si>
  <si>
    <t>Sioux Preme</t>
  </si>
  <si>
    <t>3 combos</t>
  </si>
  <si>
    <t>fact 59283</t>
  </si>
  <si>
    <t>Adams International  lu 26/03/18</t>
  </si>
  <si>
    <t>Adams International mi 28/03/18</t>
  </si>
  <si>
    <t>Porc Paso Blanco  ju 22/03/18</t>
  </si>
  <si>
    <t>Agrop El Dorado  ju 22/03/18</t>
  </si>
  <si>
    <t>Porc San Bernardo  vi 23/03/18</t>
  </si>
  <si>
    <t>Agrop La Gaby  vi 23/03/18</t>
  </si>
  <si>
    <t>intercam $27,000.00</t>
  </si>
  <si>
    <t>Smith Farm  ma 27/03/18  nl18-24</t>
  </si>
  <si>
    <t>fact 96170131</t>
  </si>
  <si>
    <t>intercam $25,071.68</t>
  </si>
  <si>
    <t>intercam $25,252.11</t>
  </si>
  <si>
    <t>fact 96170132</t>
  </si>
  <si>
    <t>Smith Farm  ma 27/03/18  nl18-25</t>
  </si>
  <si>
    <t>NLSE18-33</t>
  </si>
  <si>
    <t>NLSE18-34</t>
  </si>
  <si>
    <t>NLSE18-35</t>
  </si>
  <si>
    <t>NLSE18-36</t>
  </si>
  <si>
    <t>NLSE18-37</t>
  </si>
  <si>
    <t>NLSE18-38</t>
  </si>
  <si>
    <t>NLSE18-39</t>
  </si>
  <si>
    <t>NLSE18-40</t>
  </si>
  <si>
    <t>NLSE18-41</t>
  </si>
  <si>
    <t>CIERRE AL 31 DE MARZO DE 2018</t>
  </si>
  <si>
    <t>fact H5120</t>
  </si>
  <si>
    <t>fact H5121</t>
  </si>
  <si>
    <t>San Bernardo y Topete</t>
  </si>
  <si>
    <t>fact 2893, 2894, 6061, 6062</t>
  </si>
  <si>
    <t>Ideal Trading  ma 03/04/18 nlp014</t>
  </si>
  <si>
    <t>fact 202059</t>
  </si>
  <si>
    <t>intercam $26,199.35</t>
  </si>
  <si>
    <t>f01502</t>
  </si>
  <si>
    <t>P  37.90  F02247</t>
  </si>
  <si>
    <t>P 38.25  F02249</t>
  </si>
  <si>
    <t xml:space="preserve">Porc Paso Blanco </t>
  </si>
  <si>
    <t>P 38.30  F02253</t>
  </si>
  <si>
    <t>costo promediado por valores de piernas diferente tamaño en factura 0.62624</t>
  </si>
  <si>
    <t>fact 038E30820A</t>
  </si>
  <si>
    <t>fact 069E30821A</t>
  </si>
  <si>
    <t>hoja + 9.5  ju 05 abr</t>
  </si>
  <si>
    <t>hoja + 9.5 mi 04 abr</t>
  </si>
  <si>
    <t>hoja + 9.5 ju 05 abr</t>
  </si>
  <si>
    <t>hoja + 10.5 vi 06 abr</t>
  </si>
  <si>
    <t>hoja + 9.5 vi 06 abr</t>
  </si>
  <si>
    <t>hoja + 10.5 ma 10 abr</t>
  </si>
  <si>
    <t>Tyson  mi 11/04/18   43791</t>
  </si>
  <si>
    <t>fact 65</t>
  </si>
  <si>
    <t>fact 59357</t>
  </si>
  <si>
    <t>fact 2897</t>
  </si>
  <si>
    <t>fact 66</t>
  </si>
  <si>
    <t>f02152</t>
  </si>
  <si>
    <t>f02247</t>
  </si>
  <si>
    <t>f02253</t>
  </si>
  <si>
    <t>P 38.15  F02400</t>
  </si>
  <si>
    <t>fact 1468880</t>
  </si>
  <si>
    <t>fact 67</t>
  </si>
  <si>
    <t>f02255</t>
  </si>
  <si>
    <t>f02400</t>
  </si>
  <si>
    <t xml:space="preserve">fact 1356, </t>
  </si>
  <si>
    <t>fact 2953, 2958</t>
  </si>
  <si>
    <t>P 38.50  F02526</t>
  </si>
  <si>
    <t>nl18-28</t>
  </si>
  <si>
    <t>nlse18-33</t>
  </si>
  <si>
    <t>nl18-29</t>
  </si>
  <si>
    <t>nlse18-34</t>
  </si>
  <si>
    <t>Esp de carnero</t>
  </si>
  <si>
    <t>Excel</t>
  </si>
  <si>
    <t>fact 1469167</t>
  </si>
  <si>
    <t>fact 2899, 2904</t>
  </si>
  <si>
    <t>038E30820A</t>
  </si>
  <si>
    <t>069E30821A</t>
  </si>
  <si>
    <t>f02249</t>
  </si>
  <si>
    <t>f02370</t>
  </si>
  <si>
    <t>fact 6074, 6075</t>
  </si>
  <si>
    <t>P 38.60  F02702</t>
  </si>
  <si>
    <t>fact 1029964</t>
  </si>
  <si>
    <t>fact 96178264</t>
  </si>
  <si>
    <t>Smith Farm  sa 07/04/18  nl18-27</t>
  </si>
  <si>
    <t>Smith Farm  ma 03/04/18  nl18-26</t>
  </si>
  <si>
    <t>fact 96184820</t>
  </si>
  <si>
    <t>fact 1576, 1577</t>
  </si>
  <si>
    <t>f02702</t>
  </si>
  <si>
    <t>P 38.30  F02832</t>
  </si>
  <si>
    <t>fact 2947, 2957</t>
  </si>
  <si>
    <t>Porc San Bernardo  do 01/04/18</t>
  </si>
  <si>
    <t>fact 2893, 2894</t>
  </si>
  <si>
    <t>Agrop El Topete  do 01/04/18</t>
  </si>
  <si>
    <t>fact 6061,6062</t>
  </si>
  <si>
    <t>Porc Paso Blanco  lu 02/04/18</t>
  </si>
  <si>
    <t>Porc San Bernardo  ma 03/04/18</t>
  </si>
  <si>
    <t>fact 2897, 2903</t>
  </si>
  <si>
    <t>Porc San Bernardo  mi  04/04/18</t>
  </si>
  <si>
    <t>Porc Soto  ju 05/04/18</t>
  </si>
  <si>
    <t>fact 1356,1357,1358</t>
  </si>
  <si>
    <t>Porc Paso Blanco  ju 05/04/18</t>
  </si>
  <si>
    <t>Agrop El Topete  vi  06/04/18</t>
  </si>
  <si>
    <t>Agrop El Dorado  vi 06/04/18</t>
  </si>
  <si>
    <t>f02498</t>
  </si>
  <si>
    <t>f02526</t>
  </si>
  <si>
    <t>f02568</t>
  </si>
  <si>
    <t>Res</t>
  </si>
  <si>
    <t>El 100</t>
  </si>
  <si>
    <t>Carnes Sel el 100</t>
  </si>
  <si>
    <t>Tyson  mi  18/04/18  43792</t>
  </si>
  <si>
    <t>Tyson  mi  18/04/18  43793</t>
  </si>
  <si>
    <t>Ideal Trading  ma 17/04/18  nlp015</t>
  </si>
  <si>
    <t>Seaboard  ju 19/04/18  nlse18-35</t>
  </si>
  <si>
    <t>Seaboard  sa 21/04/18  nlse18-36</t>
  </si>
  <si>
    <t>Descuento de notas de credito nl18-13 a la nl18-20 de $150usd c/u mas nl18-17 $432usd  Total $1,632 usd</t>
  </si>
  <si>
    <t>intercam $26,383.61-1632</t>
  </si>
  <si>
    <t>res en canal</t>
  </si>
  <si>
    <t>Carnes el Cien  mi 11/04/18</t>
  </si>
  <si>
    <t>fact 6080,6081,6082</t>
  </si>
  <si>
    <t>P 37.90 F03036</t>
  </si>
  <si>
    <t>P 37.80  F03156</t>
  </si>
  <si>
    <t>f02832</t>
  </si>
  <si>
    <t>f03156</t>
  </si>
  <si>
    <t>Marimex  ma 10/04/18</t>
  </si>
  <si>
    <t>fact PUI 3966</t>
  </si>
  <si>
    <t>tilapia</t>
  </si>
  <si>
    <t>Tilapia 3/5</t>
  </si>
  <si>
    <t>3 mares</t>
  </si>
  <si>
    <t>sobrante , pago por error de $599,597.94,  se aplican a siguientes facturas el sobrante de $5798.3</t>
  </si>
  <si>
    <t>aplicación de sobrante</t>
  </si>
  <si>
    <t>fact B7918</t>
  </si>
  <si>
    <t>fact B7919</t>
  </si>
  <si>
    <t>intercam $25,420.25</t>
  </si>
  <si>
    <t>f03036</t>
  </si>
  <si>
    <t>20 reses</t>
  </si>
  <si>
    <t>fact 7918, 7919</t>
  </si>
  <si>
    <t>fact 2966, 2967</t>
  </si>
  <si>
    <t>fact 2974, 2975,2976</t>
  </si>
  <si>
    <t>P 37.90 F03293</t>
  </si>
  <si>
    <t>P 37.80  F03408</t>
  </si>
  <si>
    <t>nl18-30</t>
  </si>
  <si>
    <t>nlp015</t>
  </si>
  <si>
    <t>hoja + 9.5  ju 12 abr</t>
  </si>
  <si>
    <t>hoja + 10.5 mi 11 abr</t>
  </si>
  <si>
    <t>hoja + 9.5 ju 12 abr</t>
  </si>
  <si>
    <t>nlse18-35</t>
  </si>
  <si>
    <t>hoja + 10.5 vi 13 abr</t>
  </si>
  <si>
    <t>nl18-31</t>
  </si>
  <si>
    <t>nlse18-36</t>
  </si>
  <si>
    <t>hoja + 9.5 vi 13 abr</t>
  </si>
  <si>
    <t>hoja + 10.5 ma 17 abr</t>
  </si>
  <si>
    <t>088F04824A</t>
  </si>
  <si>
    <t>088F06822A</t>
  </si>
  <si>
    <t>fact 088F06822A</t>
  </si>
  <si>
    <t>fact 088F04824A</t>
  </si>
  <si>
    <t>fact 1471409</t>
  </si>
  <si>
    <t>fact 1472031</t>
  </si>
  <si>
    <t>fact 6087, 6088</t>
  </si>
  <si>
    <t>fact 1588, 1589</t>
  </si>
  <si>
    <t>P 37.75 F03552</t>
  </si>
  <si>
    <t>fact 6614, 6615</t>
  </si>
  <si>
    <t>fact 2987, 2988</t>
  </si>
  <si>
    <t>f03408</t>
  </si>
  <si>
    <t>f03293</t>
  </si>
  <si>
    <t>f03261</t>
  </si>
  <si>
    <t>f03561</t>
  </si>
  <si>
    <t>P 37.70  F03693</t>
  </si>
  <si>
    <t>f03552</t>
  </si>
  <si>
    <t>f03566</t>
  </si>
  <si>
    <t>j</t>
  </si>
  <si>
    <t>Tyson  ma 24/04/18  43794</t>
  </si>
  <si>
    <t>Tyson  mi  25/04/18  43795</t>
  </si>
  <si>
    <t>Seaboard  ju 26/04/18  nlse18-37</t>
  </si>
  <si>
    <t>Seaboard  sa 28/04/18  nlse18-38</t>
  </si>
  <si>
    <t>Tyson  ma 01/05/18  43796</t>
  </si>
  <si>
    <t>Tyson  ju  03/05/18  43797</t>
  </si>
  <si>
    <t>Seaboard  ju 03/05/18  nlse18-39</t>
  </si>
  <si>
    <t>Seaboard  vi  04/05/18  nlse18-40</t>
  </si>
  <si>
    <t>nl18-32</t>
  </si>
  <si>
    <t>hoja + 9.5 ju 19 abr</t>
  </si>
  <si>
    <t>hoja + 9.5 mi 18 abr</t>
  </si>
  <si>
    <t>hoja + 10.5 vi 20 abr</t>
  </si>
  <si>
    <t>hoja + 9.5 vi 20 abr</t>
  </si>
  <si>
    <t>hoja + 10.5 ma 24 abr</t>
  </si>
  <si>
    <t>nl18-33</t>
  </si>
  <si>
    <t>nlse18-38</t>
  </si>
  <si>
    <t>mayo 2018</t>
  </si>
  <si>
    <t>nl18-34</t>
  </si>
  <si>
    <t>nlp016</t>
  </si>
  <si>
    <t>hoja + 9.5  mi 25 abr</t>
  </si>
  <si>
    <t>hoja + 9.5 vi 27 abr</t>
  </si>
  <si>
    <t>hoja + 10.5 vi 27 abr</t>
  </si>
  <si>
    <t>nl18-35</t>
  </si>
  <si>
    <t>hoja + 9.5  lu 30 abr</t>
  </si>
  <si>
    <t>hoja + 10.5 lu 30 abr</t>
  </si>
  <si>
    <t>Smith Farm  ma 10/04/18  nl18-28</t>
  </si>
  <si>
    <t>intercam $26,582.88</t>
  </si>
  <si>
    <t>Smith Farm  sa 14/04/18  nl18-29</t>
  </si>
  <si>
    <t>intercam $26,783.42</t>
  </si>
  <si>
    <t>fact 96189971</t>
  </si>
  <si>
    <t>intercam $29,000.00</t>
  </si>
  <si>
    <t>fact 96186968</t>
  </si>
  <si>
    <t>Agrop El Topete  do 08/04/18</t>
  </si>
  <si>
    <t>fact 68</t>
  </si>
  <si>
    <t>Juan Pablo Torres lu 09/04/18</t>
  </si>
  <si>
    <t>Porc Paso Blanco  ma 10/4/18</t>
  </si>
  <si>
    <t>Porc Paso Blanco  mi 11/04/18</t>
  </si>
  <si>
    <t>fact 2974, 2975, 2976</t>
  </si>
  <si>
    <t>Agrop El Topete  ju 12/04/18</t>
  </si>
  <si>
    <t>Agrop El Dorado  ju 12/04/18</t>
  </si>
  <si>
    <t>Agrop Las Reses  vi 13/04/18</t>
  </si>
  <si>
    <t>Porc Paso Blanco  vi 13/04/18</t>
  </si>
  <si>
    <t>fact 202070</t>
  </si>
  <si>
    <t>intercam $27,025.66</t>
  </si>
  <si>
    <t>La Gaby y Paso Blanco</t>
  </si>
  <si>
    <t>fact 5902, 5903,2994,2995</t>
  </si>
  <si>
    <t>P 37.20  F03890</t>
  </si>
  <si>
    <t>P 37.30 F04018</t>
  </si>
  <si>
    <t>fact 088F13827A</t>
  </si>
  <si>
    <t>fact 088F13824A</t>
  </si>
  <si>
    <t>fact 1600, 1601</t>
  </si>
  <si>
    <t>088F13827A</t>
  </si>
  <si>
    <t>f03693</t>
  </si>
  <si>
    <t>P 37.20  F04131</t>
  </si>
  <si>
    <t>f03890</t>
  </si>
  <si>
    <t>f04131</t>
  </si>
  <si>
    <t>fact 1473841</t>
  </si>
  <si>
    <t>fact 3000, 3001</t>
  </si>
  <si>
    <t>P 37.20  F04257</t>
  </si>
  <si>
    <t>686 cajas</t>
  </si>
  <si>
    <t xml:space="preserve">Roel  lu 09/04/18 </t>
  </si>
  <si>
    <t>fact H5159</t>
  </si>
  <si>
    <t>fact 5916, 5917</t>
  </si>
  <si>
    <t>fact 6112, 6113</t>
  </si>
  <si>
    <t>P  37.10 F04388</t>
  </si>
  <si>
    <t>fact 5920, 5921</t>
  </si>
  <si>
    <t>fact 3013, 3014</t>
  </si>
  <si>
    <t>f04018</t>
  </si>
  <si>
    <t>f04257</t>
  </si>
  <si>
    <t>P 37.20  F04512</t>
  </si>
  <si>
    <t>Premium</t>
  </si>
  <si>
    <t>17 combos</t>
  </si>
  <si>
    <t>f04388</t>
  </si>
  <si>
    <t>nlp017</t>
  </si>
  <si>
    <t>mayo 18</t>
  </si>
  <si>
    <t>Smith Farm  sa 21/04/18  nl18-31</t>
  </si>
  <si>
    <t>fact 96198140</t>
  </si>
  <si>
    <t>intercam $28,061.86</t>
  </si>
  <si>
    <t>Smith Farm  ma 17/04/18  nl18-30</t>
  </si>
  <si>
    <t>fact 96196068</t>
  </si>
  <si>
    <t>intercam $26,780.33</t>
  </si>
  <si>
    <t>nlse18-39</t>
  </si>
  <si>
    <t>nlse18-40</t>
  </si>
  <si>
    <t>hoja + 10 ju 19 abr</t>
  </si>
  <si>
    <t>Ideal Trading  ma 24/04/18 nlp017</t>
  </si>
  <si>
    <t>fact 202076</t>
  </si>
  <si>
    <t>intercam $24,994.44</t>
  </si>
  <si>
    <t>fact 5926,5927,3023,3024</t>
  </si>
  <si>
    <t>088F19824A</t>
  </si>
  <si>
    <t>fact 088F19824A</t>
  </si>
  <si>
    <t>fact 1475578</t>
  </si>
  <si>
    <t>P 36.80 F04719</t>
  </si>
  <si>
    <t>420 cajas</t>
  </si>
  <si>
    <t>fact FPL1030560</t>
  </si>
  <si>
    <t>Ryc Alimentos  lu 09/04/18</t>
  </si>
  <si>
    <t>Comerc Mirasol  vi 20/04/18</t>
  </si>
  <si>
    <t>fact 3436</t>
  </si>
  <si>
    <t>636 cajas</t>
  </si>
  <si>
    <t>fact 1030792</t>
  </si>
  <si>
    <t>Ryc Alimentos  Mi 11/04/18</t>
  </si>
  <si>
    <t>fact FPL1030792</t>
  </si>
  <si>
    <t>fact PUI3166</t>
  </si>
  <si>
    <t>fact FPL1029964</t>
  </si>
  <si>
    <t>pernil seaboard</t>
  </si>
  <si>
    <t>fact 59823, 59923</t>
  </si>
  <si>
    <t>Adams International  ju 12/4/18</t>
  </si>
  <si>
    <t>fact 59823, 29923</t>
  </si>
  <si>
    <t>fact 59901</t>
  </si>
  <si>
    <t>Adams International vi 13/04/18</t>
  </si>
  <si>
    <t>fact 088F19830A</t>
  </si>
  <si>
    <t>088F19830A</t>
  </si>
  <si>
    <t>Ecopfrost</t>
  </si>
  <si>
    <t>Papa ondulada</t>
  </si>
  <si>
    <t>4 cajas</t>
  </si>
  <si>
    <t>fact 60034</t>
  </si>
  <si>
    <t>Adams International  ju 19/04/18</t>
  </si>
  <si>
    <t>papa y cuero belly</t>
  </si>
  <si>
    <t>26 /  18.30</t>
  </si>
  <si>
    <t>fact 60116</t>
  </si>
  <si>
    <t>Adams International  sa 21/04/18</t>
  </si>
  <si>
    <t>fact 30116</t>
  </si>
  <si>
    <t>20 cajas</t>
  </si>
  <si>
    <t>fact 60168</t>
  </si>
  <si>
    <t>Adams International  lu 23/04/18</t>
  </si>
  <si>
    <t>Agrop La Gaby  do 15/04/18</t>
  </si>
  <si>
    <t>fact 5902, 5903</t>
  </si>
  <si>
    <t>fact 2994, 2995</t>
  </si>
  <si>
    <t>Porc Paso Blanco  do 15/04/18</t>
  </si>
  <si>
    <t>fact 75</t>
  </si>
  <si>
    <t>Juan Pablo Torres  lu 16/04/18</t>
  </si>
  <si>
    <t>Agrop El Dorado  ma 17/04/18</t>
  </si>
  <si>
    <t>fact 1600,1601</t>
  </si>
  <si>
    <t>Porc Paso Blanco  mi 18/04/18</t>
  </si>
  <si>
    <t>fact 3000,3001</t>
  </si>
  <si>
    <t>Agrop La Gaby  ju 19/04/18</t>
  </si>
  <si>
    <t>Agrop El Topete  ju 19/04/18</t>
  </si>
  <si>
    <t>Agrop La Gaby  vi 20/04/18</t>
  </si>
  <si>
    <t>fact 5920,5921</t>
  </si>
  <si>
    <t>fact 3013,3014</t>
  </si>
  <si>
    <t>Porc Paso Blanco  vi 20/04/18</t>
  </si>
  <si>
    <t>fact 6628, 6629</t>
  </si>
  <si>
    <t>P  36.90  F04925</t>
  </si>
  <si>
    <t>P 36.80 F04940</t>
  </si>
  <si>
    <t>fact 1476253</t>
  </si>
  <si>
    <t>Smith Farm  vi 27/04/18  nl18-33</t>
  </si>
  <si>
    <t>fact 96205699</t>
  </si>
  <si>
    <t>intercam $28,850.34</t>
  </si>
  <si>
    <t>Smith Farm  ma 24/04/18  nl18-32</t>
  </si>
  <si>
    <t>fact 96200692</t>
  </si>
  <si>
    <t>intercam $27,666.11</t>
  </si>
  <si>
    <t>f04566</t>
  </si>
  <si>
    <t>f04381</t>
  </si>
  <si>
    <t>f04512</t>
  </si>
  <si>
    <t>f04925</t>
  </si>
  <si>
    <t>f04940</t>
  </si>
  <si>
    <t>P 36.75  F05064</t>
  </si>
  <si>
    <t>f05064</t>
  </si>
  <si>
    <t xml:space="preserve">Agrop La Gaby </t>
  </si>
  <si>
    <t>fact 5935, 5936</t>
  </si>
  <si>
    <t>fact 6636, 6637</t>
  </si>
  <si>
    <t>P 36.70 F05209</t>
  </si>
  <si>
    <t>fact 1476899</t>
  </si>
  <si>
    <t>f05209</t>
  </si>
  <si>
    <t>fact 6643,6644</t>
  </si>
  <si>
    <t>fact 5940,5941</t>
  </si>
  <si>
    <t>NLSE18-42</t>
  </si>
  <si>
    <t>NLSE18-43</t>
  </si>
  <si>
    <t>NLSE18-44</t>
  </si>
  <si>
    <t>NLSE18-45</t>
  </si>
  <si>
    <t>NLSE18-46</t>
  </si>
  <si>
    <t>NLSE18-47</t>
  </si>
  <si>
    <t>NLSE18-48</t>
  </si>
  <si>
    <t>NLSE18-49</t>
  </si>
  <si>
    <t>NLSE18-50</t>
  </si>
  <si>
    <t>NLSE18-51</t>
  </si>
  <si>
    <t>NLSE18-52</t>
  </si>
  <si>
    <t>Seaboard   ju 10/05/18 nlse18-41</t>
  </si>
  <si>
    <t>Seaboard   ju 17/05/18 nlse18-43</t>
  </si>
  <si>
    <t>Seaboard   ju 24/05/18 nlse18-45</t>
  </si>
  <si>
    <t>Seaboard   ju 31/05/18 nlse18-47</t>
  </si>
  <si>
    <t>Seaboard sa 12/05/18  nlse18-42</t>
  </si>
  <si>
    <t>Seaboard sa 19/05/18  nlse18-44</t>
  </si>
  <si>
    <t>Seaboard sa 26/05/18  nlse18-46</t>
  </si>
  <si>
    <t>Seaboard sa 02/06/18  nlse18-48</t>
  </si>
  <si>
    <t>Seaboard  mi 23/05/18  nlse18-51</t>
  </si>
  <si>
    <t>Tyson  ma  08/05/18   43798</t>
  </si>
  <si>
    <t>Tyson  mi  09/05/18   43799</t>
  </si>
  <si>
    <t>Tyson  ma 15/05/18   A7491</t>
  </si>
  <si>
    <t>Tyson  vi 18/05/18   A7498</t>
  </si>
  <si>
    <t>Tyson  mi 23/05/18   A7499</t>
  </si>
  <si>
    <t>Tyson  ma 29/05/18   A7500</t>
  </si>
  <si>
    <t>Tyson  mi 30/05/18   A7501</t>
  </si>
  <si>
    <t>Tyson  mi 06/06/18   A7502</t>
  </si>
  <si>
    <t>Tyson  mi 06/06/18   A7503</t>
  </si>
  <si>
    <t>Ideal Trading  ma 22/05/18  nlp019</t>
  </si>
  <si>
    <t>Ideal Trading  ma 01/05/18  nlp016</t>
  </si>
  <si>
    <t>f04719</t>
  </si>
  <si>
    <t xml:space="preserve">Roel    25/4/18   </t>
  </si>
  <si>
    <t>fact H5242</t>
  </si>
  <si>
    <t>diferencia de kg de contra prestada</t>
  </si>
  <si>
    <t>fact 5945,5944, 5946</t>
  </si>
  <si>
    <t>intercam $23,000.00</t>
  </si>
  <si>
    <t>fact 202081</t>
  </si>
  <si>
    <t>intercam $26,988.74</t>
  </si>
  <si>
    <t>hoja + 10.5  mi 25 abr</t>
  </si>
  <si>
    <t>P 36.75   F05556             .</t>
  </si>
  <si>
    <t>P  36.2  F05557</t>
  </si>
  <si>
    <t>fact 85</t>
  </si>
  <si>
    <t>Juan Pablo  lu 23/04/18</t>
  </si>
  <si>
    <t>fact 6649, 6650</t>
  </si>
  <si>
    <t>P 36  F05794</t>
  </si>
  <si>
    <t>P 36.25  F05795</t>
  </si>
  <si>
    <t>fact 088F26821A</t>
  </si>
  <si>
    <t>fact 1479069</t>
  </si>
  <si>
    <t>088F26821A</t>
  </si>
  <si>
    <t>fact 1479070</t>
  </si>
  <si>
    <t>fact 5953,5954</t>
  </si>
  <si>
    <t>Porc Stoto</t>
  </si>
  <si>
    <t>fact 6163, 6164</t>
  </si>
  <si>
    <t>fact 1387, 1388</t>
  </si>
  <si>
    <t>f05556</t>
  </si>
  <si>
    <t>f05557</t>
  </si>
  <si>
    <t>f05794</t>
  </si>
  <si>
    <t>P 36.20 F06075</t>
  </si>
  <si>
    <t>P 36.20 F06076</t>
  </si>
  <si>
    <t>hoja + 9.5  ju 03 may</t>
  </si>
  <si>
    <t>hoja + 9.5  mi 02may</t>
  </si>
  <si>
    <t>hoja + 10.5  mi 02may</t>
  </si>
  <si>
    <t>hoja + 9.5 ju 03 may</t>
  </si>
  <si>
    <t>hoja + 10.5 vi 04 may</t>
  </si>
  <si>
    <t>hoja + 10.5 ma 08 may</t>
  </si>
  <si>
    <t>hoja + 9.5 vi 04 may</t>
  </si>
  <si>
    <t>nl18-36</t>
  </si>
  <si>
    <t>nlp018</t>
  </si>
  <si>
    <t>nlse18-41</t>
  </si>
  <si>
    <t>nl18-37</t>
  </si>
  <si>
    <t>nlse18-42</t>
  </si>
  <si>
    <t>f05964</t>
  </si>
  <si>
    <t>f05795</t>
  </si>
  <si>
    <t>transfer.</t>
  </si>
  <si>
    <t>fact 6167, 6168</t>
  </si>
  <si>
    <t>fact 5960, 5961</t>
  </si>
  <si>
    <t>p36.10 F06233</t>
  </si>
  <si>
    <t>088G01823A</t>
  </si>
  <si>
    <t>fact 088G01823A</t>
  </si>
  <si>
    <t>A7491</t>
  </si>
  <si>
    <t>A7498</t>
  </si>
  <si>
    <t>A7499</t>
  </si>
  <si>
    <t>A7500</t>
  </si>
  <si>
    <t>A7501</t>
  </si>
  <si>
    <t>A7502</t>
  </si>
  <si>
    <t>A7503</t>
  </si>
  <si>
    <t>Ideal Trading  ma 08/05/18 nlp018</t>
  </si>
  <si>
    <t>hoja + 9.5  ju 10 may</t>
  </si>
  <si>
    <t>hoja + 9.5  mi 09 may</t>
  </si>
  <si>
    <t>hoja + 10.5 vi 11 may</t>
  </si>
  <si>
    <t>hoja + 9.5 vi 11 may</t>
  </si>
  <si>
    <t>hoja + 10.5 ma 15 may</t>
  </si>
  <si>
    <t>nl18-38</t>
  </si>
  <si>
    <t>nlse18-43</t>
  </si>
  <si>
    <t>nlse18-44</t>
  </si>
  <si>
    <t>nl18-39</t>
  </si>
  <si>
    <t>intercam $27,318.65</t>
  </si>
  <si>
    <t>fact 96211012</t>
  </si>
  <si>
    <t>Smith Farm  ma 01/05/18  nl18-34</t>
  </si>
  <si>
    <t>Smith Farm  sa 05/05/18  nl18-35</t>
  </si>
  <si>
    <t>fact 96215555</t>
  </si>
  <si>
    <t>intercam $26,622.64</t>
  </si>
  <si>
    <t>Agrop La Gaby  do 22/04/18</t>
  </si>
  <si>
    <t>fact 5926, 5927</t>
  </si>
  <si>
    <t>fact 3023, 3024</t>
  </si>
  <si>
    <t>Porc Paso Blanco  do 22/04/18</t>
  </si>
  <si>
    <t>Agrop Las Reses  ma 24/04/18</t>
  </si>
  <si>
    <t>fact 6645, 6646</t>
  </si>
  <si>
    <t>Agrop Las Reses  mi 25/04/18</t>
  </si>
  <si>
    <t>Agrop La Gaby  ju 26/04/18</t>
  </si>
  <si>
    <t>Agrop Las Reses  ju 26/04/18</t>
  </si>
  <si>
    <t>Agrop La Gaby  vi 27/04/18</t>
  </si>
  <si>
    <t>fact 5940, 5941</t>
  </si>
  <si>
    <t>fact 6643, 6644</t>
  </si>
  <si>
    <t>Agrop Las Reses  vi 28/04/18</t>
  </si>
  <si>
    <t>Juan Pablo Torres  lu 30/04/18</t>
  </si>
  <si>
    <t>Agrop La Gaby  do 29/04/18</t>
  </si>
  <si>
    <t>fact 59444,5945,5946</t>
  </si>
  <si>
    <t>fact 60264</t>
  </si>
  <si>
    <t>Adams International  ju 26/04/18</t>
  </si>
  <si>
    <t>fact 60347</t>
  </si>
  <si>
    <t>Adams International  lu 30/04/18</t>
  </si>
  <si>
    <t>CIERRE AL 30 DE ABRIL DE 2018</t>
  </si>
  <si>
    <t>fact 1394, 1395</t>
  </si>
  <si>
    <t>fact 6184, 6185</t>
  </si>
  <si>
    <t>P 35.60 F06435</t>
  </si>
  <si>
    <t>fact 6189, 6190</t>
  </si>
  <si>
    <t>fact 202083</t>
  </si>
  <si>
    <t>intercam $25,120.74</t>
  </si>
  <si>
    <t>fact 86</t>
  </si>
  <si>
    <t>fact 6192, 9193</t>
  </si>
  <si>
    <t>P 35.60 F6687</t>
  </si>
  <si>
    <t>P 35.50  F06688</t>
  </si>
  <si>
    <t>f06076</t>
  </si>
  <si>
    <t>f062233</t>
  </si>
  <si>
    <t>f06075</t>
  </si>
  <si>
    <t>trensfer</t>
  </si>
  <si>
    <t>f06687</t>
  </si>
  <si>
    <t>f06688</t>
  </si>
  <si>
    <t>rem 190</t>
  </si>
  <si>
    <t>rem 162</t>
  </si>
  <si>
    <t>rem 163</t>
  </si>
  <si>
    <t>fact 5972, 5973</t>
  </si>
  <si>
    <t>nlse18-37</t>
  </si>
  <si>
    <t>088G03820A</t>
  </si>
  <si>
    <t>fact 088G03820A</t>
  </si>
  <si>
    <t>fact 6198, 6199</t>
  </si>
  <si>
    <t>fact 6200, 6201</t>
  </si>
  <si>
    <t>P 35.50 F06842</t>
  </si>
  <si>
    <t>hoja + 10.5  mi 16 may</t>
  </si>
  <si>
    <t>hoja + 10.5 ju 17 may</t>
  </si>
  <si>
    <t>hoja + 10.5 vi 18 may</t>
  </si>
  <si>
    <t>hoja + 9.5 vi 18 may</t>
  </si>
  <si>
    <t>hoja + 10.5 ma 22 may</t>
  </si>
  <si>
    <t>nl18-40</t>
  </si>
  <si>
    <t>nlp019</t>
  </si>
  <si>
    <t>nlse18-51</t>
  </si>
  <si>
    <t>nlse18-45</t>
  </si>
  <si>
    <t>nl18-41</t>
  </si>
  <si>
    <t>nlse18-46</t>
  </si>
  <si>
    <t>nl18-42</t>
  </si>
  <si>
    <t>hoja + 9.5  ju 24 may</t>
  </si>
  <si>
    <t>hoja + 9.5  mi 23 may</t>
  </si>
  <si>
    <t>nl18-43</t>
  </si>
  <si>
    <t>hoja + 9.5 ju 24 may</t>
  </si>
  <si>
    <t>hoja + 10.5 vi 25 may</t>
  </si>
  <si>
    <t>nlse18-47</t>
  </si>
  <si>
    <t>hoja + 10.5 ma 29 may</t>
  </si>
  <si>
    <t>nlse18-48</t>
  </si>
  <si>
    <t>fact 1482235</t>
  </si>
  <si>
    <t>fact 1481491</t>
  </si>
  <si>
    <t>fact 088G04823A</t>
  </si>
  <si>
    <t>088G04823A</t>
  </si>
  <si>
    <t>fact 6210</t>
  </si>
  <si>
    <t>fact 6211, 6212</t>
  </si>
  <si>
    <t>hoja + 10 vi 11 may</t>
  </si>
  <si>
    <t>P 35.50 F06993</t>
  </si>
  <si>
    <t>nlp020</t>
  </si>
  <si>
    <t>f06435</t>
  </si>
  <si>
    <t>f06842</t>
  </si>
  <si>
    <t>f06986</t>
  </si>
  <si>
    <t>rem 194</t>
  </si>
  <si>
    <t>rem 103</t>
  </si>
  <si>
    <t>P 35.50 F07142</t>
  </si>
  <si>
    <t>hoja + 9.5  mi 16 may</t>
  </si>
  <si>
    <t>fact 6222, 6223</t>
  </si>
  <si>
    <t>fact 1650, 1651</t>
  </si>
  <si>
    <t>1,000,000 11/05 resto 510,338.65 14/05</t>
  </si>
  <si>
    <t>Marimex  sa 12/05/18</t>
  </si>
  <si>
    <t>fact PUI 4421</t>
  </si>
  <si>
    <t>filte basa, atun y salmon</t>
  </si>
  <si>
    <t>45/175/170</t>
  </si>
  <si>
    <t>fact 088G09824A</t>
  </si>
  <si>
    <t>088G09824A</t>
  </si>
  <si>
    <t>Smith Farm  ma 08/05/18 nl18-36</t>
  </si>
  <si>
    <t>fact 96218755</t>
  </si>
  <si>
    <t>intercam $24,936.93</t>
  </si>
  <si>
    <t>Smith Farm vi 11/05/18  nl18-37</t>
  </si>
  <si>
    <t>fact 96222843</t>
  </si>
  <si>
    <t>intercam $24,626.07</t>
  </si>
  <si>
    <t>Ideal Trading  ju 17/05/18  nlp020</t>
  </si>
  <si>
    <t>Agrop Las Reses  ma 01/05/18</t>
  </si>
  <si>
    <t>fact 6227, 6228</t>
  </si>
  <si>
    <t>f07142</t>
  </si>
  <si>
    <t>P 35.50 F07465</t>
  </si>
  <si>
    <t>P 35.50  F07467</t>
  </si>
  <si>
    <t>Agrop La Gaby  mi 02/05/18</t>
  </si>
  <si>
    <t>fact 5953, 5954</t>
  </si>
  <si>
    <t>Porc Soto  ju 03/05/18</t>
  </si>
  <si>
    <t>Agrop El Topete  ju 03/05/18</t>
  </si>
  <si>
    <t>fact 5944,5945,5946</t>
  </si>
  <si>
    <t>Agrop El Topete  vi  04/05/18</t>
  </si>
  <si>
    <t>Agrop La Gaby  vi 04/05/18</t>
  </si>
  <si>
    <t>Porc Soto  do 06/05/18</t>
  </si>
  <si>
    <t>Agrop El Topete  do 06/05/18</t>
  </si>
  <si>
    <t>Agrop El Topete  lu 07/05/18</t>
  </si>
  <si>
    <t>fact 6192, 6193</t>
  </si>
  <si>
    <t>Agrop El Topete  ma 08/05/18</t>
  </si>
  <si>
    <t>Agrop La Gaby  mi 09/05/18</t>
  </si>
  <si>
    <t>fact 5977, 5978</t>
  </si>
  <si>
    <t>Agrop El Topete  ju  10/05/18</t>
  </si>
  <si>
    <t>Agrop El Topete  ju 10/05/18</t>
  </si>
  <si>
    <t>Agrop El Topete  vi 11/05/18</t>
  </si>
  <si>
    <t>fact 6232, 6233</t>
  </si>
  <si>
    <t>f07127</t>
  </si>
  <si>
    <t>f06993</t>
  </si>
  <si>
    <t>transfer caja</t>
  </si>
  <si>
    <t>rem 115</t>
  </si>
  <si>
    <t>f07467</t>
  </si>
  <si>
    <t>f07465</t>
  </si>
  <si>
    <t>P 35.60  F07610</t>
  </si>
  <si>
    <t>fact 202091</t>
  </si>
  <si>
    <t>intercam $24,618.13</t>
  </si>
  <si>
    <t>junio 2018</t>
  </si>
  <si>
    <t>fact 1483955</t>
  </si>
  <si>
    <t>fact 6237, 6238</t>
  </si>
  <si>
    <t>fact 5997, 5998</t>
  </si>
  <si>
    <t>P 35.60 F07754</t>
  </si>
  <si>
    <t>hoja + 9.5lu 14 may</t>
  </si>
  <si>
    <t>** correccion</t>
  </si>
  <si>
    <t>fact 088G15821A</t>
  </si>
  <si>
    <t>088G15821A</t>
  </si>
  <si>
    <t>fact 3100, 3101</t>
  </si>
  <si>
    <t>fact 5999, 6000</t>
  </si>
  <si>
    <t>P 35.50 F07918</t>
  </si>
  <si>
    <t>pago por error de $473,801.67  diferencia a favor de $33,132.37, se aplica a fact 5977</t>
  </si>
  <si>
    <t>fact 6244, 6245</t>
  </si>
  <si>
    <t>fact 1405, 1406</t>
  </si>
  <si>
    <t>intercam $25,500.00</t>
  </si>
  <si>
    <t>junio 18</t>
  </si>
  <si>
    <t>fact 96227568</t>
  </si>
  <si>
    <t>intercam $25,731.07</t>
  </si>
  <si>
    <t>Smith Farm Vi 18/05/18 NL18-39</t>
  </si>
  <si>
    <t>Smith Farm ma 15/05/18  NL18-38</t>
  </si>
  <si>
    <t>fact 95230487</t>
  </si>
  <si>
    <t>intercam $24,320.90</t>
  </si>
  <si>
    <t>fact PUI4421</t>
  </si>
  <si>
    <t xml:space="preserve">  ""    ""</t>
  </si>
  <si>
    <t>6/8</t>
  </si>
  <si>
    <t>5/7 baja bay</t>
  </si>
  <si>
    <t>200 cajas</t>
  </si>
  <si>
    <t>80 cajas</t>
  </si>
  <si>
    <t>Roel   ma 08/05/18</t>
  </si>
  <si>
    <t>fact H5437</t>
  </si>
  <si>
    <t>Roel  vi 11/05/18</t>
  </si>
  <si>
    <t>fact 60413</t>
  </si>
  <si>
    <t>fact 60566</t>
  </si>
  <si>
    <t>1/2 ecofrost</t>
  </si>
  <si>
    <t>fact 60714</t>
  </si>
  <si>
    <t>Adams  ju 03/05/18</t>
  </si>
  <si>
    <t>Adams  sa 05/05/18</t>
  </si>
  <si>
    <t>Adams  lu   07/05/18</t>
  </si>
  <si>
    <t>cu 19 / papa 26</t>
  </si>
  <si>
    <t>Adams  sa 12/05/18</t>
  </si>
  <si>
    <t>fact 60834</t>
  </si>
  <si>
    <t>fact 60931</t>
  </si>
  <si>
    <t>Adams  mi 16/05/18</t>
  </si>
  <si>
    <t>Adams  sa 19/05/18</t>
  </si>
  <si>
    <t>fact H5485</t>
  </si>
  <si>
    <t>A7499(B0542)</t>
  </si>
  <si>
    <t>fact 202095</t>
  </si>
  <si>
    <t>intercam $25,285.77</t>
  </si>
  <si>
    <t>fact 1414, 1415</t>
  </si>
  <si>
    <t>fact 6007, 6008</t>
  </si>
  <si>
    <t>fact 1676, 1677</t>
  </si>
  <si>
    <t>P 35.65  F08064</t>
  </si>
  <si>
    <t>P 34.90  F08366</t>
  </si>
  <si>
    <t>P 34.90  F08367</t>
  </si>
  <si>
    <t>f07918</t>
  </si>
  <si>
    <t>f07783</t>
  </si>
  <si>
    <t>f07610</t>
  </si>
  <si>
    <t>f07754</t>
  </si>
  <si>
    <t>f08211</t>
  </si>
  <si>
    <t>f08064</t>
  </si>
  <si>
    <t>f08367</t>
  </si>
  <si>
    <t>Soto y El Dorado</t>
  </si>
  <si>
    <t>fact 1417,1418,1679,1689</t>
  </si>
  <si>
    <t>P 35  F08509</t>
  </si>
  <si>
    <t>ajuste realizado.</t>
  </si>
  <si>
    <t>088G18823A</t>
  </si>
  <si>
    <t>fact 088G18823A</t>
  </si>
  <si>
    <t>fact 1484904</t>
  </si>
  <si>
    <t>fact 1485225</t>
  </si>
  <si>
    <t>fact 1486410</t>
  </si>
  <si>
    <t>358 cajas</t>
  </si>
  <si>
    <t>fact 1683, 1684</t>
  </si>
  <si>
    <t>P 34.90  F08624</t>
  </si>
  <si>
    <t>fact 60500</t>
  </si>
  <si>
    <t>fact 1689, 1690</t>
  </si>
  <si>
    <t>fact 1424, 1425</t>
  </si>
  <si>
    <t>f08366</t>
  </si>
  <si>
    <t>P 34.80 F08793</t>
  </si>
  <si>
    <t>carga Cancelada trasfiero pago a la A7502</t>
  </si>
  <si>
    <t>carga cancelada</t>
  </si>
  <si>
    <t>fact 1430, 1431</t>
  </si>
  <si>
    <t>fact 6257, 6258</t>
  </si>
  <si>
    <t>fact 6672, 6673</t>
  </si>
  <si>
    <t>fact 3124, 3125</t>
  </si>
  <si>
    <t>P 35  F09150</t>
  </si>
  <si>
    <t>P 35  F09151</t>
  </si>
  <si>
    <t>Agrop El Dorado do 13/05/18</t>
  </si>
  <si>
    <t>Agrop El Topete  do 13/05/18</t>
  </si>
  <si>
    <t>0.6343 real, cotizarn 0.6318</t>
  </si>
  <si>
    <t>Smith Farm  ma 22/05/18  NL18-40</t>
  </si>
  <si>
    <t>fact 96235619</t>
  </si>
  <si>
    <t>intercam $23,485.84</t>
  </si>
  <si>
    <t>Smith Farm  vi 25/05/18  NL18-41</t>
  </si>
  <si>
    <t>fact 96239113</t>
  </si>
  <si>
    <t>intercam $26,528.25</t>
  </si>
  <si>
    <t>Seaboard  ju 07/06/18  nlse18-49</t>
  </si>
  <si>
    <t>Seaboard  sa 09/06/18  nlse18-50</t>
  </si>
  <si>
    <t>fact 1487469</t>
  </si>
  <si>
    <t>fact 6674, 6675</t>
  </si>
  <si>
    <t>P 34.90  F09269</t>
  </si>
  <si>
    <t>Agrop El Topete  lu 14/05/18</t>
  </si>
  <si>
    <t>Agrop El Topete  ma 15/05/18</t>
  </si>
  <si>
    <t>fact 6024, 6025</t>
  </si>
  <si>
    <t>ALB&amp;CIA</t>
  </si>
  <si>
    <t>P 34.90  F09393</t>
  </si>
  <si>
    <t>Agrop El Topete  mi 16/05/18</t>
  </si>
  <si>
    <t>Agrop La Gaby mi 16/05/18</t>
  </si>
  <si>
    <t>gastos extras por carga tirada, 5 combos q se cobran a Farmland</t>
  </si>
  <si>
    <t>fact 069G24821A</t>
  </si>
  <si>
    <t>069G24821A</t>
  </si>
  <si>
    <t>Smith Farm ma 29/05/18  nl18-42</t>
  </si>
  <si>
    <t>fact 96242243</t>
  </si>
  <si>
    <t>se descuentan 13 NC de $150, total $1,950 por etiquetado</t>
  </si>
  <si>
    <t>intercam $26,457.62 - $1,950</t>
  </si>
  <si>
    <t>Smith Farm ju 31/05/18  nl18-43</t>
  </si>
  <si>
    <t>fact 96242242</t>
  </si>
  <si>
    <t>intercam $27,943.56</t>
  </si>
  <si>
    <t>Porc Paso Blanco  ju 17/05/18</t>
  </si>
  <si>
    <t>Agrop La Gaby  ju 17/05/18</t>
  </si>
  <si>
    <t>Agrop El Topete  vi 18/05/18</t>
  </si>
  <si>
    <t>Porc Soto  vi 18/05/18</t>
  </si>
  <si>
    <t>Porc Soto  do 20/05/18</t>
  </si>
  <si>
    <t>Agrop La Gaby  do 20/05/18</t>
  </si>
  <si>
    <t>Agrop El Dorado  lu 21/5/18</t>
  </si>
  <si>
    <t>Porc Soto  ma 22/05/18</t>
  </si>
  <si>
    <t>fact 1417, 1418</t>
  </si>
  <si>
    <t>fact 1679, 1680</t>
  </si>
  <si>
    <t>Agrop El Dorado  ma 22/05/18</t>
  </si>
  <si>
    <t>Agrop El Dorado  mi 23/05/18</t>
  </si>
  <si>
    <t>Agrop El Dorado  ju 24/05/18</t>
  </si>
  <si>
    <t>fact 1688, 1689</t>
  </si>
  <si>
    <t>Porc Soto  ju 24/05/18</t>
  </si>
  <si>
    <t>Agrop El Topete  vi 25/05/18</t>
  </si>
  <si>
    <t>Porc Soto  vi 25/05/18</t>
  </si>
  <si>
    <t>Agrop Las Reses  do 27/05/18</t>
  </si>
  <si>
    <t>Porc Paso Blanco  do 27/05/18</t>
  </si>
  <si>
    <t>Agrop Las Reses  lu 28/05/18</t>
  </si>
  <si>
    <t>Agrop La Gaby  ma 29/05/18</t>
  </si>
  <si>
    <t>fact 6027, 6028</t>
  </si>
  <si>
    <t>Agrop La Gaby  mi 30/05/18</t>
  </si>
  <si>
    <t>Roel  lu 21/05/18</t>
  </si>
  <si>
    <t>fact H5584</t>
  </si>
  <si>
    <t>Adams International  mi 23/05/18</t>
  </si>
  <si>
    <t>fact 61028</t>
  </si>
  <si>
    <t>23.5 / 19</t>
  </si>
  <si>
    <t>P 34.85  F09533</t>
  </si>
  <si>
    <t>Ecofrost</t>
  </si>
  <si>
    <t>Papa ondulada 1/2</t>
  </si>
  <si>
    <t>100 cajas</t>
  </si>
  <si>
    <t>fact 1489056</t>
  </si>
  <si>
    <t>fact 1489294</t>
  </si>
  <si>
    <t>fact 1441, 1442</t>
  </si>
  <si>
    <t>fact 6272, 6273</t>
  </si>
  <si>
    <t>344 cajas</t>
  </si>
  <si>
    <t>Porc Soto  ju 31/05/18</t>
  </si>
  <si>
    <t>Agrop EL Topete  ju 31/05/18</t>
  </si>
  <si>
    <t>Hylife</t>
  </si>
  <si>
    <t>10 combos</t>
  </si>
  <si>
    <t>hoja + 9.5  ju 31 may</t>
  </si>
  <si>
    <t>hoja + 10.5  mi 30 may</t>
  </si>
  <si>
    <t>nl18-44</t>
  </si>
  <si>
    <t>nlp021</t>
  </si>
  <si>
    <t>nlse18-49</t>
  </si>
  <si>
    <t>hoja + 10.5 vi 01 jun</t>
  </si>
  <si>
    <t>hoja + 9.5 vi 01 jun</t>
  </si>
  <si>
    <t>CIERRE AL 31 DE MAYO DE 2018</t>
  </si>
  <si>
    <t>ALB&amp;CIA  lu  28/05/18</t>
  </si>
  <si>
    <t>340 cajas</t>
  </si>
  <si>
    <t>fact H5582</t>
  </si>
  <si>
    <t>Roel  ju 31/05/18</t>
  </si>
  <si>
    <t>combos Hylife</t>
  </si>
  <si>
    <t>fact H5611</t>
  </si>
  <si>
    <t xml:space="preserve">Agrop El Topete </t>
  </si>
  <si>
    <t>fact 6285, 6286</t>
  </si>
  <si>
    <t>fact 3144, 3145</t>
  </si>
  <si>
    <t>P 34.95 F09696</t>
  </si>
  <si>
    <t>P 34.80</t>
  </si>
  <si>
    <t>Agrop El Topete  vi 01/06/18</t>
  </si>
  <si>
    <t>Porc Paso Blanco  vi 01/06/18</t>
  </si>
  <si>
    <t>nl18-45</t>
  </si>
  <si>
    <t>nlse18-50</t>
  </si>
  <si>
    <t>H0028</t>
  </si>
  <si>
    <t>H0098</t>
  </si>
  <si>
    <t>hoja + 9.5 ma 05 jun</t>
  </si>
  <si>
    <t>hoja + 10.5 ma 05 jun</t>
  </si>
  <si>
    <t>f08624</t>
  </si>
  <si>
    <t>f08509</t>
  </si>
  <si>
    <t>f09533</t>
  </si>
  <si>
    <t>f09393</t>
  </si>
  <si>
    <t>f09269</t>
  </si>
  <si>
    <t>f09151</t>
  </si>
  <si>
    <t>f09150</t>
  </si>
  <si>
    <t>f09696</t>
  </si>
  <si>
    <t>rem 149</t>
  </si>
  <si>
    <t>rem 148</t>
  </si>
  <si>
    <t>real 7978</t>
  </si>
  <si>
    <t>f09860</t>
  </si>
  <si>
    <t>Ideal Trading  ma 05/06/18 nlp021</t>
  </si>
  <si>
    <t>Tyson  sa 09/06/18  H0028</t>
  </si>
  <si>
    <t>Tyson  sa 09/06/18  H0098</t>
  </si>
  <si>
    <t>H0099</t>
  </si>
  <si>
    <t>H0100</t>
  </si>
  <si>
    <t>H0102</t>
  </si>
  <si>
    <t>H0103</t>
  </si>
  <si>
    <t>H0104</t>
  </si>
  <si>
    <t>H0106</t>
  </si>
  <si>
    <t>H0107</t>
  </si>
  <si>
    <t>H0108</t>
  </si>
  <si>
    <t>NLSE18-53</t>
  </si>
  <si>
    <t>NLSE18-54</t>
  </si>
  <si>
    <t>NLSE18-55</t>
  </si>
  <si>
    <t>NLSE18-56</t>
  </si>
  <si>
    <t>NLSE18-57</t>
  </si>
  <si>
    <t>NLSE18-58</t>
  </si>
  <si>
    <t>NLSE18-59</t>
  </si>
  <si>
    <t>Seaboard  ju 14/06/18  nlse18-52</t>
  </si>
  <si>
    <t>Seaboard  sa 16/06/18  nlse18-53</t>
  </si>
  <si>
    <t>Tyson sa 16/06/18  H0099</t>
  </si>
  <si>
    <t>Tyson sa 16/06/18  H0100</t>
  </si>
  <si>
    <t>fact A22939</t>
  </si>
  <si>
    <t>intercam $29,654.65</t>
  </si>
  <si>
    <t>cambio agente aduanal</t>
  </si>
  <si>
    <t>El Dorado y Gaby</t>
  </si>
  <si>
    <t>fact 1714,1715,6042,6043</t>
  </si>
  <si>
    <t>Gan Rancho San Felipe</t>
  </si>
  <si>
    <t>fact 619, 620</t>
  </si>
  <si>
    <t xml:space="preserve">inicia 10% impouesto </t>
  </si>
  <si>
    <t>P 35.40  F10178</t>
  </si>
  <si>
    <t>P 35.30  F10186</t>
  </si>
  <si>
    <t>f10186</t>
  </si>
  <si>
    <t>f09673</t>
  </si>
  <si>
    <t>f08793</t>
  </si>
  <si>
    <t xml:space="preserve">   </t>
  </si>
  <si>
    <t>fact 1716 y 1717</t>
  </si>
  <si>
    <t>P 36  F10313</t>
  </si>
  <si>
    <t>fact 069G31829A</t>
  </si>
  <si>
    <t>fact 069G31820A</t>
  </si>
  <si>
    <t>fact1491243</t>
  </si>
  <si>
    <t>069G31829A</t>
  </si>
  <si>
    <t>069G31820A</t>
  </si>
  <si>
    <t>fact 6294,9295,1719,1720</t>
  </si>
  <si>
    <t>Topete y Dorado</t>
  </si>
  <si>
    <t>P 35.90  F10429</t>
  </si>
  <si>
    <t>f10313</t>
  </si>
  <si>
    <t>rem 0263</t>
  </si>
  <si>
    <t>rem 252</t>
  </si>
  <si>
    <t>rem 258</t>
  </si>
  <si>
    <t>rem 253</t>
  </si>
  <si>
    <t>diferencia en kg vale</t>
  </si>
  <si>
    <t>f10178</t>
  </si>
  <si>
    <t>hoja + 9.5 ma 12 jun</t>
  </si>
  <si>
    <t>hoja + 10.5 ma 12 jun</t>
  </si>
  <si>
    <t>hoja + 9.5  ju 07 jun</t>
  </si>
  <si>
    <t>hoja + 10.5 vi 08 jun</t>
  </si>
  <si>
    <t>hoja + 9.5 vi 08 jun</t>
  </si>
  <si>
    <t>fact 622, 623</t>
  </si>
  <si>
    <t>fact 6047, 6048</t>
  </si>
  <si>
    <t>P 35.90  F10610</t>
  </si>
  <si>
    <t>efectivo/deposito</t>
  </si>
  <si>
    <t>f10610</t>
  </si>
  <si>
    <t>f10429</t>
  </si>
  <si>
    <t>Yoreme</t>
  </si>
  <si>
    <t>Pernil con piel cong</t>
  </si>
  <si>
    <t>fact 6051, 6052</t>
  </si>
  <si>
    <t>fact 6296, 6297</t>
  </si>
  <si>
    <t>P  35.90 F10761</t>
  </si>
  <si>
    <t>P  35.20  F10762</t>
  </si>
  <si>
    <t>069H05831A</t>
  </si>
  <si>
    <t>fact 069H05831A</t>
  </si>
  <si>
    <t>fact 1492286</t>
  </si>
  <si>
    <t>nlp024</t>
  </si>
  <si>
    <t>nlse18-52</t>
  </si>
  <si>
    <t>nl18-47</t>
  </si>
  <si>
    <t>nl18-46</t>
  </si>
  <si>
    <t>nlse18-53</t>
  </si>
  <si>
    <t>Smith Farm  ma 05/06/18  nl18-44</t>
  </si>
  <si>
    <t>fact 96249512</t>
  </si>
  <si>
    <t>intercam $30,989.24</t>
  </si>
  <si>
    <t>Smith Farm  vi 08/06/18  NL18-45</t>
  </si>
  <si>
    <t>fact 96253956</t>
  </si>
  <si>
    <t>intercam $30,737.67</t>
  </si>
  <si>
    <t>Seaboard  ju 21/06/18  nlse18-54</t>
  </si>
  <si>
    <t>Seaboard  sa 23/06/18  nlse18-55</t>
  </si>
  <si>
    <t>Tyson  vi  22/06/18  H0102</t>
  </si>
  <si>
    <t>Tyson  sa 23/06/18  H0103</t>
  </si>
  <si>
    <t>Ideal Trading  ma 19/06/18  nlp022</t>
  </si>
  <si>
    <t>Ideal Trading  mi 13/06/18  nlp024</t>
  </si>
  <si>
    <t>Ideal Trading  ma 19/06/18  nlp023</t>
  </si>
  <si>
    <t>nlp022</t>
  </si>
  <si>
    <t>nlp023</t>
  </si>
  <si>
    <t>hoja + 9.5  ju 14 jun</t>
  </si>
  <si>
    <t>hoja + 11.5 ju 14 jun</t>
  </si>
  <si>
    <t>fact 6057, 6058</t>
  </si>
  <si>
    <t>fact 627, 628</t>
  </si>
  <si>
    <t>se transfiere el pago a la orden H0099, y despues a la H0100</t>
  </si>
  <si>
    <t>P 36.30  F11073</t>
  </si>
  <si>
    <t>P 36.30  F11076</t>
  </si>
  <si>
    <t>f10761</t>
  </si>
  <si>
    <t>f10929</t>
  </si>
  <si>
    <t>f10779</t>
  </si>
  <si>
    <t>f11073</t>
  </si>
  <si>
    <t>pagado 12/06/18</t>
  </si>
  <si>
    <t>nl18-48</t>
  </si>
  <si>
    <t>nlse18-54</t>
  </si>
  <si>
    <t>hoja + 10.5 vi 15 jun</t>
  </si>
  <si>
    <t>nl18-49</t>
  </si>
  <si>
    <t>hoja + 9.5 vi 15 jun</t>
  </si>
  <si>
    <t>hoja + 9.5 lu 18 jun</t>
  </si>
  <si>
    <t>hoja + 10.5 ma 19 jun</t>
  </si>
  <si>
    <t>hoja + 9.5 ma 19 jun</t>
  </si>
  <si>
    <t>nlse18-55</t>
  </si>
  <si>
    <t>Carnes el cien  mi 12/06/18</t>
  </si>
  <si>
    <t>fact B13142</t>
  </si>
  <si>
    <t>11-12/0618</t>
  </si>
  <si>
    <t>Res en canal</t>
  </si>
  <si>
    <t>el cien</t>
  </si>
  <si>
    <t>Carnes el cien</t>
  </si>
  <si>
    <t>fact 6299, 6300</t>
  </si>
  <si>
    <t>f11092</t>
  </si>
  <si>
    <t>f11076</t>
  </si>
  <si>
    <t>f11121</t>
  </si>
  <si>
    <t>rem 266</t>
  </si>
  <si>
    <t>f11338</t>
  </si>
  <si>
    <t>195 cajas</t>
  </si>
  <si>
    <t>Roel   mi 06/06/18</t>
  </si>
  <si>
    <t>fact H5627</t>
  </si>
  <si>
    <t>esp de carnero</t>
  </si>
  <si>
    <t>8 combos</t>
  </si>
  <si>
    <t>Roel  sa 02/06/18</t>
  </si>
  <si>
    <t>fact  H5615</t>
  </si>
  <si>
    <t>Roel  sa 09/06/18</t>
  </si>
  <si>
    <t>fact H5653</t>
  </si>
  <si>
    <t>Pernil Yoreme congelado</t>
  </si>
  <si>
    <t>fact H5638</t>
  </si>
  <si>
    <t>Roel  ju  07/06/18</t>
  </si>
  <si>
    <t>Seaboard  ju 28/06/18  nlse18-56</t>
  </si>
  <si>
    <t>Seaboard  sa 30/06/18  nlse18-57</t>
  </si>
  <si>
    <t>Tyson  sa 30/06/18  H0104</t>
  </si>
  <si>
    <t>Tyson  sa 30/06/18  H0106</t>
  </si>
  <si>
    <t>088H12822A</t>
  </si>
  <si>
    <t>fact 24</t>
  </si>
  <si>
    <t>pernil smithfield</t>
  </si>
  <si>
    <t>P 36.20  F10762</t>
  </si>
  <si>
    <t>fact 1461, 1462</t>
  </si>
  <si>
    <t>fact 6302, 6303</t>
  </si>
  <si>
    <t>f10762</t>
  </si>
  <si>
    <t>f11399</t>
  </si>
  <si>
    <t>rem 292</t>
  </si>
  <si>
    <t>rem 287</t>
  </si>
  <si>
    <t>14-15/06/2018</t>
  </si>
  <si>
    <t>P 35.9  F11507</t>
  </si>
  <si>
    <t>P 36.30  F11509</t>
  </si>
  <si>
    <t>Agrop El Dorado  do 03/06/18</t>
  </si>
  <si>
    <t>fact 1714, 1715</t>
  </si>
  <si>
    <t>Agrop La Gaby  do 03/06/18</t>
  </si>
  <si>
    <t>fact 6042, 6043</t>
  </si>
  <si>
    <t>Gan Rancho San Felipe  lu 04/06/18</t>
  </si>
  <si>
    <t>fact 619,620</t>
  </si>
  <si>
    <t>Agrop El Dorado  ma  05/06/18</t>
  </si>
  <si>
    <t>fact 1716, 1717</t>
  </si>
  <si>
    <t>Agrop El Topete  mi 06/06/18</t>
  </si>
  <si>
    <t>fact 6294, 6295</t>
  </si>
  <si>
    <t>fact 1719, 1720</t>
  </si>
  <si>
    <t>Agrop EL Dorado  mi 06/06/18</t>
  </si>
  <si>
    <t>Gan Rancho San Felipe ju 07/06/18</t>
  </si>
  <si>
    <t>fact 128</t>
  </si>
  <si>
    <t>Juan Pablo Torres  Vi 08/06/18</t>
  </si>
  <si>
    <t>Agrop La Gaby  vi 08/06/18</t>
  </si>
  <si>
    <t>Agrop El Topete  vi 08/06/18</t>
  </si>
  <si>
    <t>fact 1494729</t>
  </si>
  <si>
    <t>fact 1493868</t>
  </si>
  <si>
    <t>fact 088H12822A</t>
  </si>
  <si>
    <t>f11509</t>
  </si>
  <si>
    <t>Agrop La Gaby  do 10/06/18</t>
  </si>
  <si>
    <t>Gan Rancho San Felipe lu 11/06/18</t>
  </si>
  <si>
    <t>Agrop EL Topete  ma 12/06/18</t>
  </si>
  <si>
    <t>fact 6299, 63000</t>
  </si>
  <si>
    <t>fact 129</t>
  </si>
  <si>
    <t>Agrop La Gaby  ju 07/06/18</t>
  </si>
  <si>
    <t>Juan Pablo Torres  mi 13/06/18</t>
  </si>
  <si>
    <t>Porc Soto  ju  14/06/18</t>
  </si>
  <si>
    <t>Agrop El Topete  ju 14/06/18</t>
  </si>
  <si>
    <t xml:space="preserve">Agrop Las Reses </t>
  </si>
  <si>
    <t>fact 6684, 6685</t>
  </si>
  <si>
    <t>fact 6307, 6308</t>
  </si>
  <si>
    <t>Agrop Las Reses  vi 15/06/18</t>
  </si>
  <si>
    <t>Agrop EL Topete  vi 15/6/18</t>
  </si>
  <si>
    <t>Smith Farm  vi 15/06/18 nl18-47</t>
  </si>
  <si>
    <t>fact 96261630</t>
  </si>
  <si>
    <t>intercam $29,848.22</t>
  </si>
  <si>
    <t>Smith Farm  ma 12/06/18 nl18-46</t>
  </si>
  <si>
    <t>fact 96259226</t>
  </si>
  <si>
    <t>intercam $29,434.39</t>
  </si>
  <si>
    <t>fact 635,636</t>
  </si>
  <si>
    <t>fact 6310, 6311</t>
  </si>
  <si>
    <t>intercam $30,889.52</t>
  </si>
  <si>
    <t>intercam $30,732.65</t>
  </si>
  <si>
    <t>fact H5793</t>
  </si>
  <si>
    <t>fact 640, 641</t>
  </si>
  <si>
    <t>P 36.40  F11854</t>
  </si>
  <si>
    <t>P 36.90 F11853</t>
  </si>
  <si>
    <t>f11664</t>
  </si>
  <si>
    <t>f11507</t>
  </si>
  <si>
    <t>f11842</t>
  </si>
  <si>
    <t>f11853</t>
  </si>
  <si>
    <t>diferencia con vale 16/6/18</t>
  </si>
  <si>
    <t>hoja + 9.5  ju 21 jun</t>
  </si>
  <si>
    <t>nl18-50</t>
  </si>
  <si>
    <t>nlse18-56</t>
  </si>
  <si>
    <t>hoja + 10.5 vi 22 jun</t>
  </si>
  <si>
    <t>nl18-51</t>
  </si>
  <si>
    <t>nlse18-57</t>
  </si>
  <si>
    <t>hoja + 10.5 ma 26 jun</t>
  </si>
  <si>
    <t>hoja + 9.5 ma 26 jun</t>
  </si>
  <si>
    <t>fact 202114</t>
  </si>
  <si>
    <t>fact 202115</t>
  </si>
  <si>
    <t>P 36.90 F11977</t>
  </si>
  <si>
    <t>P 36.60  F12113</t>
  </si>
  <si>
    <t>F11854</t>
  </si>
  <si>
    <t>fact 6690, 6691</t>
  </si>
  <si>
    <t>P 37.60  F12249</t>
  </si>
  <si>
    <t>con precio de canal de 28  37.56</t>
  </si>
  <si>
    <t>fact 6076, 6077</t>
  </si>
  <si>
    <t>fact 6695, 6696</t>
  </si>
  <si>
    <t>pendiente un pago</t>
  </si>
  <si>
    <t>f11977</t>
  </si>
  <si>
    <t>P 37.60 F12415</t>
  </si>
  <si>
    <t>fact 669, 6700</t>
  </si>
  <si>
    <t>fact 646, 647</t>
  </si>
  <si>
    <t>f11921</t>
  </si>
  <si>
    <t>f12249</t>
  </si>
  <si>
    <t>f12113</t>
  </si>
  <si>
    <t>fact 1497230</t>
  </si>
  <si>
    <t>fact 069H19824A</t>
  </si>
  <si>
    <t>fact 069H19822A</t>
  </si>
  <si>
    <t>fact 14966474</t>
  </si>
  <si>
    <t>P 37.60  F12542</t>
  </si>
  <si>
    <t>f12350</t>
  </si>
  <si>
    <t>f12415</t>
  </si>
  <si>
    <t>julio 18</t>
  </si>
  <si>
    <t>Smith Farm  ma 19/06/18  nl18-48</t>
  </si>
  <si>
    <t>fact 96268175</t>
  </si>
  <si>
    <t>intercam $29,182.66</t>
  </si>
  <si>
    <t>Smith Farm  vi 22/06/18 nl18-49</t>
  </si>
  <si>
    <t>fact 96269861</t>
  </si>
  <si>
    <t>intercam $30,145.73</t>
  </si>
  <si>
    <t>Seaboard  ju 05/07/18  nlse18-58</t>
  </si>
  <si>
    <t>Seaboard  sa 07/07/18  nlse18-59</t>
  </si>
  <si>
    <t>Tyson  sa 07/07/18  H0107</t>
  </si>
  <si>
    <t>Tyson  sa 07/07/18  H0108</t>
  </si>
  <si>
    <t>069H19824A</t>
  </si>
  <si>
    <t>069H19822A</t>
  </si>
  <si>
    <t>Baja Bay 5/7</t>
  </si>
  <si>
    <t>174 cajas</t>
  </si>
  <si>
    <t>Marimex 3/5</t>
  </si>
  <si>
    <t>fact PUI5020</t>
  </si>
  <si>
    <t>fact PUI5035</t>
  </si>
  <si>
    <t>Marimex  ma 19/06/18</t>
  </si>
  <si>
    <t>filete basa</t>
  </si>
  <si>
    <t xml:space="preserve">filete Tilapia </t>
  </si>
  <si>
    <t>Marimex  ma 20/06/18</t>
  </si>
  <si>
    <t>Adams  mi 06/06/18</t>
  </si>
  <si>
    <t>fact 61367</t>
  </si>
  <si>
    <t>fact 61637</t>
  </si>
  <si>
    <t>Adams  lu  11/06/18</t>
  </si>
  <si>
    <t>Adams  ju  14/06/18</t>
  </si>
  <si>
    <t>fact 61712</t>
  </si>
  <si>
    <t>fact 61409</t>
  </si>
  <si>
    <t>fact 61877</t>
  </si>
  <si>
    <t>Adams  ju 21/06/18</t>
  </si>
  <si>
    <t>Canal de res</t>
  </si>
  <si>
    <t>2 matas</t>
  </si>
  <si>
    <t>1 canal</t>
  </si>
  <si>
    <t>fact H5708</t>
  </si>
  <si>
    <t>Roel   vi 15/06/18</t>
  </si>
  <si>
    <t>Roel   lu 18/06/18</t>
  </si>
  <si>
    <t>27 combos</t>
  </si>
  <si>
    <t>ALB&amp;CIA  lu  18/06/18</t>
  </si>
  <si>
    <t xml:space="preserve">pernil seaboard </t>
  </si>
  <si>
    <t>fact 6320, 6321</t>
  </si>
  <si>
    <t>fact 650,651</t>
  </si>
  <si>
    <t>f12542</t>
  </si>
  <si>
    <t>f12735</t>
  </si>
  <si>
    <t>pendiente -$22,050 por devolver</t>
  </si>
  <si>
    <t>P 38.30  F12751</t>
  </si>
  <si>
    <t>fact 6702, 6703</t>
  </si>
  <si>
    <t xml:space="preserve">P 38.30  F12862 </t>
  </si>
  <si>
    <t>combos precio prom 38</t>
  </si>
  <si>
    <t>Agrop El Topete  do 17/06/18</t>
  </si>
  <si>
    <t>Gan Rancho San Felipe do 17/06/18</t>
  </si>
  <si>
    <t>fact 635, 636</t>
  </si>
  <si>
    <t>Gan Rancho San Felipe lu 18/06/18</t>
  </si>
  <si>
    <t>fact 640,641</t>
  </si>
  <si>
    <t>Agrop Las Reses  mi 20/06/18</t>
  </si>
  <si>
    <t>Agrop La Gaby  ju 21/06/18</t>
  </si>
  <si>
    <t>Agrop Las Reses ju 21/06/18</t>
  </si>
  <si>
    <t>Agrop Las Reses  vi 23/06/18</t>
  </si>
  <si>
    <t>fact 6699, 6700</t>
  </si>
  <si>
    <t>Gan Rancho San Felipe vi 23/06/18</t>
  </si>
  <si>
    <t>fact 144</t>
  </si>
  <si>
    <t xml:space="preserve">fact 144 </t>
  </si>
  <si>
    <t>fact 6707,6708,6710,6711</t>
  </si>
  <si>
    <t>Smith Farm  ma 26/06/18 nl18-50</t>
  </si>
  <si>
    <t>fact 96276279</t>
  </si>
  <si>
    <t>intercam $28,510.71</t>
  </si>
  <si>
    <t>Smith Farm  vi 29/06/18 nl18-51</t>
  </si>
  <si>
    <t>fact 96277877</t>
  </si>
  <si>
    <t>intercam $29,860.98</t>
  </si>
  <si>
    <t>P 38.30  F12991</t>
  </si>
  <si>
    <t>Idealmeats</t>
  </si>
  <si>
    <t>f12771</t>
  </si>
  <si>
    <t>f12751</t>
  </si>
  <si>
    <t>f12862</t>
  </si>
  <si>
    <t>G3525</t>
  </si>
  <si>
    <t>fact 6712,6713,6715,6716</t>
  </si>
  <si>
    <t>f13036</t>
  </si>
  <si>
    <t>f12991</t>
  </si>
  <si>
    <t>fact 6720, 6721</t>
  </si>
  <si>
    <t>fact 6323, 6324</t>
  </si>
  <si>
    <t>P 38.20  F13298</t>
  </si>
  <si>
    <t>P 38.85  F13299</t>
  </si>
  <si>
    <t>fact C001</t>
  </si>
  <si>
    <t>Agrop El Topete  do 24/06/18</t>
  </si>
  <si>
    <t>fact 5320, 6321</t>
  </si>
  <si>
    <t>fact 650, 651</t>
  </si>
  <si>
    <t>Gan Rancho San Felipe do 24/06/18</t>
  </si>
  <si>
    <t>Juan Pablo Torres  ma 26/86/18</t>
  </si>
  <si>
    <t xml:space="preserve">Fact </t>
  </si>
  <si>
    <t>Juan Pablo Torres  ma 19/6/18</t>
  </si>
  <si>
    <t>Agrop Las Reses ma 26/06/18</t>
  </si>
  <si>
    <t>Agrop Las Reses  lu 25/06/18</t>
  </si>
  <si>
    <t>Agrop Las Reses  mi 27/06/18</t>
  </si>
  <si>
    <t>Agrop Las Reses  ju 28/06/18</t>
  </si>
  <si>
    <t>Agrop El Topete  ju 28/06/18</t>
  </si>
  <si>
    <t>fact 6328,6329</t>
  </si>
  <si>
    <t>nl18-52</t>
  </si>
  <si>
    <t>nlse18-58</t>
  </si>
  <si>
    <t>nl18-53</t>
  </si>
  <si>
    <t>nlse18-59</t>
  </si>
  <si>
    <t>hoja + 9.5 mi 27 jun</t>
  </si>
  <si>
    <t>hoja + 10.5 vi 29 jun</t>
  </si>
  <si>
    <t>hoja + 9.5 vi 29 jun</t>
  </si>
  <si>
    <t>hoja + 9.5 ma 03 jul</t>
  </si>
  <si>
    <t>069H26827A</t>
  </si>
  <si>
    <t>P 38.90  F13439</t>
  </si>
  <si>
    <t>Agrop El Topete  vi 29/06/18</t>
  </si>
  <si>
    <t>fact 662,663</t>
  </si>
  <si>
    <t>Gan Rancho San Felipe vi 29/06/18</t>
  </si>
  <si>
    <t>fact 61965</t>
  </si>
  <si>
    <t>Adams   lu 25/06/18</t>
  </si>
  <si>
    <t>Adams   vi 29/06/18</t>
  </si>
  <si>
    <t>excel 86M</t>
  </si>
  <si>
    <t>331 cajas</t>
  </si>
  <si>
    <t>fact H5803</t>
  </si>
  <si>
    <t>Roel   sa 23/06/18</t>
  </si>
  <si>
    <t>fact FPL1047192</t>
  </si>
  <si>
    <t>excel</t>
  </si>
  <si>
    <t>629 cajas</t>
  </si>
  <si>
    <t>Ryc Alimentos sa 16/06/18</t>
  </si>
  <si>
    <t>cierre al 30 de junio de 2018</t>
  </si>
  <si>
    <t>fact 62085</t>
  </si>
  <si>
    <t>Seaboard  ma 10/07/18  nlse18-60</t>
  </si>
  <si>
    <t>Tyson  mi  11/07/18  N9858</t>
  </si>
  <si>
    <t>Seaboard  sa 14/07/18  nlse18-61</t>
  </si>
  <si>
    <t>Ideal Trading  mi 11/07/18  nlp024</t>
  </si>
  <si>
    <t>fact 3186</t>
  </si>
  <si>
    <t>fact 6335, 6336</t>
  </si>
  <si>
    <t>088H27821A</t>
  </si>
  <si>
    <t>N9858</t>
  </si>
  <si>
    <t>NLSE18-60</t>
  </si>
  <si>
    <t>NLSE18-61</t>
  </si>
  <si>
    <t>NLSE18-62</t>
  </si>
  <si>
    <t>NLSE18-63</t>
  </si>
  <si>
    <t>NLSE18-64</t>
  </si>
  <si>
    <t>NLSE18-65</t>
  </si>
  <si>
    <t>NLSE18-66</t>
  </si>
  <si>
    <t>NLSE18-67</t>
  </si>
  <si>
    <t>fact 2942, 2943</t>
  </si>
  <si>
    <t>fact 6095, 6096</t>
  </si>
  <si>
    <t>f13435</t>
  </si>
  <si>
    <t>f13299</t>
  </si>
  <si>
    <t>f12398</t>
  </si>
  <si>
    <t>P 39.40 f13755</t>
  </si>
  <si>
    <t>P 39.30  f13756</t>
  </si>
  <si>
    <t>Smith Farm  ma 03/07/18 nl18-52</t>
  </si>
  <si>
    <t>fact 96282745</t>
  </si>
  <si>
    <t>intercam $29,524.77</t>
  </si>
  <si>
    <t>decontar $2,285usd en notas de credito</t>
  </si>
  <si>
    <t>fact 1501198</t>
  </si>
  <si>
    <t>P 39.20  F13899</t>
  </si>
  <si>
    <t>f13756</t>
  </si>
  <si>
    <t>f13755</t>
  </si>
  <si>
    <t>f13899</t>
  </si>
  <si>
    <t>Marimex  ju 05/07/18</t>
  </si>
  <si>
    <t>fact PUI5258</t>
  </si>
  <si>
    <t xml:space="preserve">basa 5/7  </t>
  </si>
  <si>
    <t>fact 3192, 3193</t>
  </si>
  <si>
    <t>P 39.35  F14043</t>
  </si>
  <si>
    <t>hoja + 10.5 ma 03 jul</t>
  </si>
  <si>
    <t>Fact 161</t>
  </si>
  <si>
    <t>Juan Pablo Torres  ma 26/06/18</t>
  </si>
  <si>
    <t>fact 161</t>
  </si>
  <si>
    <t>hoja + 9.5  ju 05 jul</t>
  </si>
  <si>
    <t>hoja + 10.5  ju 05 jul</t>
  </si>
  <si>
    <t>hoja + 10 ju 05 jul</t>
  </si>
  <si>
    <t>hoja + 9.5 vi 06 jul</t>
  </si>
  <si>
    <t>hoja + 10.5 ma 10 jul</t>
  </si>
  <si>
    <t>nl18-54</t>
  </si>
  <si>
    <t>nlse18-60</t>
  </si>
  <si>
    <t>nl18-55</t>
  </si>
  <si>
    <t>nlse18-61</t>
  </si>
  <si>
    <t>hoja + 9.5  ju 12 jul</t>
  </si>
  <si>
    <t>hoja + 10.5  ju 12 jul</t>
  </si>
  <si>
    <t>hoja + 9.5 vi 13 jul</t>
  </si>
  <si>
    <t>hoja + 10.5 ma 17 jul</t>
  </si>
  <si>
    <t>nl18-56</t>
  </si>
  <si>
    <t>nlse18-62</t>
  </si>
  <si>
    <t>N8846</t>
  </si>
  <si>
    <t>N8847</t>
  </si>
  <si>
    <t>nl18-57</t>
  </si>
  <si>
    <t>nlse18-63</t>
  </si>
  <si>
    <t>Tyson  ma 18/07/18  N8846</t>
  </si>
  <si>
    <t>Tyson  ma 18/07/18  N8847</t>
  </si>
  <si>
    <t>Seaboard  ma 17/07/18  nlse18-62</t>
  </si>
  <si>
    <t>069I03826A</t>
  </si>
  <si>
    <t>069I03827A</t>
  </si>
  <si>
    <t>N8848</t>
  </si>
  <si>
    <t>N8849</t>
  </si>
  <si>
    <t>N8850</t>
  </si>
  <si>
    <t>N8851</t>
  </si>
  <si>
    <t>N8853</t>
  </si>
  <si>
    <t>N8854</t>
  </si>
  <si>
    <t>intercam $24,000.00</t>
  </si>
  <si>
    <t>Seaboard  sa 21/07/18  nlse18-63</t>
  </si>
  <si>
    <t>Smith Farm  vi 06/07/18  nl18-53</t>
  </si>
  <si>
    <t>fact 96286886</t>
  </si>
  <si>
    <t>intercam $28,065.44</t>
  </si>
  <si>
    <t>fact 6741, 6742</t>
  </si>
  <si>
    <t>fact 3196, 3197</t>
  </si>
  <si>
    <t>P 40.20 F14203</t>
  </si>
  <si>
    <t>fact 163</t>
  </si>
  <si>
    <t>Juan Pablo  ma 03/07/18</t>
  </si>
  <si>
    <t>fact 2946, 2947</t>
  </si>
  <si>
    <t>fact 6744, 6745</t>
  </si>
  <si>
    <t>P 40.10  F14370</t>
  </si>
  <si>
    <t>fact 069I03827A</t>
  </si>
  <si>
    <t>fact 069I03826A</t>
  </si>
  <si>
    <t>Porc Paso Blanco  do 01/07/18</t>
  </si>
  <si>
    <t>fact 3186, 3189</t>
  </si>
  <si>
    <t>fact 6334, 6335</t>
  </si>
  <si>
    <t>Agrop El Topete  do 01/07/18</t>
  </si>
  <si>
    <t>Porc San Bernardo  lu 02/07/18</t>
  </si>
  <si>
    <t>Agrop La Gaby  lu 02/07/18</t>
  </si>
  <si>
    <t>Porc Paso Blanco mi 04/07/18</t>
  </si>
  <si>
    <t>Porc Paso Blanco  ju 05/07/18</t>
  </si>
  <si>
    <t>Agrop Las Reses  ju 05/07/18</t>
  </si>
  <si>
    <t>Porc San Bernardo  vi 06/07/18</t>
  </si>
  <si>
    <t>Agrop Las Reses  vi 06/07/18</t>
  </si>
  <si>
    <t>99 cajas</t>
  </si>
  <si>
    <t>fact H5917</t>
  </si>
  <si>
    <t>Roel  mi 04/07/18</t>
  </si>
  <si>
    <t>fact 3207, 3208</t>
  </si>
  <si>
    <t>fact 2951, 2952,6751, 6752</t>
  </si>
  <si>
    <t>Agrop El Topete Lu 09/07/1/</t>
  </si>
  <si>
    <t>fact 1502149</t>
  </si>
  <si>
    <t>fact 202123</t>
  </si>
  <si>
    <t>intercam $25,965.65</t>
  </si>
  <si>
    <t xml:space="preserve"> San Bernardo, Las Rese</t>
  </si>
  <si>
    <t>Juan Pablo</t>
  </si>
  <si>
    <t>f13439</t>
  </si>
  <si>
    <t>f14043</t>
  </si>
  <si>
    <t>f14203</t>
  </si>
  <si>
    <t>f14370</t>
  </si>
  <si>
    <t>f14381</t>
  </si>
  <si>
    <t>f14178</t>
  </si>
  <si>
    <t>P 40.80 F14698</t>
  </si>
  <si>
    <t>P 41 F14699</t>
  </si>
  <si>
    <t>088I06826A</t>
  </si>
  <si>
    <t>fact 3211, 3212</t>
  </si>
  <si>
    <t>f14582</t>
  </si>
  <si>
    <t>f14699</t>
  </si>
  <si>
    <t>f14698</t>
  </si>
  <si>
    <t>P 40.30  F14839</t>
  </si>
  <si>
    <t>fact 1502539</t>
  </si>
  <si>
    <t>fact 088I06826A</t>
  </si>
  <si>
    <t>fact 2957, 2958</t>
  </si>
  <si>
    <t>fact 6109, 6110</t>
  </si>
  <si>
    <t>Agrop La Gaby Ju 12/07/18</t>
  </si>
  <si>
    <t>Porc San Bernardo  ju12/07/18</t>
  </si>
  <si>
    <t>Porc Paso Blanco Mi 11/07/18</t>
  </si>
  <si>
    <t>Porc San Bernardo Do 8/07/18</t>
  </si>
  <si>
    <t>fact 2951, 2952</t>
  </si>
  <si>
    <t>Agrop Las Reses Do 8/07/18</t>
  </si>
  <si>
    <t>fact 6751, 6752</t>
  </si>
  <si>
    <t>Porc Paso Blanco Lu 09/07/18</t>
  </si>
  <si>
    <t>fact 6346, 6350</t>
  </si>
  <si>
    <t xml:space="preserve">Ideal Trading  sa 21/07/18  </t>
  </si>
  <si>
    <t>fact 202126</t>
  </si>
  <si>
    <t>intercam $25,895.52</t>
  </si>
  <si>
    <t>nlp025</t>
  </si>
  <si>
    <t>P 41.30 F14958</t>
  </si>
  <si>
    <t>liq 280618</t>
  </si>
  <si>
    <t>184 cajas</t>
  </si>
  <si>
    <t>fact H5929</t>
  </si>
  <si>
    <t>Roel  ma 10/07/18</t>
  </si>
  <si>
    <t>sesos de copa</t>
  </si>
  <si>
    <t>fact 1503927</t>
  </si>
  <si>
    <t>Seaboard   ma 24/07/18  nlse18-64</t>
  </si>
  <si>
    <t>agosto 18</t>
  </si>
  <si>
    <t>Seaboard  sa 28/07/18  nlse18-65</t>
  </si>
  <si>
    <t>Seaboard   ma 31/07/18  nlse18-66</t>
  </si>
  <si>
    <t>Seaboard  sa 04/08/18  nlse18-67</t>
  </si>
  <si>
    <t>Tyson mi 25/07/18  N8848</t>
  </si>
  <si>
    <t>Tyson mi 25/07/18  N8849</t>
  </si>
  <si>
    <t>Tyson mi 01/08/18  N8850</t>
  </si>
  <si>
    <t>Tyson mi 01/08/18  N8851</t>
  </si>
  <si>
    <t>Tyson mi 08/08/18  N8853</t>
  </si>
  <si>
    <t>Tyson mi 08/08/18  N8854</t>
  </si>
  <si>
    <t>Seaboard  sa 11/08/18  nlse18-69</t>
  </si>
  <si>
    <t>Seaboard   ma  07/08/18  nlse18-68</t>
  </si>
  <si>
    <t>Smith Farm ma 10/07/18  nl18-54</t>
  </si>
  <si>
    <t>fact 96291924</t>
  </si>
  <si>
    <t>intercam $26,063.74</t>
  </si>
  <si>
    <t>Juan Pablo Torres  ma 10/07/18</t>
  </si>
  <si>
    <t>Smith Farm  vi 13/07/18  nl18-55</t>
  </si>
  <si>
    <t>Sesos de copa</t>
  </si>
  <si>
    <t>fact 1752, 1753</t>
  </si>
  <si>
    <t>fact 2960, 2961</t>
  </si>
  <si>
    <t>Agrop El Dorado Vi 13/07/18</t>
  </si>
  <si>
    <t>Porc San Bernardo Vi 13/07/18</t>
  </si>
  <si>
    <t>fact 169</t>
  </si>
  <si>
    <t>P 41.80  F15118</t>
  </si>
  <si>
    <t>inicia 20% arancel</t>
  </si>
  <si>
    <t>Marimex  mi  13/07/18</t>
  </si>
  <si>
    <t>fielte basa</t>
  </si>
  <si>
    <t>nlp026</t>
  </si>
  <si>
    <t>hoja + 10 lu 16 jul</t>
  </si>
  <si>
    <t>f14839</t>
  </si>
  <si>
    <t>f15118</t>
  </si>
  <si>
    <t>sobrantes antiguos</t>
  </si>
  <si>
    <t>fact 62380</t>
  </si>
  <si>
    <t>Adams   ma 10/07/18</t>
  </si>
  <si>
    <t>Esp de Cordero</t>
  </si>
  <si>
    <t>Baby Lamb</t>
  </si>
  <si>
    <t>fact H5937</t>
  </si>
  <si>
    <t>H5937</t>
  </si>
  <si>
    <t>91 cajas</t>
  </si>
  <si>
    <t>Roel   mi 11/07/18</t>
  </si>
  <si>
    <t>P 41.70  F15273</t>
  </si>
  <si>
    <t>fact 96294571</t>
  </si>
  <si>
    <t>fact 6358, 6359</t>
  </si>
  <si>
    <t>fact 3220, 3221</t>
  </si>
  <si>
    <t>Agroporc El Dorado</t>
  </si>
  <si>
    <t>fact 1757, 1758</t>
  </si>
  <si>
    <t>Agrop El Topete Do 15/07/18</t>
  </si>
  <si>
    <t>Porc Paso Blanco Do 15/07/18</t>
  </si>
  <si>
    <t>Porc San Bernardo Lu 16/07/18</t>
  </si>
  <si>
    <t>Agroporc El Dorado Lu 16/07/18</t>
  </si>
  <si>
    <t>fact 62562</t>
  </si>
  <si>
    <t>P 42.40 F15471</t>
  </si>
  <si>
    <t>P 42.40 F15585</t>
  </si>
  <si>
    <t>072I13824A</t>
  </si>
  <si>
    <t>069I13822A</t>
  </si>
  <si>
    <t>fact 2975, 2976</t>
  </si>
  <si>
    <t>Juan Pablo Torres ma 17/07/18</t>
  </si>
  <si>
    <t>fact 6364, 6365</t>
  </si>
  <si>
    <t>Porc San Bernardo mi 18/07/18</t>
  </si>
  <si>
    <t>Agrop El Topete ju 19/07/18</t>
  </si>
  <si>
    <t>P 42.00 F15740</t>
  </si>
  <si>
    <t>fact H 5966</t>
  </si>
  <si>
    <t>fact H5966</t>
  </si>
  <si>
    <t>152 cajas</t>
  </si>
  <si>
    <t>Adams ma 17/07/18</t>
  </si>
  <si>
    <t>P 43.00 F15851</t>
  </si>
  <si>
    <t>Intercam</t>
  </si>
  <si>
    <t>Vector $26,333.66</t>
  </si>
  <si>
    <t>fact 2977, 2978</t>
  </si>
  <si>
    <t>Juan Pablo mi 18/07/18</t>
  </si>
  <si>
    <t>fact 96298445</t>
  </si>
  <si>
    <t>intercam $25,628.58</t>
  </si>
  <si>
    <t>Smith Farm   ma 17/07/18 nl18-56</t>
  </si>
  <si>
    <t>Porc San Bernardo Ju 19/07/18</t>
  </si>
  <si>
    <t>Smith Farm vi 20/07/18 nl18-57</t>
  </si>
  <si>
    <t>fact 96303113</t>
  </si>
  <si>
    <t>intercam $25,556.41</t>
  </si>
  <si>
    <t>Roel ma 17/07/18</t>
  </si>
  <si>
    <t>fact 1766, 1767</t>
  </si>
  <si>
    <t>Agroporc El Dorado vi 20/07/18</t>
  </si>
  <si>
    <t>fact 6372, 6369</t>
  </si>
  <si>
    <t>P 43.30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</si>
</sst>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8" formatCode="&quot;$&quot;#,##0.00;[Red]\-&quot;$&quot;#,##0.00"/>
    <numFmt numFmtId="44" formatCode="_-&quot;$&quot;* #,##0.00_-;\-&quot;$&quot;* #,##0.00_-;_-&quot;$&quot;* &quot;-&quot;??_-;_-@_-"/>
    <numFmt numFmtId="164" formatCode="_-&quot;$&quot;* #,##0.000_-;\-&quot;$&quot;* #,##0.000_-;_-&quot;$&quot;* &quot;-&quot;??_-;_-@_-"/>
    <numFmt numFmtId="165" formatCode="&quot;$&quot;#,##0.00"/>
    <numFmt numFmtId="166" formatCode="&quot;$&quot;#,##0.000"/>
    <numFmt numFmtId="167" formatCode="&quot;$&quot;#,##0.00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rgb="FFFFFF00"/>
      <name val="Calibri"/>
      <family val="2"/>
      <scheme val="minor"/>
    </font>
    <font>
      <sz val="11"/>
      <name val="Calibri"/>
      <family val="2"/>
      <scheme val="minor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9"/>
      <color indexed="81"/>
      <name val="Tahoma"/>
      <family val="2"/>
    </font>
    <font>
      <sz val="8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1C5"/>
        <bgColor indexed="64"/>
      </patternFill>
    </fill>
    <fill>
      <patternFill patternType="solid">
        <fgColor rgb="FFF99107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757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C08CF4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19">
    <xf numFmtId="0" fontId="0" fillId="0" borderId="0" xfId="0"/>
    <xf numFmtId="0" fontId="0" fillId="0" borderId="0" xfId="0" quotePrefix="1"/>
    <xf numFmtId="0" fontId="3" fillId="0" borderId="0" xfId="0" applyFont="1"/>
    <xf numFmtId="44" fontId="0" fillId="0" borderId="0" xfId="1" applyFont="1"/>
    <xf numFmtId="44" fontId="0" fillId="2" borderId="0" xfId="1" applyFont="1" applyFill="1"/>
    <xf numFmtId="0" fontId="0" fillId="2" borderId="0" xfId="0" applyFill="1"/>
    <xf numFmtId="164" fontId="0" fillId="2" borderId="0" xfId="1" applyNumberFormat="1" applyFont="1" applyFill="1"/>
    <xf numFmtId="14" fontId="0" fillId="2" borderId="0" xfId="0" applyNumberFormat="1" applyFill="1"/>
    <xf numFmtId="44" fontId="0" fillId="0" borderId="0" xfId="0" applyNumberFormat="1"/>
    <xf numFmtId="44" fontId="0" fillId="3" borderId="0" xfId="1" applyFont="1" applyFill="1"/>
    <xf numFmtId="0" fontId="0" fillId="3" borderId="0" xfId="0" applyFill="1"/>
    <xf numFmtId="164" fontId="0" fillId="3" borderId="0" xfId="1" applyNumberFormat="1" applyFont="1" applyFill="1"/>
    <xf numFmtId="14" fontId="0" fillId="3" borderId="0" xfId="0" applyNumberFormat="1" applyFill="1"/>
    <xf numFmtId="164" fontId="0" fillId="0" borderId="0" xfId="1" applyNumberFormat="1" applyFont="1"/>
    <xf numFmtId="0" fontId="0" fillId="4" borderId="0" xfId="0" applyFill="1"/>
    <xf numFmtId="0" fontId="0" fillId="5" borderId="0" xfId="0" applyFill="1"/>
    <xf numFmtId="0" fontId="0" fillId="6" borderId="0" xfId="0" applyFill="1"/>
    <xf numFmtId="14" fontId="0" fillId="0" borderId="0" xfId="0" applyNumberFormat="1"/>
    <xf numFmtId="44" fontId="0" fillId="7" borderId="0" xfId="1" applyFont="1" applyFill="1"/>
    <xf numFmtId="0" fontId="0" fillId="7" borderId="0" xfId="0" applyFill="1"/>
    <xf numFmtId="44" fontId="0" fillId="4" borderId="0" xfId="1" applyFont="1" applyFill="1"/>
    <xf numFmtId="17" fontId="0" fillId="0" borderId="0" xfId="0" quotePrefix="1" applyNumberFormat="1"/>
    <xf numFmtId="165" fontId="0" fillId="0" borderId="0" xfId="0" applyNumberFormat="1"/>
    <xf numFmtId="0" fontId="0" fillId="0" borderId="1" xfId="0" applyBorder="1"/>
    <xf numFmtId="4" fontId="0" fillId="0" borderId="1" xfId="0" applyNumberFormat="1" applyBorder="1" applyAlignment="1">
      <alignment wrapText="1"/>
    </xf>
    <xf numFmtId="4" fontId="4" fillId="0" borderId="1" xfId="0" applyNumberFormat="1" applyFont="1" applyBorder="1" applyAlignment="1">
      <alignment wrapText="1"/>
    </xf>
    <xf numFmtId="3" fontId="0" fillId="0" borderId="1" xfId="0" applyNumberFormat="1" applyBorder="1"/>
    <xf numFmtId="15" fontId="0" fillId="0" borderId="1" xfId="0" applyNumberFormat="1" applyBorder="1"/>
    <xf numFmtId="165" fontId="0" fillId="0" borderId="1" xfId="0" applyNumberFormat="1" applyBorder="1"/>
    <xf numFmtId="166" fontId="0" fillId="0" borderId="1" xfId="0" applyNumberFormat="1" applyBorder="1"/>
    <xf numFmtId="165" fontId="4" fillId="0" borderId="1" xfId="0" applyNumberFormat="1" applyFont="1" applyBorder="1" applyAlignment="1">
      <alignment wrapText="1"/>
    </xf>
    <xf numFmtId="165" fontId="0" fillId="0" borderId="1" xfId="0" applyNumberFormat="1" applyBorder="1" applyAlignment="1">
      <alignment wrapText="1"/>
    </xf>
    <xf numFmtId="44" fontId="0" fillId="0" borderId="1" xfId="1" applyFont="1" applyBorder="1"/>
    <xf numFmtId="0" fontId="5" fillId="8" borderId="2" xfId="0" applyFont="1" applyFill="1" applyBorder="1" applyAlignment="1">
      <alignment textRotation="255"/>
    </xf>
    <xf numFmtId="0" fontId="0" fillId="0" borderId="3" xfId="0" applyBorder="1"/>
    <xf numFmtId="0" fontId="6" fillId="0" borderId="0" xfId="0" applyFont="1"/>
    <xf numFmtId="4" fontId="6" fillId="0" borderId="0" xfId="0" applyNumberFormat="1" applyFont="1"/>
    <xf numFmtId="4" fontId="0" fillId="4" borderId="0" xfId="0" applyNumberFormat="1" applyFill="1"/>
    <xf numFmtId="4" fontId="0" fillId="0" borderId="0" xfId="0" applyNumberFormat="1"/>
    <xf numFmtId="15" fontId="0" fillId="0" borderId="0" xfId="0" applyNumberFormat="1"/>
    <xf numFmtId="167" fontId="0" fillId="0" borderId="0" xfId="0" applyNumberFormat="1"/>
    <xf numFmtId="165" fontId="0" fillId="4" borderId="0" xfId="0" applyNumberFormat="1" applyFill="1"/>
    <xf numFmtId="166" fontId="6" fillId="4" borderId="0" xfId="0" applyNumberFormat="1" applyFont="1" applyFill="1"/>
    <xf numFmtId="165" fontId="6" fillId="0" borderId="0" xfId="0" applyNumberFormat="1" applyFont="1"/>
    <xf numFmtId="14" fontId="0" fillId="0" borderId="4" xfId="0" applyNumberFormat="1" applyBorder="1"/>
    <xf numFmtId="166" fontId="6" fillId="0" borderId="0" xfId="0" applyNumberFormat="1" applyFont="1"/>
    <xf numFmtId="166" fontId="0" fillId="0" borderId="0" xfId="0" applyNumberFormat="1"/>
    <xf numFmtId="165" fontId="0" fillId="9" borderId="0" xfId="0" applyNumberFormat="1" applyFill="1"/>
    <xf numFmtId="0" fontId="5" fillId="8" borderId="5" xfId="0" applyFont="1" applyFill="1" applyBorder="1" applyAlignment="1">
      <alignment textRotation="255"/>
    </xf>
    <xf numFmtId="0" fontId="0" fillId="0" borderId="6" xfId="0" applyBorder="1"/>
    <xf numFmtId="4" fontId="0" fillId="0" borderId="1" xfId="0" applyNumberFormat="1" applyBorder="1"/>
    <xf numFmtId="14" fontId="0" fillId="0" borderId="7" xfId="0" applyNumberFormat="1" applyBorder="1"/>
    <xf numFmtId="0" fontId="5" fillId="3" borderId="8" xfId="0" applyFont="1" applyFill="1" applyBorder="1" applyAlignment="1">
      <alignment textRotation="255"/>
    </xf>
    <xf numFmtId="0" fontId="0" fillId="0" borderId="9" xfId="0" applyBorder="1"/>
    <xf numFmtId="0" fontId="6" fillId="0" borderId="9" xfId="0" applyFont="1" applyBorder="1"/>
    <xf numFmtId="4" fontId="6" fillId="0" borderId="9" xfId="0" applyNumberFormat="1" applyFont="1" applyBorder="1"/>
    <xf numFmtId="4" fontId="0" fillId="0" borderId="9" xfId="0" applyNumberFormat="1" applyBorder="1"/>
    <xf numFmtId="9" fontId="6" fillId="0" borderId="9" xfId="0" applyNumberFormat="1" applyFont="1" applyBorder="1"/>
    <xf numFmtId="15" fontId="0" fillId="0" borderId="9" xfId="0" applyNumberFormat="1" applyBorder="1"/>
    <xf numFmtId="165" fontId="0" fillId="0" borderId="9" xfId="0" applyNumberFormat="1" applyBorder="1"/>
    <xf numFmtId="166" fontId="0" fillId="0" borderId="9" xfId="0" applyNumberFormat="1" applyBorder="1"/>
    <xf numFmtId="165" fontId="0" fillId="9" borderId="9" xfId="0" applyNumberFormat="1" applyFill="1" applyBorder="1"/>
    <xf numFmtId="165" fontId="6" fillId="0" borderId="9" xfId="0" applyNumberFormat="1" applyFont="1" applyBorder="1"/>
    <xf numFmtId="44" fontId="0" fillId="0" borderId="9" xfId="1" applyFont="1" applyBorder="1"/>
    <xf numFmtId="14" fontId="0" fillId="0" borderId="10" xfId="0" applyNumberFormat="1" applyBorder="1"/>
    <xf numFmtId="0" fontId="5" fillId="3" borderId="2" xfId="0" applyFont="1" applyFill="1" applyBorder="1" applyAlignment="1">
      <alignment textRotation="255"/>
    </xf>
    <xf numFmtId="0" fontId="5" fillId="3" borderId="5" xfId="0" applyFont="1" applyFill="1" applyBorder="1" applyAlignment="1">
      <alignment textRotation="255"/>
    </xf>
    <xf numFmtId="0" fontId="5" fillId="7" borderId="8" xfId="0" applyFont="1" applyFill="1" applyBorder="1" applyAlignment="1">
      <alignment textRotation="255"/>
    </xf>
    <xf numFmtId="0" fontId="5" fillId="7" borderId="2" xfId="0" applyFont="1" applyFill="1" applyBorder="1" applyAlignment="1">
      <alignment textRotation="255"/>
    </xf>
    <xf numFmtId="0" fontId="5" fillId="7" borderId="5" xfId="0" applyFont="1" applyFill="1" applyBorder="1" applyAlignment="1">
      <alignment textRotation="255"/>
    </xf>
    <xf numFmtId="8" fontId="0" fillId="0" borderId="0" xfId="1" applyNumberFormat="1" applyFont="1"/>
    <xf numFmtId="44" fontId="10" fillId="0" borderId="0" xfId="1" applyFont="1"/>
    <xf numFmtId="14" fontId="0" fillId="0" borderId="0" xfId="1" applyNumberFormat="1" applyFont="1"/>
    <xf numFmtId="44" fontId="0" fillId="10" borderId="0" xfId="1" applyFont="1" applyFill="1"/>
    <xf numFmtId="14" fontId="0" fillId="10" borderId="0" xfId="0" applyNumberFormat="1" applyFill="1"/>
    <xf numFmtId="0" fontId="0" fillId="10" borderId="0" xfId="0" applyFill="1"/>
    <xf numFmtId="44" fontId="0" fillId="11" borderId="0" xfId="1" applyFont="1" applyFill="1"/>
    <xf numFmtId="0" fontId="0" fillId="12" borderId="0" xfId="0" applyFill="1"/>
    <xf numFmtId="14" fontId="0" fillId="10" borderId="0" xfId="1" applyNumberFormat="1" applyFont="1" applyFill="1"/>
    <xf numFmtId="11" fontId="0" fillId="0" borderId="0" xfId="0" applyNumberFormat="1"/>
    <xf numFmtId="0" fontId="2" fillId="0" borderId="0" xfId="0" applyFont="1"/>
    <xf numFmtId="44" fontId="2" fillId="0" borderId="0" xfId="1" applyFont="1"/>
    <xf numFmtId="0" fontId="2" fillId="0" borderId="0" xfId="0" applyFont="1" applyAlignment="1">
      <alignment wrapText="1"/>
    </xf>
    <xf numFmtId="44" fontId="0" fillId="12" borderId="0" xfId="1" applyFont="1" applyFill="1"/>
    <xf numFmtId="44" fontId="0" fillId="13" borderId="0" xfId="1" applyFont="1" applyFill="1"/>
    <xf numFmtId="44" fontId="0" fillId="14" borderId="0" xfId="1" applyFont="1" applyFill="1"/>
    <xf numFmtId="44" fontId="0" fillId="5" borderId="0" xfId="1" applyFont="1" applyFill="1"/>
    <xf numFmtId="44" fontId="0" fillId="15" borderId="0" xfId="1" applyFont="1" applyFill="1"/>
    <xf numFmtId="44" fontId="0" fillId="16" borderId="0" xfId="1" applyFont="1" applyFill="1"/>
    <xf numFmtId="44" fontId="0" fillId="17" borderId="0" xfId="1" applyFont="1" applyFill="1"/>
    <xf numFmtId="17" fontId="0" fillId="0" borderId="0" xfId="0" applyNumberFormat="1"/>
    <xf numFmtId="0" fontId="0" fillId="18" borderId="0" xfId="0" applyFill="1"/>
    <xf numFmtId="44" fontId="0" fillId="18" borderId="0" xfId="1" applyFont="1" applyFill="1"/>
    <xf numFmtId="44" fontId="6" fillId="10" borderId="0" xfId="1" applyFont="1" applyFill="1"/>
    <xf numFmtId="44" fontId="0" fillId="19" borderId="0" xfId="1" applyFont="1" applyFill="1"/>
    <xf numFmtId="44" fontId="0" fillId="20" borderId="0" xfId="1" applyFont="1" applyFill="1"/>
    <xf numFmtId="4" fontId="0" fillId="0" borderId="0" xfId="0" applyNumberFormat="1" applyAlignment="1">
      <alignment wrapText="1"/>
    </xf>
    <xf numFmtId="3" fontId="0" fillId="0" borderId="0" xfId="0" applyNumberFormat="1"/>
    <xf numFmtId="165" fontId="4" fillId="0" borderId="0" xfId="0" applyNumberFormat="1" applyFont="1" applyAlignment="1">
      <alignment wrapText="1"/>
    </xf>
    <xf numFmtId="165" fontId="0" fillId="0" borderId="0" xfId="0" applyNumberFormat="1" applyAlignment="1">
      <alignment wrapText="1"/>
    </xf>
    <xf numFmtId="165" fontId="0" fillId="13" borderId="0" xfId="0" applyNumberFormat="1" applyFill="1"/>
    <xf numFmtId="14" fontId="0" fillId="10" borderId="4" xfId="0" applyNumberFormat="1" applyFill="1" applyBorder="1"/>
    <xf numFmtId="0" fontId="0" fillId="13" borderId="3" xfId="0" applyFill="1" applyBorder="1"/>
    <xf numFmtId="0" fontId="6" fillId="13" borderId="0" xfId="0" applyFont="1" applyFill="1"/>
    <xf numFmtId="4" fontId="6" fillId="13" borderId="0" xfId="0" applyNumberFormat="1" applyFont="1" applyFill="1"/>
    <xf numFmtId="4" fontId="0" fillId="13" borderId="0" xfId="0" applyNumberFormat="1" applyFill="1"/>
    <xf numFmtId="0" fontId="0" fillId="13" borderId="0" xfId="0" applyFill="1"/>
    <xf numFmtId="15" fontId="0" fillId="13" borderId="0" xfId="0" applyNumberFormat="1" applyFill="1"/>
    <xf numFmtId="167" fontId="0" fillId="13" borderId="0" xfId="0" applyNumberFormat="1" applyFill="1"/>
    <xf numFmtId="166" fontId="6" fillId="13" borderId="0" xfId="0" applyNumberFormat="1" applyFont="1" applyFill="1"/>
    <xf numFmtId="165" fontId="6" fillId="13" borderId="0" xfId="0" applyNumberFormat="1" applyFont="1" applyFill="1"/>
    <xf numFmtId="165" fontId="0" fillId="17" borderId="0" xfId="0" applyNumberFormat="1" applyFill="1"/>
    <xf numFmtId="0" fontId="5" fillId="21" borderId="8" xfId="0" applyFont="1" applyFill="1" applyBorder="1" applyAlignment="1">
      <alignment textRotation="255"/>
    </xf>
    <xf numFmtId="0" fontId="5" fillId="21" borderId="2" xfId="0" applyFont="1" applyFill="1" applyBorder="1" applyAlignment="1">
      <alignment textRotation="255"/>
    </xf>
    <xf numFmtId="0" fontId="5" fillId="21" borderId="5" xfId="0" applyFont="1" applyFill="1" applyBorder="1" applyAlignment="1">
      <alignment textRotation="255"/>
    </xf>
    <xf numFmtId="4" fontId="6" fillId="22" borderId="0" xfId="0" applyNumberFormat="1" applyFont="1" applyFill="1"/>
    <xf numFmtId="165" fontId="0" fillId="10" borderId="0" xfId="0" applyNumberFormat="1" applyFill="1"/>
    <xf numFmtId="165" fontId="0" fillId="7" borderId="0" xfId="0" applyNumberFormat="1" applyFill="1"/>
    <xf numFmtId="165" fontId="0" fillId="17" borderId="9" xfId="0" applyNumberFormat="1" applyFill="1" applyBorder="1"/>
    <xf numFmtId="0" fontId="0" fillId="0" borderId="0" xfId="1" applyNumberFormat="1" applyFont="1"/>
    <xf numFmtId="165" fontId="0" fillId="3" borderId="0" xfId="0" applyNumberFormat="1" applyFill="1"/>
    <xf numFmtId="4" fontId="0" fillId="0" borderId="11" xfId="0" applyNumberFormat="1" applyBorder="1"/>
    <xf numFmtId="0" fontId="5" fillId="16" borderId="8" xfId="0" applyFont="1" applyFill="1" applyBorder="1" applyAlignment="1">
      <alignment textRotation="255"/>
    </xf>
    <xf numFmtId="0" fontId="5" fillId="16" borderId="2" xfId="0" applyFont="1" applyFill="1" applyBorder="1" applyAlignment="1">
      <alignment textRotation="255"/>
    </xf>
    <xf numFmtId="0" fontId="5" fillId="16" borderId="5" xfId="0" applyFont="1" applyFill="1" applyBorder="1" applyAlignment="1">
      <alignment textRotation="255"/>
    </xf>
    <xf numFmtId="0" fontId="4" fillId="0" borderId="0" xfId="0" applyFont="1"/>
    <xf numFmtId="0" fontId="4" fillId="2" borderId="0" xfId="0" applyFont="1" applyFill="1"/>
    <xf numFmtId="44" fontId="0" fillId="8" borderId="0" xfId="1" applyFont="1" applyFill="1"/>
    <xf numFmtId="164" fontId="0" fillId="7" borderId="0" xfId="1" applyNumberFormat="1" applyFont="1" applyFill="1"/>
    <xf numFmtId="14" fontId="0" fillId="7" borderId="0" xfId="0" applyNumberFormat="1" applyFill="1"/>
    <xf numFmtId="44" fontId="0" fillId="23" borderId="0" xfId="1" applyFont="1" applyFill="1"/>
    <xf numFmtId="165" fontId="6" fillId="3" borderId="0" xfId="0" applyNumberFormat="1" applyFont="1" applyFill="1"/>
    <xf numFmtId="44" fontId="0" fillId="24" borderId="0" xfId="1" applyFont="1" applyFill="1"/>
    <xf numFmtId="0" fontId="5" fillId="5" borderId="8" xfId="0" applyFont="1" applyFill="1" applyBorder="1" applyAlignment="1">
      <alignment textRotation="255"/>
    </xf>
    <xf numFmtId="0" fontId="5" fillId="5" borderId="2" xfId="0" applyFont="1" applyFill="1" applyBorder="1" applyAlignment="1">
      <alignment textRotation="255"/>
    </xf>
    <xf numFmtId="0" fontId="5" fillId="5" borderId="5" xfId="0" applyFont="1" applyFill="1" applyBorder="1" applyAlignment="1">
      <alignment textRotation="255"/>
    </xf>
    <xf numFmtId="164" fontId="0" fillId="2" borderId="0" xfId="0" applyNumberFormat="1" applyFill="1"/>
    <xf numFmtId="165" fontId="6" fillId="17" borderId="0" xfId="0" applyNumberFormat="1" applyFont="1" applyFill="1"/>
    <xf numFmtId="165" fontId="6" fillId="17" borderId="9" xfId="0" applyNumberFormat="1" applyFont="1" applyFill="1" applyBorder="1"/>
    <xf numFmtId="44" fontId="0" fillId="2" borderId="0" xfId="0" applyNumberFormat="1" applyFill="1"/>
    <xf numFmtId="0" fontId="0" fillId="8" borderId="0" xfId="0" applyFill="1"/>
    <xf numFmtId="14" fontId="0" fillId="8" borderId="0" xfId="0" applyNumberFormat="1" applyFill="1"/>
    <xf numFmtId="164" fontId="0" fillId="8" borderId="0" xfId="1" applyNumberFormat="1" applyFont="1" applyFill="1"/>
    <xf numFmtId="14" fontId="0" fillId="2" borderId="0" xfId="1" applyNumberFormat="1" applyFont="1" applyFill="1"/>
    <xf numFmtId="164" fontId="0" fillId="4" borderId="0" xfId="1" applyNumberFormat="1" applyFont="1" applyFill="1"/>
    <xf numFmtId="11" fontId="0" fillId="3" borderId="0" xfId="0" applyNumberFormat="1" applyFill="1"/>
    <xf numFmtId="16" fontId="0" fillId="0" borderId="0" xfId="0" applyNumberFormat="1"/>
    <xf numFmtId="0" fontId="0" fillId="13" borderId="0" xfId="1" applyNumberFormat="1" applyFont="1" applyFill="1"/>
    <xf numFmtId="0" fontId="5" fillId="25" borderId="8" xfId="0" applyFont="1" applyFill="1" applyBorder="1" applyAlignment="1">
      <alignment textRotation="255"/>
    </xf>
    <xf numFmtId="0" fontId="5" fillId="25" borderId="2" xfId="0" applyFont="1" applyFill="1" applyBorder="1" applyAlignment="1">
      <alignment textRotation="255"/>
    </xf>
    <xf numFmtId="0" fontId="5" fillId="25" borderId="5" xfId="0" applyFont="1" applyFill="1" applyBorder="1" applyAlignment="1">
      <alignment textRotation="255"/>
    </xf>
    <xf numFmtId="0" fontId="5" fillId="6" borderId="8" xfId="0" applyFont="1" applyFill="1" applyBorder="1" applyAlignment="1">
      <alignment textRotation="255"/>
    </xf>
    <xf numFmtId="0" fontId="5" fillId="6" borderId="2" xfId="0" applyFont="1" applyFill="1" applyBorder="1" applyAlignment="1">
      <alignment textRotation="255"/>
    </xf>
    <xf numFmtId="0" fontId="5" fillId="6" borderId="5" xfId="0" applyFont="1" applyFill="1" applyBorder="1" applyAlignment="1">
      <alignment textRotation="255"/>
    </xf>
    <xf numFmtId="0" fontId="5" fillId="26" borderId="8" xfId="0" applyFont="1" applyFill="1" applyBorder="1" applyAlignment="1">
      <alignment textRotation="255"/>
    </xf>
    <xf numFmtId="0" fontId="5" fillId="26" borderId="2" xfId="0" applyFont="1" applyFill="1" applyBorder="1" applyAlignment="1">
      <alignment textRotation="255"/>
    </xf>
    <xf numFmtId="0" fontId="5" fillId="26" borderId="5" xfId="0" applyFont="1" applyFill="1" applyBorder="1" applyAlignment="1">
      <alignment textRotation="255"/>
    </xf>
    <xf numFmtId="44" fontId="0" fillId="22" borderId="0" xfId="1" applyFont="1" applyFill="1"/>
    <xf numFmtId="44" fontId="0" fillId="26" borderId="0" xfId="1" applyFont="1" applyFill="1"/>
    <xf numFmtId="0" fontId="0" fillId="22" borderId="0" xfId="0" applyFill="1"/>
    <xf numFmtId="0" fontId="3" fillId="15" borderId="0" xfId="0" applyFont="1" applyFill="1"/>
    <xf numFmtId="165" fontId="6" fillId="27" borderId="0" xfId="0" applyNumberFormat="1" applyFont="1" applyFill="1"/>
    <xf numFmtId="0" fontId="5" fillId="10" borderId="8" xfId="0" applyFont="1" applyFill="1" applyBorder="1" applyAlignment="1">
      <alignment textRotation="255"/>
    </xf>
    <xf numFmtId="0" fontId="5" fillId="10" borderId="2" xfId="0" applyFont="1" applyFill="1" applyBorder="1" applyAlignment="1">
      <alignment textRotation="255"/>
    </xf>
    <xf numFmtId="0" fontId="5" fillId="10" borderId="5" xfId="0" applyFont="1" applyFill="1" applyBorder="1" applyAlignment="1">
      <alignment textRotation="255"/>
    </xf>
    <xf numFmtId="0" fontId="5" fillId="28" borderId="8" xfId="0" applyFont="1" applyFill="1" applyBorder="1" applyAlignment="1">
      <alignment textRotation="255"/>
    </xf>
    <xf numFmtId="0" fontId="5" fillId="28" borderId="2" xfId="0" applyFont="1" applyFill="1" applyBorder="1" applyAlignment="1">
      <alignment textRotation="255"/>
    </xf>
    <xf numFmtId="0" fontId="5" fillId="28" borderId="5" xfId="0" applyFont="1" applyFill="1" applyBorder="1" applyAlignment="1">
      <alignment textRotation="255"/>
    </xf>
    <xf numFmtId="0" fontId="5" fillId="22" borderId="8" xfId="0" applyFont="1" applyFill="1" applyBorder="1" applyAlignment="1">
      <alignment textRotation="255"/>
    </xf>
    <xf numFmtId="0" fontId="5" fillId="22" borderId="2" xfId="0" applyFont="1" applyFill="1" applyBorder="1" applyAlignment="1">
      <alignment textRotation="255"/>
    </xf>
    <xf numFmtId="0" fontId="5" fillId="22" borderId="5" xfId="0" applyFont="1" applyFill="1" applyBorder="1" applyAlignment="1">
      <alignment textRotation="255"/>
    </xf>
    <xf numFmtId="44" fontId="0" fillId="27" borderId="0" xfId="1" applyFont="1" applyFill="1"/>
    <xf numFmtId="44" fontId="0" fillId="6" borderId="0" xfId="1" applyFont="1" applyFill="1"/>
    <xf numFmtId="165" fontId="0" fillId="2" borderId="0" xfId="0" applyNumberFormat="1" applyFill="1"/>
    <xf numFmtId="0" fontId="5" fillId="29" borderId="8" xfId="0" applyFont="1" applyFill="1" applyBorder="1" applyAlignment="1">
      <alignment textRotation="255"/>
    </xf>
    <xf numFmtId="0" fontId="5" fillId="29" borderId="2" xfId="0" applyFont="1" applyFill="1" applyBorder="1" applyAlignment="1">
      <alignment textRotation="255"/>
    </xf>
    <xf numFmtId="0" fontId="5" fillId="29" borderId="5" xfId="0" applyFont="1" applyFill="1" applyBorder="1" applyAlignment="1">
      <alignment textRotation="255"/>
    </xf>
    <xf numFmtId="44" fontId="0" fillId="30" borderId="0" xfId="1" applyFont="1" applyFill="1"/>
    <xf numFmtId="0" fontId="5" fillId="32" borderId="8" xfId="0" applyFont="1" applyFill="1" applyBorder="1" applyAlignment="1">
      <alignment textRotation="255"/>
    </xf>
    <xf numFmtId="0" fontId="5" fillId="32" borderId="2" xfId="0" applyFont="1" applyFill="1" applyBorder="1" applyAlignment="1">
      <alignment textRotation="255"/>
    </xf>
    <xf numFmtId="0" fontId="5" fillId="32" borderId="5" xfId="0" applyFont="1" applyFill="1" applyBorder="1" applyAlignment="1">
      <alignment textRotation="255"/>
    </xf>
    <xf numFmtId="0" fontId="0" fillId="31" borderId="9" xfId="0" applyFill="1" applyBorder="1"/>
    <xf numFmtId="44" fontId="6" fillId="0" borderId="0" xfId="1" applyFont="1"/>
    <xf numFmtId="0" fontId="6" fillId="4" borderId="0" xfId="0" applyFont="1" applyFill="1"/>
    <xf numFmtId="44" fontId="6" fillId="3" borderId="0" xfId="1" applyFont="1" applyFill="1"/>
    <xf numFmtId="0" fontId="6" fillId="3" borderId="0" xfId="0" applyFont="1" applyFill="1"/>
    <xf numFmtId="14" fontId="6" fillId="3" borderId="0" xfId="0" applyNumberFormat="1" applyFont="1" applyFill="1"/>
    <xf numFmtId="44" fontId="6" fillId="2" borderId="0" xfId="1" applyFont="1" applyFill="1"/>
    <xf numFmtId="0" fontId="6" fillId="2" borderId="0" xfId="0" applyFont="1" applyFill="1"/>
    <xf numFmtId="44" fontId="6" fillId="8" borderId="0" xfId="1" applyFont="1" applyFill="1"/>
    <xf numFmtId="0" fontId="0" fillId="3" borderId="9" xfId="0" applyFill="1" applyBorder="1"/>
    <xf numFmtId="16" fontId="0" fillId="0" borderId="0" xfId="0" quotePrefix="1" applyNumberFormat="1"/>
    <xf numFmtId="14" fontId="0" fillId="13" borderId="0" xfId="0" applyNumberFormat="1" applyFill="1"/>
    <xf numFmtId="0" fontId="0" fillId="33" borderId="0" xfId="0" applyFill="1"/>
    <xf numFmtId="0" fontId="5" fillId="34" borderId="8" xfId="0" applyFont="1" applyFill="1" applyBorder="1" applyAlignment="1">
      <alignment textRotation="255"/>
    </xf>
    <xf numFmtId="0" fontId="5" fillId="34" borderId="2" xfId="0" applyFont="1" applyFill="1" applyBorder="1" applyAlignment="1">
      <alignment textRotation="255"/>
    </xf>
    <xf numFmtId="0" fontId="5" fillId="34" borderId="5" xfId="0" applyFont="1" applyFill="1" applyBorder="1" applyAlignment="1">
      <alignment textRotation="255"/>
    </xf>
    <xf numFmtId="44" fontId="0" fillId="35" borderId="0" xfId="1" applyFont="1" applyFill="1"/>
    <xf numFmtId="0" fontId="0" fillId="35" borderId="0" xfId="1" applyNumberFormat="1" applyFont="1" applyFill="1"/>
    <xf numFmtId="0" fontId="0" fillId="35" borderId="0" xfId="0" applyFill="1"/>
    <xf numFmtId="9" fontId="6" fillId="0" borderId="0" xfId="0" applyNumberFormat="1" applyFont="1"/>
    <xf numFmtId="14" fontId="6" fillId="2" borderId="0" xfId="0" applyNumberFormat="1" applyFont="1" applyFill="1"/>
    <xf numFmtId="0" fontId="5" fillId="12" borderId="8" xfId="0" applyFont="1" applyFill="1" applyBorder="1" applyAlignment="1">
      <alignment textRotation="255"/>
    </xf>
    <xf numFmtId="0" fontId="5" fillId="12" borderId="2" xfId="0" applyFont="1" applyFill="1" applyBorder="1" applyAlignment="1">
      <alignment textRotation="255"/>
    </xf>
    <xf numFmtId="0" fontId="5" fillId="12" borderId="5" xfId="0" applyFont="1" applyFill="1" applyBorder="1" applyAlignment="1">
      <alignment textRotation="255"/>
    </xf>
    <xf numFmtId="0" fontId="11" fillId="3" borderId="0" xfId="0" applyFont="1" applyFill="1"/>
    <xf numFmtId="0" fontId="0" fillId="29" borderId="0" xfId="0" applyFill="1"/>
    <xf numFmtId="0" fontId="6" fillId="10" borderId="0" xfId="0" applyFont="1" applyFill="1"/>
    <xf numFmtId="164" fontId="6" fillId="3" borderId="0" xfId="1" applyNumberFormat="1" applyFont="1" applyFill="1"/>
    <xf numFmtId="165" fontId="6" fillId="14" borderId="0" xfId="0" applyNumberFormat="1" applyFont="1" applyFill="1"/>
    <xf numFmtId="0" fontId="5" fillId="4" borderId="8" xfId="0" applyFont="1" applyFill="1" applyBorder="1" applyAlignment="1">
      <alignment textRotation="255"/>
    </xf>
    <xf numFmtId="0" fontId="5" fillId="4" borderId="2" xfId="0" applyFont="1" applyFill="1" applyBorder="1" applyAlignment="1">
      <alignment textRotation="255"/>
    </xf>
    <xf numFmtId="0" fontId="5" fillId="4" borderId="5" xfId="0" applyFont="1" applyFill="1" applyBorder="1" applyAlignment="1">
      <alignment textRotation="255"/>
    </xf>
    <xf numFmtId="44" fontId="0" fillId="9" borderId="0" xfId="1" applyFont="1" applyFill="1"/>
    <xf numFmtId="166" fontId="6" fillId="3" borderId="0" xfId="0" applyNumberFormat="1" applyFont="1" applyFill="1"/>
    <xf numFmtId="0" fontId="0" fillId="36" borderId="9" xfId="0" applyFill="1" applyBorder="1"/>
    <xf numFmtId="44" fontId="0" fillId="37" borderId="0" xfId="1" applyFont="1" applyFill="1"/>
    <xf numFmtId="0" fontId="0" fillId="37" borderId="0" xfId="0" applyFill="1"/>
    <xf numFmtId="14" fontId="0" fillId="37" borderId="0" xfId="0" applyNumberFormat="1" applyFill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FFFF"/>
      <color rgb="FFCCFFCC"/>
      <color rgb="FFC08CF4"/>
      <color rgb="FFFF75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190500</xdr:colOff>
      <xdr:row>143</xdr:row>
      <xdr:rowOff>66676</xdr:rowOff>
    </xdr:from>
    <xdr:to>
      <xdr:col>11</xdr:col>
      <xdr:colOff>219075</xdr:colOff>
      <xdr:row>157</xdr:row>
      <xdr:rowOff>123826</xdr:rowOff>
    </xdr:to>
    <xdr:cxnSp macro="">
      <xdr:nvCxnSpPr>
        <xdr:cNvPr id="6" name="Conector angular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CxnSpPr/>
      </xdr:nvCxnSpPr>
      <xdr:spPr>
        <a:xfrm rot="5400000">
          <a:off x="9558338" y="28274963"/>
          <a:ext cx="2724150" cy="790575"/>
        </a:xfrm>
        <a:prstGeom prst="bentConnector3">
          <a:avLst>
            <a:gd name="adj1" fmla="val 1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123826</xdr:colOff>
      <xdr:row>527</xdr:row>
      <xdr:rowOff>133349</xdr:rowOff>
    </xdr:from>
    <xdr:to>
      <xdr:col>12</xdr:col>
      <xdr:colOff>742951</xdr:colOff>
      <xdr:row>540</xdr:row>
      <xdr:rowOff>123824</xdr:rowOff>
    </xdr:to>
    <xdr:cxnSp macro="">
      <xdr:nvCxnSpPr>
        <xdr:cNvPr id="5" name="Conector angular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 rot="10800000" flipV="1">
          <a:off x="10563226" y="99974399"/>
          <a:ext cx="2524125" cy="2276475"/>
        </a:xfrm>
        <a:prstGeom prst="bentConnector3">
          <a:avLst>
            <a:gd name="adj1" fmla="val -189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95251</xdr:colOff>
      <xdr:row>541</xdr:row>
      <xdr:rowOff>180975</xdr:rowOff>
    </xdr:from>
    <xdr:to>
      <xdr:col>12</xdr:col>
      <xdr:colOff>514352</xdr:colOff>
      <xdr:row>562</xdr:row>
      <xdr:rowOff>114300</xdr:rowOff>
    </xdr:to>
    <xdr:cxnSp macro="">
      <xdr:nvCxnSpPr>
        <xdr:cNvPr id="4" name="Conector angular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 rot="5400000">
          <a:off x="10015539" y="103779637"/>
          <a:ext cx="3362325" cy="2324101"/>
        </a:xfrm>
        <a:prstGeom prst="bentConnector3">
          <a:avLst>
            <a:gd name="adj1" fmla="val 99858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114303</xdr:colOff>
      <xdr:row>578</xdr:row>
      <xdr:rowOff>57155</xdr:rowOff>
    </xdr:from>
    <xdr:to>
      <xdr:col>14</xdr:col>
      <xdr:colOff>38100</xdr:colOff>
      <xdr:row>601</xdr:row>
      <xdr:rowOff>104777</xdr:rowOff>
    </xdr:to>
    <xdr:cxnSp macro="">
      <xdr:nvCxnSpPr>
        <xdr:cNvPr id="3" name="Conector angular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 rot="5400000">
          <a:off x="10015541" y="110723367"/>
          <a:ext cx="4429122" cy="3352797"/>
        </a:xfrm>
        <a:prstGeom prst="bentConnector3">
          <a:avLst>
            <a:gd name="adj1" fmla="val 100323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354</xdr:row>
      <xdr:rowOff>57149</xdr:rowOff>
    </xdr:from>
    <xdr:to>
      <xdr:col>9</xdr:col>
      <xdr:colOff>228600</xdr:colOff>
      <xdr:row>364</xdr:row>
      <xdr:rowOff>133348</xdr:rowOff>
    </xdr:to>
    <xdr:cxnSp macro="">
      <xdr:nvCxnSpPr>
        <xdr:cNvPr id="4" name="Conector angular 3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CxnSpPr/>
      </xdr:nvCxnSpPr>
      <xdr:spPr>
        <a:xfrm rot="10800000" flipV="1">
          <a:off x="4467225" y="327907649"/>
          <a:ext cx="3638550" cy="1981199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704850</xdr:colOff>
      <xdr:row>362</xdr:row>
      <xdr:rowOff>28575</xdr:rowOff>
    </xdr:from>
    <xdr:to>
      <xdr:col>8</xdr:col>
      <xdr:colOff>714375</xdr:colOff>
      <xdr:row>364</xdr:row>
      <xdr:rowOff>171450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B00-000005000000}"/>
            </a:ext>
          </a:extLst>
        </xdr:cNvPr>
        <xdr:cNvCxnSpPr/>
      </xdr:nvCxnSpPr>
      <xdr:spPr>
        <a:xfrm>
          <a:off x="7639050" y="329403075"/>
          <a:ext cx="9525" cy="52387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P803"/>
  <sheetViews>
    <sheetView topLeftCell="A744" workbookViewId="0">
      <selection activeCell="C773" sqref="C773"/>
    </sheetView>
  </sheetViews>
  <sheetFormatPr baseColWidth="10" defaultRowHeight="15" x14ac:dyDescent="0.25"/>
  <cols>
    <col min="1" max="1" width="3" customWidth="1"/>
    <col min="2" max="2" width="4.7109375" customWidth="1"/>
    <col min="3" max="3" width="14.140625" style="3" bestFit="1" customWidth="1"/>
    <col min="4" max="4" width="31.140625" bestFit="1" customWidth="1"/>
    <col min="5" max="5" width="15.42578125" bestFit="1" customWidth="1"/>
    <col min="6" max="6" width="25.5703125" customWidth="1"/>
    <col min="7" max="7" width="12.5703125" bestFit="1" customWidth="1"/>
    <col min="8" max="8" width="15.140625" bestFit="1" customWidth="1"/>
    <col min="9" max="10" width="17.42578125" bestFit="1" customWidth="1"/>
    <col min="11" max="11" width="17.140625" customWidth="1"/>
  </cols>
  <sheetData>
    <row r="2" spans="1:14" x14ac:dyDescent="0.25">
      <c r="A2" s="1" t="s">
        <v>0</v>
      </c>
      <c r="B2" s="2"/>
    </row>
    <row r="3" spans="1:14" x14ac:dyDescent="0.25">
      <c r="A3" t="s">
        <v>1</v>
      </c>
      <c r="B3" s="2">
        <v>1</v>
      </c>
      <c r="C3" s="4">
        <f>29726.18*G3</f>
        <v>553501.47160000005</v>
      </c>
      <c r="D3" s="5" t="s">
        <v>2</v>
      </c>
      <c r="E3" s="5" t="s">
        <v>3</v>
      </c>
      <c r="F3" s="5" t="s">
        <v>4</v>
      </c>
      <c r="G3" s="6">
        <v>18.62</v>
      </c>
      <c r="H3" s="5">
        <v>31.96</v>
      </c>
      <c r="I3" s="7">
        <v>43070</v>
      </c>
      <c r="J3" s="5" t="s">
        <v>5</v>
      </c>
      <c r="N3" s="8"/>
    </row>
    <row r="4" spans="1:14" x14ac:dyDescent="0.25">
      <c r="A4" t="s">
        <v>1</v>
      </c>
      <c r="B4" s="2">
        <v>1</v>
      </c>
      <c r="C4" s="9">
        <f>33000*G4</f>
        <v>613998</v>
      </c>
      <c r="D4" s="10" t="s">
        <v>6</v>
      </c>
      <c r="E4" s="10" t="s">
        <v>7</v>
      </c>
      <c r="F4" s="10" t="s">
        <v>8</v>
      </c>
      <c r="G4" s="11">
        <v>18.606000000000002</v>
      </c>
      <c r="H4" s="10">
        <v>34.25</v>
      </c>
      <c r="I4" s="12">
        <v>43070</v>
      </c>
      <c r="J4" s="10" t="s">
        <v>5</v>
      </c>
      <c r="N4" s="8"/>
    </row>
    <row r="5" spans="1:14" x14ac:dyDescent="0.25">
      <c r="A5" t="s">
        <v>1</v>
      </c>
      <c r="B5" s="2">
        <v>1</v>
      </c>
      <c r="G5" s="13"/>
      <c r="N5" s="8"/>
    </row>
    <row r="6" spans="1:14" x14ac:dyDescent="0.25">
      <c r="A6" t="s">
        <v>1</v>
      </c>
      <c r="B6" s="2">
        <v>1</v>
      </c>
      <c r="C6" s="4">
        <v>508036.31</v>
      </c>
      <c r="D6" s="5" t="s">
        <v>9</v>
      </c>
      <c r="E6" s="5" t="s">
        <v>10</v>
      </c>
      <c r="F6" s="5" t="s">
        <v>11</v>
      </c>
      <c r="G6" s="6"/>
      <c r="H6" s="5" t="s">
        <v>12</v>
      </c>
      <c r="I6" s="7">
        <v>43077</v>
      </c>
      <c r="J6" s="5" t="s">
        <v>5</v>
      </c>
      <c r="N6" s="8"/>
    </row>
    <row r="7" spans="1:14" x14ac:dyDescent="0.25">
      <c r="A7" s="14" t="s">
        <v>13</v>
      </c>
      <c r="B7" s="2">
        <v>2</v>
      </c>
    </row>
    <row r="8" spans="1:14" x14ac:dyDescent="0.25">
      <c r="A8" s="14" t="s">
        <v>14</v>
      </c>
      <c r="B8" s="2">
        <v>3</v>
      </c>
    </row>
    <row r="9" spans="1:14" x14ac:dyDescent="0.25">
      <c r="A9" t="s">
        <v>15</v>
      </c>
      <c r="B9" s="2">
        <v>4</v>
      </c>
      <c r="C9" s="9">
        <f>40000*G9</f>
        <v>747400</v>
      </c>
      <c r="D9" s="10" t="s">
        <v>16</v>
      </c>
      <c r="E9" s="10"/>
      <c r="F9" s="10" t="s">
        <v>17</v>
      </c>
      <c r="G9" s="11">
        <v>18.684999999999999</v>
      </c>
      <c r="H9" s="10"/>
      <c r="I9" s="12">
        <v>43073</v>
      </c>
      <c r="J9" s="10" t="s">
        <v>5</v>
      </c>
    </row>
    <row r="10" spans="1:14" x14ac:dyDescent="0.25">
      <c r="A10" t="s">
        <v>15</v>
      </c>
      <c r="B10" s="2">
        <v>4</v>
      </c>
      <c r="C10" s="4">
        <f>31813.65*G10</f>
        <v>593579.0817000001</v>
      </c>
      <c r="D10" s="5" t="s">
        <v>18</v>
      </c>
      <c r="E10" s="5" t="s">
        <v>19</v>
      </c>
      <c r="F10" s="5" t="s">
        <v>20</v>
      </c>
      <c r="G10" s="6">
        <v>18.658000000000001</v>
      </c>
      <c r="H10" s="5">
        <v>33.979999999999997</v>
      </c>
      <c r="I10" s="7">
        <v>43073</v>
      </c>
      <c r="J10" s="5" t="s">
        <v>5</v>
      </c>
    </row>
    <row r="11" spans="1:14" x14ac:dyDescent="0.25">
      <c r="A11" t="s">
        <v>15</v>
      </c>
      <c r="B11" s="2">
        <v>4</v>
      </c>
      <c r="C11" s="4">
        <v>32731.3</v>
      </c>
      <c r="D11" s="5" t="s">
        <v>21</v>
      </c>
      <c r="E11" s="5" t="s">
        <v>22</v>
      </c>
      <c r="F11" s="5" t="s">
        <v>23</v>
      </c>
      <c r="G11" s="6">
        <v>19</v>
      </c>
      <c r="H11" s="7">
        <v>43073</v>
      </c>
      <c r="I11" s="5" t="s">
        <v>5</v>
      </c>
    </row>
    <row r="12" spans="1:14" x14ac:dyDescent="0.25">
      <c r="A12" t="s">
        <v>15</v>
      </c>
      <c r="B12" s="2">
        <v>4</v>
      </c>
      <c r="C12" s="4">
        <f>601750+15080</f>
        <v>616830</v>
      </c>
      <c r="D12" s="5" t="s">
        <v>24</v>
      </c>
      <c r="E12" s="5" t="s">
        <v>25</v>
      </c>
      <c r="F12" s="5" t="s">
        <v>26</v>
      </c>
      <c r="G12" s="7">
        <v>43077</v>
      </c>
      <c r="H12" s="5" t="s">
        <v>27</v>
      </c>
    </row>
    <row r="13" spans="1:14" x14ac:dyDescent="0.25">
      <c r="A13" t="s">
        <v>15</v>
      </c>
      <c r="B13" s="2">
        <v>4</v>
      </c>
      <c r="C13" s="4">
        <f>681250+18774.6</f>
        <v>700024.6</v>
      </c>
      <c r="D13" s="5" t="s">
        <v>28</v>
      </c>
      <c r="E13" s="5" t="s">
        <v>29</v>
      </c>
      <c r="F13" s="5" t="s">
        <v>26</v>
      </c>
      <c r="G13" s="7">
        <v>43080</v>
      </c>
      <c r="H13" s="5" t="s">
        <v>27</v>
      </c>
    </row>
    <row r="14" spans="1:14" x14ac:dyDescent="0.25">
      <c r="A14" t="s">
        <v>15</v>
      </c>
      <c r="B14" s="2">
        <v>4</v>
      </c>
      <c r="C14" s="4">
        <f>552750+15080</f>
        <v>567830</v>
      </c>
      <c r="D14" s="5" t="s">
        <v>30</v>
      </c>
      <c r="E14" s="5" t="s">
        <v>31</v>
      </c>
      <c r="F14" s="5" t="s">
        <v>26</v>
      </c>
      <c r="G14" s="7">
        <v>43080</v>
      </c>
      <c r="H14" s="5" t="s">
        <v>27</v>
      </c>
    </row>
    <row r="15" spans="1:14" x14ac:dyDescent="0.25">
      <c r="A15" t="s">
        <v>15</v>
      </c>
      <c r="B15" s="2">
        <v>4</v>
      </c>
      <c r="C15" s="4">
        <f>589500+15155.4</f>
        <v>604655.4</v>
      </c>
      <c r="D15" s="5" t="s">
        <v>32</v>
      </c>
      <c r="E15" s="5" t="s">
        <v>33</v>
      </c>
      <c r="F15" s="5" t="s">
        <v>26</v>
      </c>
      <c r="G15" s="7">
        <v>43082</v>
      </c>
      <c r="H15" s="5" t="s">
        <v>27</v>
      </c>
    </row>
    <row r="16" spans="1:14" x14ac:dyDescent="0.25">
      <c r="A16" t="s">
        <v>34</v>
      </c>
      <c r="B16" s="2">
        <v>5</v>
      </c>
      <c r="C16" s="4">
        <v>86292.3</v>
      </c>
      <c r="D16" s="5" t="s">
        <v>35</v>
      </c>
      <c r="E16" s="5" t="s">
        <v>36</v>
      </c>
      <c r="F16" s="5" t="s">
        <v>23</v>
      </c>
      <c r="G16" s="5">
        <v>19</v>
      </c>
      <c r="H16" s="7">
        <v>43073</v>
      </c>
      <c r="I16" s="5" t="s">
        <v>5</v>
      </c>
    </row>
    <row r="17" spans="1:10" x14ac:dyDescent="0.25">
      <c r="A17" t="s">
        <v>34</v>
      </c>
      <c r="B17" s="2">
        <v>5</v>
      </c>
      <c r="C17" s="4">
        <f>564750+15080</f>
        <v>579830</v>
      </c>
      <c r="D17" s="5" t="s">
        <v>37</v>
      </c>
      <c r="E17" s="5" t="s">
        <v>38</v>
      </c>
      <c r="F17" s="5" t="s">
        <v>26</v>
      </c>
      <c r="G17" s="7">
        <v>43082</v>
      </c>
      <c r="H17" s="5" t="s">
        <v>27</v>
      </c>
    </row>
    <row r="18" spans="1:10" x14ac:dyDescent="0.25">
      <c r="A18" t="s">
        <v>34</v>
      </c>
      <c r="B18" s="2">
        <v>5</v>
      </c>
      <c r="C18" s="9">
        <f>30000*G18</f>
        <v>564900</v>
      </c>
      <c r="D18" s="10" t="s">
        <v>39</v>
      </c>
      <c r="E18" s="10" t="s">
        <v>40</v>
      </c>
      <c r="F18" s="10" t="s">
        <v>41</v>
      </c>
      <c r="G18" s="10">
        <v>18.829999999999998</v>
      </c>
      <c r="H18" s="10">
        <v>35.07</v>
      </c>
      <c r="I18" s="12">
        <v>43074</v>
      </c>
      <c r="J18" s="10" t="s">
        <v>5</v>
      </c>
    </row>
    <row r="19" spans="1:10" x14ac:dyDescent="0.25">
      <c r="A19" t="s">
        <v>34</v>
      </c>
      <c r="B19" s="2">
        <v>5</v>
      </c>
      <c r="C19" s="9">
        <f>30000*G19</f>
        <v>564900</v>
      </c>
      <c r="D19" s="10" t="s">
        <v>42</v>
      </c>
      <c r="E19" s="10" t="s">
        <v>43</v>
      </c>
      <c r="F19" s="10" t="s">
        <v>41</v>
      </c>
      <c r="G19" s="10">
        <v>18.829999999999998</v>
      </c>
      <c r="H19" s="10">
        <v>35.06</v>
      </c>
      <c r="I19" s="12">
        <v>43074</v>
      </c>
      <c r="J19" s="10" t="s">
        <v>5</v>
      </c>
    </row>
    <row r="20" spans="1:10" x14ac:dyDescent="0.25">
      <c r="A20" t="s">
        <v>44</v>
      </c>
      <c r="B20" s="2">
        <v>6</v>
      </c>
      <c r="C20" s="4">
        <f>555645+15080</f>
        <v>570725</v>
      </c>
      <c r="D20" s="5" t="s">
        <v>45</v>
      </c>
      <c r="E20" s="5" t="s">
        <v>46</v>
      </c>
      <c r="F20" s="5" t="s">
        <v>26</v>
      </c>
      <c r="G20" s="7">
        <v>43082</v>
      </c>
      <c r="H20" s="5" t="s">
        <v>27</v>
      </c>
    </row>
    <row r="21" spans="1:10" x14ac:dyDescent="0.25">
      <c r="A21" t="s">
        <v>44</v>
      </c>
      <c r="B21" s="2">
        <v>6</v>
      </c>
      <c r="C21" s="4">
        <f>28768.97*G21</f>
        <v>537490.66651000001</v>
      </c>
      <c r="D21" s="5" t="s">
        <v>47</v>
      </c>
      <c r="E21" s="5" t="s">
        <v>48</v>
      </c>
      <c r="F21" s="5" t="s">
        <v>49</v>
      </c>
      <c r="G21" s="6">
        <v>18.683</v>
      </c>
      <c r="H21" s="5">
        <v>30.92</v>
      </c>
      <c r="I21" s="7">
        <v>43075</v>
      </c>
      <c r="J21" s="5" t="s">
        <v>5</v>
      </c>
    </row>
    <row r="22" spans="1:10" x14ac:dyDescent="0.25">
      <c r="A22" t="s">
        <v>50</v>
      </c>
      <c r="B22" s="2">
        <v>7</v>
      </c>
      <c r="C22" s="9">
        <f>35000*G22</f>
        <v>661780</v>
      </c>
      <c r="D22" s="10" t="s">
        <v>51</v>
      </c>
      <c r="E22" s="10" t="s">
        <v>52</v>
      </c>
      <c r="F22" s="10" t="s">
        <v>53</v>
      </c>
      <c r="G22" s="11">
        <v>18.908000000000001</v>
      </c>
      <c r="H22" s="10">
        <v>36.119999999999997</v>
      </c>
      <c r="I22" s="12">
        <v>43076</v>
      </c>
      <c r="J22" s="10" t="s">
        <v>5</v>
      </c>
    </row>
    <row r="23" spans="1:10" x14ac:dyDescent="0.25">
      <c r="A23" t="s">
        <v>50</v>
      </c>
      <c r="B23" s="2">
        <v>7</v>
      </c>
      <c r="C23" s="9">
        <f>35000*G23</f>
        <v>661780</v>
      </c>
      <c r="D23" s="10" t="s">
        <v>54</v>
      </c>
      <c r="E23" s="10" t="s">
        <v>55</v>
      </c>
      <c r="F23" s="10" t="s">
        <v>53</v>
      </c>
      <c r="G23" s="11">
        <v>18.908000000000001</v>
      </c>
      <c r="H23" s="10">
        <v>36.090000000000003</v>
      </c>
      <c r="I23" s="12">
        <v>43076</v>
      </c>
      <c r="J23" s="10" t="s">
        <v>5</v>
      </c>
    </row>
    <row r="24" spans="1:10" x14ac:dyDescent="0.25">
      <c r="A24" t="s">
        <v>50</v>
      </c>
      <c r="B24" s="2">
        <v>7</v>
      </c>
      <c r="C24" s="4">
        <f>554497.5+15004.6</f>
        <v>569502.1</v>
      </c>
      <c r="D24" s="5" t="s">
        <v>56</v>
      </c>
      <c r="E24" s="5" t="s">
        <v>57</v>
      </c>
      <c r="F24" s="5" t="s">
        <v>26</v>
      </c>
      <c r="G24" s="7">
        <v>43083</v>
      </c>
      <c r="H24" s="5" t="s">
        <v>27</v>
      </c>
    </row>
    <row r="25" spans="1:10" x14ac:dyDescent="0.25">
      <c r="A25" t="s">
        <v>50</v>
      </c>
      <c r="B25" s="2">
        <v>7</v>
      </c>
      <c r="C25" s="4">
        <f>394867.5+9802</f>
        <v>404669.5</v>
      </c>
      <c r="D25" s="5" t="s">
        <v>58</v>
      </c>
      <c r="E25" s="5" t="s">
        <v>59</v>
      </c>
      <c r="F25" s="5" t="s">
        <v>26</v>
      </c>
      <c r="G25" s="7">
        <v>43083</v>
      </c>
      <c r="H25" s="5" t="s">
        <v>27</v>
      </c>
    </row>
    <row r="26" spans="1:10" x14ac:dyDescent="0.25">
      <c r="A26" t="s">
        <v>1</v>
      </c>
      <c r="B26" s="2">
        <v>8</v>
      </c>
      <c r="C26" s="9">
        <f>35000*G26</f>
        <v>661780</v>
      </c>
      <c r="D26" s="10" t="s">
        <v>60</v>
      </c>
      <c r="E26" s="10" t="s">
        <v>61</v>
      </c>
      <c r="F26" s="10" t="s">
        <v>53</v>
      </c>
      <c r="G26" s="11">
        <v>18.908000000000001</v>
      </c>
      <c r="H26" s="10">
        <v>34.159999999999997</v>
      </c>
      <c r="I26" s="12">
        <v>43077</v>
      </c>
      <c r="J26" s="10" t="s">
        <v>5</v>
      </c>
    </row>
    <row r="27" spans="1:10" x14ac:dyDescent="0.25">
      <c r="A27" t="s">
        <v>1</v>
      </c>
      <c r="B27" s="2">
        <v>8</v>
      </c>
      <c r="C27" s="4">
        <f>282603.96-1488.77</f>
        <v>281115.19</v>
      </c>
      <c r="D27" s="5" t="s">
        <v>62</v>
      </c>
      <c r="E27" s="5" t="s">
        <v>63</v>
      </c>
      <c r="F27" s="5" t="s">
        <v>64</v>
      </c>
      <c r="G27" s="5">
        <v>56.5</v>
      </c>
      <c r="H27" s="7">
        <v>43084</v>
      </c>
      <c r="I27" s="5" t="s">
        <v>5</v>
      </c>
    </row>
    <row r="28" spans="1:10" x14ac:dyDescent="0.25">
      <c r="A28" s="14" t="s">
        <v>13</v>
      </c>
      <c r="B28" s="2">
        <v>9</v>
      </c>
    </row>
    <row r="29" spans="1:10" x14ac:dyDescent="0.25">
      <c r="A29" s="14" t="s">
        <v>14</v>
      </c>
      <c r="B29" s="2">
        <v>10</v>
      </c>
    </row>
    <row r="30" spans="1:10" x14ac:dyDescent="0.25">
      <c r="A30" t="s">
        <v>15</v>
      </c>
      <c r="B30" s="2">
        <v>11</v>
      </c>
      <c r="C30" s="9">
        <f>35000*G30</f>
        <v>663565</v>
      </c>
      <c r="D30" s="10" t="s">
        <v>65</v>
      </c>
      <c r="E30" s="10" t="s">
        <v>66</v>
      </c>
      <c r="F30" s="10" t="s">
        <v>53</v>
      </c>
      <c r="G30" s="11">
        <v>18.959</v>
      </c>
      <c r="H30" s="10">
        <v>34.619999999999997</v>
      </c>
      <c r="I30" s="12">
        <v>43080</v>
      </c>
      <c r="J30" s="10" t="s">
        <v>5</v>
      </c>
    </row>
    <row r="31" spans="1:10" x14ac:dyDescent="0.25">
      <c r="A31" t="s">
        <v>15</v>
      </c>
      <c r="B31" s="2">
        <v>11</v>
      </c>
      <c r="C31" s="9">
        <f>35000*G31</f>
        <v>663705</v>
      </c>
      <c r="D31" s="10" t="s">
        <v>67</v>
      </c>
      <c r="E31" s="10" t="s">
        <v>68</v>
      </c>
      <c r="F31" s="10" t="s">
        <v>53</v>
      </c>
      <c r="G31" s="11">
        <v>18.963000000000001</v>
      </c>
      <c r="H31" s="10">
        <v>34.619999999999997</v>
      </c>
      <c r="I31" s="12">
        <v>43080</v>
      </c>
      <c r="J31" s="10" t="s">
        <v>5</v>
      </c>
    </row>
    <row r="32" spans="1:10" x14ac:dyDescent="0.25">
      <c r="A32" t="s">
        <v>15</v>
      </c>
      <c r="B32" s="2">
        <v>11</v>
      </c>
      <c r="C32" s="4">
        <f>517140+15004.6</f>
        <v>532144.6</v>
      </c>
      <c r="D32" s="5" t="s">
        <v>69</v>
      </c>
      <c r="E32" s="5" t="s">
        <v>70</v>
      </c>
      <c r="F32" s="5" t="s">
        <v>26</v>
      </c>
      <c r="G32" s="7">
        <v>43087</v>
      </c>
      <c r="H32" s="5" t="s">
        <v>27</v>
      </c>
    </row>
    <row r="33" spans="1:10" x14ac:dyDescent="0.25">
      <c r="A33" t="s">
        <v>15</v>
      </c>
      <c r="B33" s="2">
        <v>11</v>
      </c>
      <c r="C33" s="4">
        <f>391950+9802</f>
        <v>401752</v>
      </c>
      <c r="D33" s="5" t="s">
        <v>71</v>
      </c>
      <c r="E33" s="5" t="s">
        <v>72</v>
      </c>
      <c r="F33" s="5" t="s">
        <v>26</v>
      </c>
      <c r="G33" s="7">
        <v>43087</v>
      </c>
      <c r="H33" s="5" t="s">
        <v>27</v>
      </c>
    </row>
    <row r="34" spans="1:10" x14ac:dyDescent="0.25">
      <c r="A34" t="s">
        <v>15</v>
      </c>
      <c r="B34" s="2">
        <v>11</v>
      </c>
      <c r="C34" s="4">
        <f>610350+15834</f>
        <v>626184</v>
      </c>
      <c r="D34" s="5" t="s">
        <v>73</v>
      </c>
      <c r="E34" s="5" t="s">
        <v>74</v>
      </c>
      <c r="F34" s="5" t="s">
        <v>26</v>
      </c>
      <c r="G34" s="7">
        <v>43087</v>
      </c>
      <c r="H34" s="5" t="s">
        <v>27</v>
      </c>
    </row>
    <row r="35" spans="1:10" x14ac:dyDescent="0.25">
      <c r="A35" t="s">
        <v>15</v>
      </c>
      <c r="B35" s="2">
        <v>11</v>
      </c>
      <c r="C35" s="4">
        <f>560170+15080</f>
        <v>575250</v>
      </c>
      <c r="D35" s="5" t="s">
        <v>75</v>
      </c>
      <c r="E35" s="5" t="s">
        <v>76</v>
      </c>
      <c r="F35" s="5" t="s">
        <v>26</v>
      </c>
      <c r="G35" s="7">
        <v>43087</v>
      </c>
      <c r="H35" s="5" t="s">
        <v>27</v>
      </c>
    </row>
    <row r="36" spans="1:10" x14ac:dyDescent="0.25">
      <c r="A36" t="s">
        <v>15</v>
      </c>
      <c r="B36" s="2">
        <v>11</v>
      </c>
      <c r="C36" s="4">
        <f>443300+11310</f>
        <v>454610</v>
      </c>
      <c r="D36" s="5" t="s">
        <v>77</v>
      </c>
      <c r="E36" s="5" t="s">
        <v>78</v>
      </c>
      <c r="F36" s="5" t="s">
        <v>26</v>
      </c>
      <c r="G36" s="7">
        <v>43087</v>
      </c>
      <c r="H36" s="5" t="s">
        <v>27</v>
      </c>
    </row>
    <row r="37" spans="1:10" x14ac:dyDescent="0.25">
      <c r="A37" t="s">
        <v>15</v>
      </c>
      <c r="B37" s="2">
        <v>11</v>
      </c>
      <c r="C37" s="4">
        <v>69133.350000000006</v>
      </c>
      <c r="D37" s="5" t="s">
        <v>79</v>
      </c>
      <c r="E37" s="5" t="s">
        <v>80</v>
      </c>
      <c r="F37" s="5" t="s">
        <v>23</v>
      </c>
      <c r="G37" s="5">
        <v>19.5</v>
      </c>
      <c r="H37" s="7">
        <v>43084</v>
      </c>
      <c r="I37" s="5" t="s">
        <v>5</v>
      </c>
    </row>
    <row r="38" spans="1:10" x14ac:dyDescent="0.25">
      <c r="A38" t="s">
        <v>34</v>
      </c>
      <c r="B38" s="2">
        <v>12</v>
      </c>
      <c r="C38" s="4">
        <f>28973.39*G38</f>
        <v>548118.59201999998</v>
      </c>
      <c r="D38" s="5" t="s">
        <v>81</v>
      </c>
      <c r="E38" s="5" t="s">
        <v>82</v>
      </c>
      <c r="F38" s="5" t="s">
        <v>83</v>
      </c>
      <c r="G38" s="6">
        <v>18.917999999999999</v>
      </c>
      <c r="H38" s="5">
        <v>31.88</v>
      </c>
      <c r="I38" s="7">
        <v>43082</v>
      </c>
      <c r="J38" s="5" t="s">
        <v>5</v>
      </c>
    </row>
    <row r="39" spans="1:10" x14ac:dyDescent="0.25">
      <c r="A39" t="s">
        <v>34</v>
      </c>
      <c r="B39" s="2">
        <v>12</v>
      </c>
      <c r="C39" s="4">
        <f>29833.66*G39</f>
        <v>564393.17987999995</v>
      </c>
      <c r="D39" s="5" t="s">
        <v>84</v>
      </c>
      <c r="E39" s="5" t="s">
        <v>85</v>
      </c>
      <c r="F39" s="5" t="s">
        <v>86</v>
      </c>
      <c r="G39" s="6">
        <v>18.917999999999999</v>
      </c>
      <c r="H39" s="5">
        <v>31.4</v>
      </c>
      <c r="I39" s="7">
        <v>43082</v>
      </c>
      <c r="J39" s="5" t="s">
        <v>5</v>
      </c>
    </row>
    <row r="40" spans="1:10" x14ac:dyDescent="0.25">
      <c r="A40" t="s">
        <v>34</v>
      </c>
      <c r="B40" s="2">
        <v>12</v>
      </c>
      <c r="C40" s="4">
        <f>581490+15080</f>
        <v>596570</v>
      </c>
      <c r="D40" s="5" t="s">
        <v>87</v>
      </c>
      <c r="E40" s="5" t="s">
        <v>88</v>
      </c>
      <c r="F40" s="5" t="s">
        <v>26</v>
      </c>
      <c r="G40" s="7">
        <v>43088</v>
      </c>
      <c r="H40" s="5" t="s">
        <v>27</v>
      </c>
    </row>
    <row r="41" spans="1:10" x14ac:dyDescent="0.25">
      <c r="A41" t="s">
        <v>44</v>
      </c>
      <c r="B41" s="2">
        <v>13</v>
      </c>
      <c r="C41" s="4">
        <f>550670+15080</f>
        <v>565750</v>
      </c>
      <c r="D41" s="5" t="s">
        <v>89</v>
      </c>
      <c r="E41" s="5" t="s">
        <v>90</v>
      </c>
      <c r="F41" s="5" t="s">
        <v>26</v>
      </c>
      <c r="G41" s="7">
        <v>43088</v>
      </c>
      <c r="H41" s="5" t="s">
        <v>27</v>
      </c>
    </row>
    <row r="42" spans="1:10" x14ac:dyDescent="0.25">
      <c r="A42" t="s">
        <v>44</v>
      </c>
      <c r="B42" s="2">
        <v>13</v>
      </c>
      <c r="C42" s="4">
        <f>437382.5+9726.6</f>
        <v>447109.1</v>
      </c>
      <c r="D42" s="5" t="s">
        <v>91</v>
      </c>
      <c r="E42" s="5" t="s">
        <v>92</v>
      </c>
      <c r="F42" s="5" t="s">
        <v>26</v>
      </c>
      <c r="G42" s="7">
        <v>43088</v>
      </c>
      <c r="H42" s="5" t="s">
        <v>27</v>
      </c>
    </row>
    <row r="43" spans="1:10" x14ac:dyDescent="0.25">
      <c r="A43" t="s">
        <v>34</v>
      </c>
      <c r="B43" s="2">
        <v>14</v>
      </c>
      <c r="C43" s="4">
        <f>590420+15080</f>
        <v>605500</v>
      </c>
      <c r="D43" s="5" t="s">
        <v>93</v>
      </c>
      <c r="E43" s="5" t="s">
        <v>94</v>
      </c>
      <c r="F43" s="5" t="s">
        <v>26</v>
      </c>
      <c r="G43" s="7">
        <v>43089</v>
      </c>
      <c r="H43" s="5" t="s">
        <v>27</v>
      </c>
    </row>
    <row r="44" spans="1:10" x14ac:dyDescent="0.25">
      <c r="A44" t="s">
        <v>1</v>
      </c>
      <c r="B44" s="2">
        <v>14</v>
      </c>
      <c r="C44" s="4">
        <f>431817.5+9802</f>
        <v>441619.5</v>
      </c>
      <c r="D44" s="5" t="s">
        <v>95</v>
      </c>
      <c r="E44" s="5" t="s">
        <v>96</v>
      </c>
      <c r="F44" s="5" t="s">
        <v>26</v>
      </c>
      <c r="G44" s="7">
        <v>43090</v>
      </c>
      <c r="H44" s="5" t="s">
        <v>27</v>
      </c>
    </row>
    <row r="45" spans="1:10" x14ac:dyDescent="0.25">
      <c r="A45" t="s">
        <v>50</v>
      </c>
      <c r="B45" s="2">
        <v>14</v>
      </c>
      <c r="C45" s="9">
        <f>32000*G45</f>
        <v>616000</v>
      </c>
      <c r="D45" s="10" t="s">
        <v>97</v>
      </c>
      <c r="E45" s="10" t="s">
        <v>98</v>
      </c>
      <c r="F45" s="10" t="s">
        <v>99</v>
      </c>
      <c r="G45" s="11">
        <v>19.25</v>
      </c>
      <c r="H45" s="10">
        <v>30.48</v>
      </c>
      <c r="I45" s="12">
        <v>43083</v>
      </c>
      <c r="J45" s="10" t="s">
        <v>5</v>
      </c>
    </row>
    <row r="46" spans="1:10" x14ac:dyDescent="0.25">
      <c r="A46" t="s">
        <v>50</v>
      </c>
      <c r="B46" s="2">
        <v>14</v>
      </c>
      <c r="C46" s="9">
        <f>32000*G46</f>
        <v>616000</v>
      </c>
      <c r="D46" s="10" t="s">
        <v>100</v>
      </c>
      <c r="E46" s="10" t="s">
        <v>101</v>
      </c>
      <c r="F46" s="10" t="s">
        <v>99</v>
      </c>
      <c r="G46" s="11">
        <v>19.25</v>
      </c>
      <c r="H46" s="10">
        <v>30.53</v>
      </c>
      <c r="I46" s="12">
        <v>43083</v>
      </c>
      <c r="J46" s="10" t="s">
        <v>5</v>
      </c>
    </row>
    <row r="47" spans="1:10" x14ac:dyDescent="0.25">
      <c r="A47" t="s">
        <v>1</v>
      </c>
      <c r="B47" s="2">
        <v>15</v>
      </c>
      <c r="C47" s="9">
        <f>30000*G47</f>
        <v>575700</v>
      </c>
      <c r="D47" s="10" t="s">
        <v>102</v>
      </c>
      <c r="E47" s="10" t="s">
        <v>103</v>
      </c>
      <c r="F47" s="10" t="s">
        <v>41</v>
      </c>
      <c r="G47" s="11">
        <v>19.190000000000001</v>
      </c>
      <c r="H47" s="10">
        <v>28.86</v>
      </c>
      <c r="I47" s="12">
        <v>43084</v>
      </c>
      <c r="J47" s="10" t="s">
        <v>5</v>
      </c>
    </row>
    <row r="48" spans="1:10" x14ac:dyDescent="0.25">
      <c r="A48" t="s">
        <v>1</v>
      </c>
      <c r="B48" s="2">
        <v>15</v>
      </c>
      <c r="C48" s="9">
        <f>32000*G48</f>
        <v>615136</v>
      </c>
      <c r="D48" s="10" t="s">
        <v>104</v>
      </c>
      <c r="E48" s="10" t="s">
        <v>105</v>
      </c>
      <c r="F48" s="10" t="s">
        <v>99</v>
      </c>
      <c r="G48" s="11">
        <v>19.222999999999999</v>
      </c>
      <c r="H48" s="10">
        <v>29.98</v>
      </c>
      <c r="I48" s="12">
        <v>43084</v>
      </c>
      <c r="J48" s="10" t="s">
        <v>5</v>
      </c>
    </row>
    <row r="49" spans="1:11" x14ac:dyDescent="0.25">
      <c r="A49" t="s">
        <v>1</v>
      </c>
      <c r="B49" s="2">
        <v>15</v>
      </c>
      <c r="C49" s="4">
        <f>29604*G49</f>
        <v>569877</v>
      </c>
      <c r="D49" s="5" t="s">
        <v>106</v>
      </c>
      <c r="E49" s="5" t="s">
        <v>107</v>
      </c>
      <c r="F49" s="5" t="s">
        <v>108</v>
      </c>
      <c r="G49" s="6">
        <v>19.25</v>
      </c>
      <c r="H49" s="5"/>
      <c r="I49" s="7">
        <v>43084</v>
      </c>
      <c r="J49" s="5" t="s">
        <v>5</v>
      </c>
      <c r="K49" t="s">
        <v>109</v>
      </c>
    </row>
    <row r="50" spans="1:11" x14ac:dyDescent="0.25">
      <c r="A50" s="14" t="s">
        <v>13</v>
      </c>
      <c r="B50" s="2">
        <v>16</v>
      </c>
    </row>
    <row r="51" spans="1:11" x14ac:dyDescent="0.25">
      <c r="A51" s="14" t="s">
        <v>14</v>
      </c>
      <c r="B51" s="2">
        <v>17</v>
      </c>
    </row>
    <row r="52" spans="1:11" x14ac:dyDescent="0.25">
      <c r="A52" t="s">
        <v>15</v>
      </c>
      <c r="B52" s="2">
        <v>18</v>
      </c>
      <c r="C52" s="9">
        <f>25000*G52</f>
        <v>496500</v>
      </c>
      <c r="D52" s="10" t="s">
        <v>110</v>
      </c>
      <c r="E52" s="10"/>
      <c r="F52" s="10" t="s">
        <v>111</v>
      </c>
      <c r="G52" s="11">
        <v>19.86</v>
      </c>
      <c r="H52" s="10"/>
      <c r="I52" s="12">
        <v>43087</v>
      </c>
      <c r="J52" s="10" t="s">
        <v>5</v>
      </c>
    </row>
    <row r="53" spans="1:11" x14ac:dyDescent="0.25">
      <c r="A53" t="s">
        <v>15</v>
      </c>
      <c r="B53" s="2">
        <v>18</v>
      </c>
      <c r="C53" s="9">
        <f>25000*G53</f>
        <v>477149.99999999994</v>
      </c>
      <c r="D53" s="10" t="s">
        <v>112</v>
      </c>
      <c r="E53" s="10"/>
      <c r="F53" s="10" t="s">
        <v>111</v>
      </c>
      <c r="G53" s="11">
        <v>19.085999999999999</v>
      </c>
      <c r="H53" s="10"/>
      <c r="I53" s="12">
        <v>43087</v>
      </c>
      <c r="J53" s="10" t="s">
        <v>5</v>
      </c>
    </row>
    <row r="54" spans="1:11" x14ac:dyDescent="0.25">
      <c r="A54" t="s">
        <v>15</v>
      </c>
      <c r="B54" s="2">
        <v>18</v>
      </c>
      <c r="C54" s="4">
        <f>32028.38*G54</f>
        <v>611293.66067999997</v>
      </c>
      <c r="D54" s="5" t="s">
        <v>113</v>
      </c>
      <c r="E54" s="5" t="s">
        <v>114</v>
      </c>
      <c r="F54" s="5" t="s">
        <v>115</v>
      </c>
      <c r="G54" s="6">
        <v>19.085999999999999</v>
      </c>
      <c r="H54" s="5">
        <v>35.08</v>
      </c>
      <c r="I54" s="7">
        <v>43087</v>
      </c>
      <c r="J54" s="5" t="s">
        <v>5</v>
      </c>
    </row>
    <row r="55" spans="1:11" x14ac:dyDescent="0.25">
      <c r="A55" t="s">
        <v>15</v>
      </c>
      <c r="B55" s="2">
        <v>18</v>
      </c>
      <c r="C55" s="4">
        <v>53529.45</v>
      </c>
      <c r="D55" s="5" t="s">
        <v>116</v>
      </c>
      <c r="E55" s="5" t="s">
        <v>117</v>
      </c>
      <c r="F55" s="5" t="s">
        <v>23</v>
      </c>
      <c r="G55" s="5">
        <v>19.5</v>
      </c>
      <c r="H55" s="7">
        <v>43088</v>
      </c>
      <c r="I55" s="5" t="s">
        <v>5</v>
      </c>
    </row>
    <row r="56" spans="1:11" x14ac:dyDescent="0.25">
      <c r="A56" t="s">
        <v>15</v>
      </c>
      <c r="B56" s="2">
        <v>18</v>
      </c>
      <c r="C56" s="4">
        <v>518296.82</v>
      </c>
      <c r="D56" s="5" t="s">
        <v>118</v>
      </c>
      <c r="E56" s="5" t="s">
        <v>119</v>
      </c>
      <c r="F56" s="5" t="s">
        <v>120</v>
      </c>
      <c r="G56" s="5" t="s">
        <v>121</v>
      </c>
      <c r="H56" s="7">
        <v>43088</v>
      </c>
      <c r="I56" s="5" t="s">
        <v>5</v>
      </c>
    </row>
    <row r="57" spans="1:11" x14ac:dyDescent="0.25">
      <c r="A57" t="s">
        <v>15</v>
      </c>
      <c r="B57" s="2">
        <v>18</v>
      </c>
      <c r="C57" s="4">
        <f>804465+18699.2</f>
        <v>823164.2</v>
      </c>
      <c r="D57" s="5" t="s">
        <v>122</v>
      </c>
      <c r="E57" s="5" t="s">
        <v>123</v>
      </c>
      <c r="F57" s="5" t="s">
        <v>26</v>
      </c>
      <c r="G57" s="7">
        <v>43090</v>
      </c>
      <c r="H57" s="5" t="s">
        <v>27</v>
      </c>
    </row>
    <row r="58" spans="1:11" x14ac:dyDescent="0.25">
      <c r="A58" t="s">
        <v>15</v>
      </c>
      <c r="B58" s="2">
        <v>18</v>
      </c>
      <c r="C58" s="4">
        <f>631395+15080</f>
        <v>646475</v>
      </c>
      <c r="D58" s="5" t="s">
        <v>124</v>
      </c>
      <c r="E58" s="5" t="s">
        <v>125</v>
      </c>
      <c r="F58" s="5" t="s">
        <v>26</v>
      </c>
      <c r="G58" s="7">
        <v>43091</v>
      </c>
      <c r="H58" s="5" t="s">
        <v>27</v>
      </c>
    </row>
    <row r="59" spans="1:11" x14ac:dyDescent="0.25">
      <c r="A59" t="s">
        <v>15</v>
      </c>
      <c r="B59" s="2">
        <v>18</v>
      </c>
      <c r="C59" s="4">
        <f>325620+7540</f>
        <v>333160</v>
      </c>
      <c r="D59" s="5" t="s">
        <v>126</v>
      </c>
      <c r="E59" s="5" t="s">
        <v>127</v>
      </c>
      <c r="F59" s="5" t="s">
        <v>26</v>
      </c>
      <c r="G59" s="7">
        <v>43091</v>
      </c>
      <c r="H59" s="5" t="s">
        <v>27</v>
      </c>
    </row>
    <row r="60" spans="1:11" x14ac:dyDescent="0.25">
      <c r="A60" t="s">
        <v>15</v>
      </c>
      <c r="B60" s="2">
        <v>18</v>
      </c>
      <c r="C60" s="4">
        <f>697545+17342</f>
        <v>714887</v>
      </c>
      <c r="D60" s="5" t="s">
        <v>128</v>
      </c>
      <c r="E60" s="5" t="s">
        <v>129</v>
      </c>
      <c r="F60" s="5" t="s">
        <v>26</v>
      </c>
      <c r="G60" s="7">
        <v>43095</v>
      </c>
      <c r="H60" s="5" t="s">
        <v>27</v>
      </c>
    </row>
    <row r="61" spans="1:11" x14ac:dyDescent="0.25">
      <c r="A61" t="s">
        <v>15</v>
      </c>
      <c r="B61" s="2">
        <v>18</v>
      </c>
      <c r="C61" s="4">
        <f>728730+17342</f>
        <v>746072</v>
      </c>
      <c r="D61" s="5" t="s">
        <v>130</v>
      </c>
      <c r="E61" s="5" t="s">
        <v>131</v>
      </c>
      <c r="F61" s="5" t="s">
        <v>26</v>
      </c>
      <c r="G61" s="7">
        <v>43095</v>
      </c>
      <c r="H61" s="5" t="s">
        <v>27</v>
      </c>
    </row>
    <row r="62" spans="1:11" x14ac:dyDescent="0.25">
      <c r="A62" t="s">
        <v>15</v>
      </c>
      <c r="B62" s="2">
        <v>18</v>
      </c>
      <c r="C62" s="4">
        <f>323190+7540</f>
        <v>330730</v>
      </c>
      <c r="D62" s="5" t="s">
        <v>132</v>
      </c>
      <c r="E62" s="5" t="s">
        <v>133</v>
      </c>
      <c r="F62" s="5" t="s">
        <v>26</v>
      </c>
      <c r="G62" s="7">
        <v>43095</v>
      </c>
      <c r="H62" s="5" t="s">
        <v>27</v>
      </c>
    </row>
    <row r="63" spans="1:11" x14ac:dyDescent="0.25">
      <c r="A63" t="s">
        <v>34</v>
      </c>
      <c r="B63" s="2">
        <v>19</v>
      </c>
      <c r="C63" s="4">
        <f>31595.71*G63</f>
        <v>603035.72105999989</v>
      </c>
      <c r="D63" s="5" t="s">
        <v>134</v>
      </c>
      <c r="E63" s="5" t="s">
        <v>135</v>
      </c>
      <c r="F63" s="5" t="s">
        <v>136</v>
      </c>
      <c r="G63" s="6">
        <v>19.085999999999999</v>
      </c>
      <c r="H63" s="5">
        <v>34.21</v>
      </c>
      <c r="I63" s="7">
        <v>43088</v>
      </c>
      <c r="J63" s="5" t="s">
        <v>5</v>
      </c>
    </row>
    <row r="64" spans="1:11" x14ac:dyDescent="0.25">
      <c r="A64" t="s">
        <v>34</v>
      </c>
      <c r="B64" s="2">
        <v>19</v>
      </c>
      <c r="C64" s="4">
        <f>722115+17342</f>
        <v>739457</v>
      </c>
      <c r="D64" s="5" t="s">
        <v>137</v>
      </c>
      <c r="E64" s="5" t="s">
        <v>138</v>
      </c>
      <c r="F64" s="5" t="s">
        <v>26</v>
      </c>
      <c r="G64" s="7">
        <v>43095</v>
      </c>
      <c r="H64" s="5" t="s">
        <v>27</v>
      </c>
    </row>
    <row r="65" spans="1:14" x14ac:dyDescent="0.25">
      <c r="A65" t="s">
        <v>34</v>
      </c>
      <c r="B65" s="2">
        <v>19</v>
      </c>
      <c r="C65" s="4">
        <f>299295+7540</f>
        <v>306835</v>
      </c>
      <c r="D65" s="5" t="s">
        <v>139</v>
      </c>
      <c r="E65" s="5" t="s">
        <v>140</v>
      </c>
      <c r="F65" s="5" t="s">
        <v>26</v>
      </c>
      <c r="G65" s="7">
        <v>43095</v>
      </c>
      <c r="H65" s="5" t="s">
        <v>27</v>
      </c>
    </row>
    <row r="66" spans="1:14" x14ac:dyDescent="0.25">
      <c r="A66" t="s">
        <v>44</v>
      </c>
      <c r="B66" s="2">
        <v>20</v>
      </c>
      <c r="C66" s="9">
        <f>25000*G66</f>
        <v>476000</v>
      </c>
      <c r="D66" s="10" t="s">
        <v>141</v>
      </c>
      <c r="E66" s="10" t="s">
        <v>142</v>
      </c>
      <c r="F66" s="10" t="s">
        <v>111</v>
      </c>
      <c r="G66" s="11">
        <v>19.04</v>
      </c>
      <c r="H66" s="10">
        <v>29.32</v>
      </c>
      <c r="I66" s="12">
        <v>43089</v>
      </c>
      <c r="J66" s="10" t="s">
        <v>5</v>
      </c>
    </row>
    <row r="67" spans="1:14" x14ac:dyDescent="0.25">
      <c r="A67" t="s">
        <v>44</v>
      </c>
      <c r="B67" s="2">
        <v>20</v>
      </c>
      <c r="C67" s="9">
        <f>25000*G67</f>
        <v>481125</v>
      </c>
      <c r="D67" s="10" t="s">
        <v>143</v>
      </c>
      <c r="E67" s="10" t="s">
        <v>144</v>
      </c>
      <c r="F67" s="10" t="s">
        <v>111</v>
      </c>
      <c r="G67" s="11">
        <v>19.245000000000001</v>
      </c>
      <c r="H67" s="10">
        <v>29.62</v>
      </c>
      <c r="I67" s="12">
        <v>43089</v>
      </c>
      <c r="J67" s="10" t="s">
        <v>5</v>
      </c>
    </row>
    <row r="68" spans="1:14" x14ac:dyDescent="0.25">
      <c r="A68" t="s">
        <v>44</v>
      </c>
      <c r="B68" s="2">
        <v>20</v>
      </c>
      <c r="C68" s="4">
        <f>757762.5+18850</f>
        <v>776612.5</v>
      </c>
      <c r="D68" s="5" t="s">
        <v>145</v>
      </c>
      <c r="E68" s="5" t="s">
        <v>146</v>
      </c>
      <c r="F68" s="5" t="s">
        <v>26</v>
      </c>
      <c r="G68" s="7">
        <v>43095</v>
      </c>
      <c r="H68" s="5" t="s">
        <v>27</v>
      </c>
    </row>
    <row r="69" spans="1:14" x14ac:dyDescent="0.25">
      <c r="A69" t="s">
        <v>44</v>
      </c>
      <c r="B69" s="2">
        <v>20</v>
      </c>
      <c r="C69" s="4">
        <f>469562.5+9802</f>
        <v>479364.5</v>
      </c>
      <c r="D69" s="5" t="s">
        <v>147</v>
      </c>
      <c r="E69" s="5" t="s">
        <v>148</v>
      </c>
      <c r="F69" s="5" t="s">
        <v>26</v>
      </c>
      <c r="G69" s="7">
        <v>43097</v>
      </c>
      <c r="H69" s="5" t="s">
        <v>27</v>
      </c>
    </row>
    <row r="70" spans="1:14" x14ac:dyDescent="0.25">
      <c r="A70" t="s">
        <v>50</v>
      </c>
      <c r="B70" s="2">
        <v>21</v>
      </c>
      <c r="C70" s="9">
        <f>25000*G70</f>
        <v>481700</v>
      </c>
      <c r="D70" s="10" t="s">
        <v>149</v>
      </c>
      <c r="E70" s="10" t="s">
        <v>150</v>
      </c>
      <c r="F70" s="10" t="s">
        <v>111</v>
      </c>
      <c r="G70" s="11">
        <v>19.268000000000001</v>
      </c>
      <c r="H70" s="10">
        <v>30.04</v>
      </c>
      <c r="I70" s="12">
        <v>43090</v>
      </c>
      <c r="J70" s="10" t="s">
        <v>5</v>
      </c>
    </row>
    <row r="71" spans="1:14" x14ac:dyDescent="0.25">
      <c r="A71" t="s">
        <v>50</v>
      </c>
      <c r="B71" s="2">
        <v>21</v>
      </c>
      <c r="C71" s="4">
        <f>27886.77*G71</f>
        <v>535927.94585999998</v>
      </c>
      <c r="D71" s="5" t="s">
        <v>151</v>
      </c>
      <c r="E71" s="5" t="s">
        <v>152</v>
      </c>
      <c r="F71" s="5" t="s">
        <v>153</v>
      </c>
      <c r="G71" s="6">
        <v>19.218</v>
      </c>
      <c r="H71" s="5">
        <v>30.71</v>
      </c>
      <c r="I71" s="7">
        <v>43090</v>
      </c>
      <c r="J71" s="5" t="s">
        <v>5</v>
      </c>
    </row>
    <row r="72" spans="1:14" x14ac:dyDescent="0.25">
      <c r="A72" t="s">
        <v>50</v>
      </c>
      <c r="B72" s="2">
        <v>21</v>
      </c>
      <c r="C72" s="4">
        <f>780450+18623</f>
        <v>799073</v>
      </c>
      <c r="D72" s="5" t="s">
        <v>154</v>
      </c>
      <c r="E72" s="5" t="s">
        <v>155</v>
      </c>
      <c r="F72" s="5" t="s">
        <v>26</v>
      </c>
      <c r="G72" s="7">
        <v>43096</v>
      </c>
      <c r="H72" s="5" t="s">
        <v>27</v>
      </c>
    </row>
    <row r="73" spans="1:14" x14ac:dyDescent="0.25">
      <c r="A73" t="s">
        <v>50</v>
      </c>
      <c r="B73" s="2">
        <v>21</v>
      </c>
      <c r="C73" s="4">
        <f>413600+9802</f>
        <v>423402</v>
      </c>
      <c r="D73" s="5" t="s">
        <v>156</v>
      </c>
      <c r="E73" s="5" t="s">
        <v>157</v>
      </c>
      <c r="F73" s="5" t="s">
        <v>26</v>
      </c>
      <c r="G73" s="7">
        <v>43097</v>
      </c>
      <c r="H73" s="5" t="s">
        <v>27</v>
      </c>
    </row>
    <row r="74" spans="1:14" x14ac:dyDescent="0.25">
      <c r="A74" t="s">
        <v>1</v>
      </c>
      <c r="B74" s="2">
        <v>22</v>
      </c>
      <c r="C74" s="9">
        <f>25000*G74</f>
        <v>480450</v>
      </c>
      <c r="D74" s="10" t="s">
        <v>158</v>
      </c>
      <c r="E74" s="10" t="s">
        <v>159</v>
      </c>
      <c r="F74" s="10" t="s">
        <v>111</v>
      </c>
      <c r="G74" s="11">
        <v>19.218</v>
      </c>
      <c r="H74" s="10">
        <v>26.69</v>
      </c>
      <c r="I74" s="12">
        <v>43091</v>
      </c>
      <c r="J74" s="10" t="s">
        <v>5</v>
      </c>
    </row>
    <row r="75" spans="1:14" x14ac:dyDescent="0.25">
      <c r="A75" t="s">
        <v>1</v>
      </c>
      <c r="B75" s="2">
        <v>22</v>
      </c>
      <c r="C75" s="4">
        <f>32350.42*G75</f>
        <v>623230.84129999997</v>
      </c>
      <c r="D75" s="5" t="s">
        <v>160</v>
      </c>
      <c r="E75" s="5" t="s">
        <v>161</v>
      </c>
      <c r="F75" s="5" t="s">
        <v>162</v>
      </c>
      <c r="G75" s="6">
        <v>19.265000000000001</v>
      </c>
      <c r="H75" s="5">
        <v>35.76</v>
      </c>
      <c r="I75" s="7">
        <v>43091</v>
      </c>
      <c r="J75" s="5" t="s">
        <v>5</v>
      </c>
      <c r="K75" s="15" t="s">
        <v>163</v>
      </c>
      <c r="L75" s="15"/>
      <c r="M75" s="15"/>
      <c r="N75" t="s">
        <v>164</v>
      </c>
    </row>
    <row r="76" spans="1:14" x14ac:dyDescent="0.25">
      <c r="A76" t="s">
        <v>1</v>
      </c>
      <c r="B76" s="2">
        <v>22</v>
      </c>
      <c r="C76" s="4">
        <f>32219.47*G76</f>
        <v>620804.74796000007</v>
      </c>
      <c r="D76" s="5" t="s">
        <v>165</v>
      </c>
      <c r="E76" s="5" t="s">
        <v>166</v>
      </c>
      <c r="F76" s="5" t="s">
        <v>167</v>
      </c>
      <c r="G76" s="6">
        <v>19.268000000000001</v>
      </c>
      <c r="H76" s="5">
        <v>36.42</v>
      </c>
      <c r="I76" s="7">
        <v>43091</v>
      </c>
      <c r="J76" s="5" t="s">
        <v>5</v>
      </c>
    </row>
    <row r="77" spans="1:14" x14ac:dyDescent="0.25">
      <c r="A77" s="14" t="s">
        <v>13</v>
      </c>
      <c r="B77" s="2">
        <v>23</v>
      </c>
    </row>
    <row r="78" spans="1:14" x14ac:dyDescent="0.25">
      <c r="A78" s="14" t="s">
        <v>14</v>
      </c>
      <c r="B78" s="2">
        <v>24</v>
      </c>
    </row>
    <row r="79" spans="1:14" x14ac:dyDescent="0.25">
      <c r="A79" t="s">
        <v>15</v>
      </c>
      <c r="B79" s="2">
        <v>25</v>
      </c>
      <c r="C79" s="4">
        <f>710187.5+18850</f>
        <v>729037.5</v>
      </c>
      <c r="D79" s="5" t="s">
        <v>168</v>
      </c>
      <c r="E79" s="5" t="s">
        <v>169</v>
      </c>
      <c r="F79" s="5" t="s">
        <v>26</v>
      </c>
      <c r="G79" s="7">
        <v>43098</v>
      </c>
      <c r="H79" s="5" t="s">
        <v>27</v>
      </c>
    </row>
    <row r="80" spans="1:14" x14ac:dyDescent="0.25">
      <c r="A80" t="s">
        <v>15</v>
      </c>
      <c r="B80" s="2">
        <v>25</v>
      </c>
      <c r="C80" s="4">
        <f>371250+9802</f>
        <v>381052</v>
      </c>
      <c r="D80" s="5" t="s">
        <v>170</v>
      </c>
      <c r="E80" s="5" t="s">
        <v>171</v>
      </c>
      <c r="F80" s="5" t="s">
        <v>26</v>
      </c>
      <c r="G80" s="7">
        <v>43098</v>
      </c>
      <c r="H80" s="5" t="s">
        <v>27</v>
      </c>
    </row>
    <row r="81" spans="1:11" x14ac:dyDescent="0.25">
      <c r="A81" t="s">
        <v>15</v>
      </c>
      <c r="B81" s="2">
        <v>25</v>
      </c>
      <c r="C81" s="4">
        <f>838062.5+17266.6</f>
        <v>855329.1</v>
      </c>
      <c r="D81" s="5" t="s">
        <v>172</v>
      </c>
      <c r="E81" s="5" t="s">
        <v>173</v>
      </c>
      <c r="F81" s="5" t="s">
        <v>26</v>
      </c>
      <c r="G81" s="7">
        <v>43098</v>
      </c>
      <c r="H81" s="5" t="s">
        <v>27</v>
      </c>
    </row>
    <row r="82" spans="1:11" x14ac:dyDescent="0.25">
      <c r="A82" t="s">
        <v>15</v>
      </c>
      <c r="B82" s="2">
        <v>25</v>
      </c>
      <c r="C82" s="4">
        <f>714980+17342</f>
        <v>732322</v>
      </c>
      <c r="D82" s="5" t="s">
        <v>174</v>
      </c>
      <c r="E82" s="5" t="s">
        <v>175</v>
      </c>
      <c r="F82" s="5" t="s">
        <v>26</v>
      </c>
      <c r="G82" s="7">
        <v>43098</v>
      </c>
      <c r="H82" s="5" t="s">
        <v>27</v>
      </c>
    </row>
    <row r="83" spans="1:11" x14ac:dyDescent="0.25">
      <c r="A83" t="s">
        <v>15</v>
      </c>
      <c r="B83" s="2">
        <v>25</v>
      </c>
      <c r="C83" s="4">
        <f>311920+7540</f>
        <v>319460</v>
      </c>
      <c r="D83" s="5" t="s">
        <v>176</v>
      </c>
      <c r="E83" s="5" t="s">
        <v>177</v>
      </c>
      <c r="F83" s="5" t="s">
        <v>26</v>
      </c>
      <c r="G83" s="7">
        <v>43098</v>
      </c>
      <c r="H83" s="5" t="s">
        <v>27</v>
      </c>
    </row>
    <row r="84" spans="1:11" x14ac:dyDescent="0.25">
      <c r="A84" t="s">
        <v>15</v>
      </c>
      <c r="B84" s="2">
        <v>25</v>
      </c>
      <c r="C84" s="4">
        <f>87220+2262</f>
        <v>89482</v>
      </c>
      <c r="D84" s="5" t="s">
        <v>178</v>
      </c>
      <c r="E84" s="5" t="s">
        <v>179</v>
      </c>
      <c r="F84" s="5" t="s">
        <v>26</v>
      </c>
      <c r="G84" s="7">
        <v>43098</v>
      </c>
      <c r="H84" s="5" t="s">
        <v>27</v>
      </c>
    </row>
    <row r="85" spans="1:11" x14ac:dyDescent="0.25">
      <c r="A85" t="s">
        <v>34</v>
      </c>
      <c r="B85" s="2">
        <v>26</v>
      </c>
      <c r="C85" s="4">
        <f>668610+17342</f>
        <v>685952</v>
      </c>
      <c r="D85" s="5" t="s">
        <v>180</v>
      </c>
      <c r="E85" s="5" t="s">
        <v>181</v>
      </c>
      <c r="F85" s="5" t="s">
        <v>26</v>
      </c>
      <c r="G85" s="7">
        <v>43102</v>
      </c>
      <c r="H85" s="5" t="s">
        <v>27</v>
      </c>
    </row>
    <row r="86" spans="1:11" x14ac:dyDescent="0.25">
      <c r="A86" t="s">
        <v>34</v>
      </c>
      <c r="B86" s="2">
        <v>26</v>
      </c>
      <c r="C86" s="4">
        <f>389310+9802</f>
        <v>399112</v>
      </c>
      <c r="D86" s="5" t="s">
        <v>182</v>
      </c>
      <c r="E86" s="5" t="s">
        <v>183</v>
      </c>
      <c r="F86" s="5" t="s">
        <v>26</v>
      </c>
      <c r="G86" s="7">
        <v>43098</v>
      </c>
      <c r="H86" s="5" t="s">
        <v>27</v>
      </c>
    </row>
    <row r="87" spans="1:11" x14ac:dyDescent="0.25">
      <c r="A87" t="s">
        <v>34</v>
      </c>
      <c r="B87" s="2">
        <v>26</v>
      </c>
      <c r="C87" s="4">
        <f>33030.39*G87</f>
        <v>648716.85959999997</v>
      </c>
      <c r="D87" s="5" t="s">
        <v>184</v>
      </c>
      <c r="E87" s="5" t="s">
        <v>185</v>
      </c>
      <c r="F87" s="5" t="s">
        <v>186</v>
      </c>
      <c r="G87" s="6">
        <v>19.64</v>
      </c>
      <c r="H87" s="5">
        <v>37.04</v>
      </c>
      <c r="I87" s="7">
        <v>43095</v>
      </c>
      <c r="J87" s="5" t="s">
        <v>5</v>
      </c>
    </row>
    <row r="88" spans="1:11" x14ac:dyDescent="0.25">
      <c r="A88" t="s">
        <v>34</v>
      </c>
      <c r="B88" s="2">
        <v>26</v>
      </c>
      <c r="C88" s="4">
        <f>32619.32*G88</f>
        <v>640643.44480000006</v>
      </c>
      <c r="D88" s="5" t="s">
        <v>187</v>
      </c>
      <c r="E88" s="5" t="s">
        <v>188</v>
      </c>
      <c r="F88" s="5" t="s">
        <v>189</v>
      </c>
      <c r="G88" s="6">
        <v>19.64</v>
      </c>
      <c r="H88" s="5">
        <v>37.049999999999997</v>
      </c>
      <c r="I88" s="7">
        <v>43095</v>
      </c>
      <c r="J88" s="5" t="s">
        <v>5</v>
      </c>
    </row>
    <row r="89" spans="1:11" x14ac:dyDescent="0.25">
      <c r="A89" t="s">
        <v>34</v>
      </c>
      <c r="B89" s="2">
        <v>26</v>
      </c>
      <c r="C89" s="9">
        <f>20000*G89</f>
        <v>392800</v>
      </c>
      <c r="D89" s="10" t="s">
        <v>190</v>
      </c>
      <c r="E89" s="10" t="s">
        <v>1104</v>
      </c>
      <c r="F89" s="10" t="s">
        <v>191</v>
      </c>
      <c r="G89" s="11">
        <v>19.64</v>
      </c>
      <c r="H89" s="10">
        <v>31.64</v>
      </c>
      <c r="I89" s="12">
        <v>43094</v>
      </c>
      <c r="J89" s="10" t="s">
        <v>5</v>
      </c>
      <c r="K89" t="s">
        <v>192</v>
      </c>
    </row>
    <row r="90" spans="1:11" x14ac:dyDescent="0.25">
      <c r="A90" t="s">
        <v>44</v>
      </c>
      <c r="B90" s="2">
        <v>27</v>
      </c>
      <c r="C90" s="9">
        <f>25000*G90</f>
        <v>494175</v>
      </c>
      <c r="D90" s="10" t="s">
        <v>193</v>
      </c>
      <c r="E90" s="10" t="s">
        <v>1027</v>
      </c>
      <c r="F90" s="10" t="s">
        <v>111</v>
      </c>
      <c r="G90" s="11">
        <v>19.766999999999999</v>
      </c>
      <c r="H90" s="10">
        <v>31.18</v>
      </c>
      <c r="I90" s="12">
        <v>43096</v>
      </c>
      <c r="J90" s="10" t="s">
        <v>5</v>
      </c>
    </row>
    <row r="91" spans="1:11" x14ac:dyDescent="0.25">
      <c r="A91" t="s">
        <v>44</v>
      </c>
      <c r="B91" s="2">
        <v>27</v>
      </c>
      <c r="C91" s="9">
        <f>25000*G91</f>
        <v>494750</v>
      </c>
      <c r="D91" s="10" t="s">
        <v>194</v>
      </c>
      <c r="E91" s="10" t="s">
        <v>1026</v>
      </c>
      <c r="F91" s="10" t="s">
        <v>111</v>
      </c>
      <c r="G91" s="11">
        <v>19.79</v>
      </c>
      <c r="H91" s="10">
        <v>31.19</v>
      </c>
      <c r="I91" s="12">
        <v>43096</v>
      </c>
      <c r="J91" s="10" t="s">
        <v>5</v>
      </c>
    </row>
    <row r="92" spans="1:11" x14ac:dyDescent="0.25">
      <c r="A92" t="s">
        <v>44</v>
      </c>
      <c r="B92" s="2">
        <v>27</v>
      </c>
      <c r="C92" s="4">
        <f>813390+18925.4</f>
        <v>832315.4</v>
      </c>
      <c r="D92" s="5" t="s">
        <v>195</v>
      </c>
      <c r="E92" s="5" t="s">
        <v>196</v>
      </c>
      <c r="F92" s="5" t="s">
        <v>26</v>
      </c>
      <c r="G92" s="7">
        <v>43102</v>
      </c>
      <c r="H92" s="5" t="s">
        <v>27</v>
      </c>
    </row>
    <row r="93" spans="1:11" x14ac:dyDescent="0.25">
      <c r="A93" t="s">
        <v>44</v>
      </c>
      <c r="B93" s="2">
        <v>27</v>
      </c>
      <c r="C93" s="4">
        <f>398857.5+9802</f>
        <v>408659.5</v>
      </c>
      <c r="D93" s="5" t="s">
        <v>197</v>
      </c>
      <c r="E93" s="5" t="s">
        <v>198</v>
      </c>
      <c r="F93" s="5" t="s">
        <v>26</v>
      </c>
      <c r="G93" s="7">
        <v>43102</v>
      </c>
      <c r="H93" s="5" t="s">
        <v>27</v>
      </c>
    </row>
    <row r="94" spans="1:11" x14ac:dyDescent="0.25">
      <c r="A94" t="s">
        <v>44</v>
      </c>
      <c r="B94" s="2">
        <v>27</v>
      </c>
      <c r="C94" s="4">
        <v>375976.25</v>
      </c>
      <c r="D94" s="5" t="s">
        <v>199</v>
      </c>
      <c r="E94" s="5" t="s">
        <v>200</v>
      </c>
      <c r="F94" s="5" t="s">
        <v>201</v>
      </c>
      <c r="G94" s="6">
        <v>42.5</v>
      </c>
      <c r="H94" s="7">
        <v>43102</v>
      </c>
      <c r="I94" s="5" t="s">
        <v>5</v>
      </c>
    </row>
    <row r="95" spans="1:11" x14ac:dyDescent="0.25">
      <c r="A95" t="s">
        <v>44</v>
      </c>
      <c r="B95" s="2">
        <v>27</v>
      </c>
      <c r="C95" s="4">
        <f>26269.42*G95</f>
        <v>519215.08629999997</v>
      </c>
      <c r="D95" s="5" t="s">
        <v>202</v>
      </c>
      <c r="E95" s="5" t="s">
        <v>203</v>
      </c>
      <c r="F95" s="5" t="s">
        <v>204</v>
      </c>
      <c r="G95" s="6">
        <v>19.765000000000001</v>
      </c>
      <c r="H95" s="5">
        <v>30.56</v>
      </c>
      <c r="I95" s="7">
        <v>43096</v>
      </c>
      <c r="J95" s="5" t="s">
        <v>5</v>
      </c>
    </row>
    <row r="96" spans="1:11" x14ac:dyDescent="0.25">
      <c r="A96" t="s">
        <v>44</v>
      </c>
      <c r="B96" s="2">
        <v>27</v>
      </c>
      <c r="C96" s="4">
        <f>27607.69*G96</f>
        <v>545665.99285000004</v>
      </c>
      <c r="D96" s="5" t="s">
        <v>205</v>
      </c>
      <c r="E96" s="5" t="s">
        <v>206</v>
      </c>
      <c r="F96" s="5" t="s">
        <v>207</v>
      </c>
      <c r="G96" s="6">
        <v>19.765000000000001</v>
      </c>
      <c r="H96" s="5">
        <v>30.84</v>
      </c>
      <c r="I96" s="7">
        <v>43096</v>
      </c>
      <c r="J96" s="5" t="s">
        <v>5</v>
      </c>
    </row>
    <row r="97" spans="1:10" x14ac:dyDescent="0.25">
      <c r="A97" t="s">
        <v>44</v>
      </c>
      <c r="B97" s="2">
        <v>27</v>
      </c>
      <c r="C97" s="4">
        <f>27361.88*G97</f>
        <v>541217.98640000005</v>
      </c>
      <c r="D97" s="5" t="s">
        <v>208</v>
      </c>
      <c r="E97" s="5" t="s">
        <v>209</v>
      </c>
      <c r="F97" s="5" t="s">
        <v>210</v>
      </c>
      <c r="G97" s="6">
        <v>19.78</v>
      </c>
      <c r="H97" s="5">
        <v>30.88</v>
      </c>
      <c r="I97" s="7">
        <v>43096</v>
      </c>
      <c r="J97" s="5" t="s">
        <v>5</v>
      </c>
    </row>
    <row r="98" spans="1:10" x14ac:dyDescent="0.25">
      <c r="A98" t="s">
        <v>44</v>
      </c>
      <c r="B98" s="2">
        <v>27</v>
      </c>
      <c r="C98" s="4">
        <f>27275.36*G98</f>
        <v>539506.62080000003</v>
      </c>
      <c r="D98" s="5" t="s">
        <v>211</v>
      </c>
      <c r="E98" s="5" t="s">
        <v>212</v>
      </c>
      <c r="F98" s="5" t="s">
        <v>213</v>
      </c>
      <c r="G98" s="6">
        <v>19.78</v>
      </c>
      <c r="H98" s="5">
        <v>31.13</v>
      </c>
      <c r="I98" s="7">
        <v>43096</v>
      </c>
      <c r="J98" s="5" t="s">
        <v>5</v>
      </c>
    </row>
    <row r="99" spans="1:10" x14ac:dyDescent="0.25">
      <c r="A99" t="s">
        <v>44</v>
      </c>
      <c r="B99" s="2">
        <v>27</v>
      </c>
      <c r="C99" s="4">
        <f>26185.26*G99</f>
        <v>517944.44280000002</v>
      </c>
      <c r="D99" s="5" t="s">
        <v>214</v>
      </c>
      <c r="E99" s="5" t="s">
        <v>215</v>
      </c>
      <c r="F99" s="5" t="s">
        <v>216</v>
      </c>
      <c r="G99" s="6">
        <v>19.78</v>
      </c>
      <c r="H99" s="5">
        <v>30.95</v>
      </c>
      <c r="I99" s="7">
        <v>43096</v>
      </c>
      <c r="J99" s="5" t="s">
        <v>5</v>
      </c>
    </row>
    <row r="100" spans="1:10" x14ac:dyDescent="0.25">
      <c r="A100" t="s">
        <v>50</v>
      </c>
      <c r="B100" s="2">
        <v>28</v>
      </c>
      <c r="C100" s="4">
        <f>26808.08*G100</f>
        <v>529459.58000000007</v>
      </c>
      <c r="D100" s="5" t="s">
        <v>217</v>
      </c>
      <c r="E100" s="5" t="s">
        <v>218</v>
      </c>
      <c r="F100" s="5" t="s">
        <v>219</v>
      </c>
      <c r="G100" s="6">
        <v>19.75</v>
      </c>
      <c r="H100" s="5">
        <v>30.11</v>
      </c>
      <c r="I100" s="7">
        <v>43097</v>
      </c>
      <c r="J100" s="5" t="s">
        <v>5</v>
      </c>
    </row>
    <row r="101" spans="1:10" x14ac:dyDescent="0.25">
      <c r="A101" t="s">
        <v>50</v>
      </c>
      <c r="B101" s="2">
        <v>28</v>
      </c>
      <c r="C101" s="4">
        <f>730312.5+18850</f>
        <v>749162.5</v>
      </c>
      <c r="D101" s="5" t="s">
        <v>220</v>
      </c>
      <c r="E101" s="5" t="s">
        <v>221</v>
      </c>
      <c r="F101" s="5" t="s">
        <v>26</v>
      </c>
      <c r="G101" s="7">
        <v>43102</v>
      </c>
      <c r="H101" s="5" t="s">
        <v>27</v>
      </c>
    </row>
    <row r="102" spans="1:10" x14ac:dyDescent="0.25">
      <c r="A102" t="s">
        <v>50</v>
      </c>
      <c r="B102" s="2">
        <v>28</v>
      </c>
      <c r="C102" s="4">
        <f>414675+9802</f>
        <v>424477</v>
      </c>
      <c r="D102" s="5" t="s">
        <v>222</v>
      </c>
      <c r="E102" s="5" t="s">
        <v>223</v>
      </c>
      <c r="F102" s="5" t="s">
        <v>26</v>
      </c>
      <c r="G102" s="7">
        <v>43102</v>
      </c>
      <c r="H102" s="5" t="s">
        <v>27</v>
      </c>
    </row>
    <row r="103" spans="1:10" x14ac:dyDescent="0.25">
      <c r="A103" t="s">
        <v>1</v>
      </c>
      <c r="B103" s="2">
        <v>29</v>
      </c>
      <c r="C103" s="9">
        <f>25000*G103</f>
        <v>321575</v>
      </c>
      <c r="D103" s="10" t="s">
        <v>224</v>
      </c>
      <c r="E103" s="10" t="s">
        <v>1137</v>
      </c>
      <c r="F103" s="10" t="s">
        <v>111</v>
      </c>
      <c r="G103" s="11">
        <v>12.863</v>
      </c>
      <c r="H103" s="10">
        <v>31.94</v>
      </c>
      <c r="I103" s="12">
        <v>43098</v>
      </c>
      <c r="J103" s="10" t="s">
        <v>5</v>
      </c>
    </row>
    <row r="104" spans="1:10" x14ac:dyDescent="0.25">
      <c r="A104" t="s">
        <v>1</v>
      </c>
      <c r="B104" s="2">
        <v>29</v>
      </c>
      <c r="C104" s="4">
        <f>26130.81*G104</f>
        <v>336120.60902999999</v>
      </c>
      <c r="D104" s="5" t="s">
        <v>225</v>
      </c>
      <c r="E104" s="5" t="s">
        <v>226</v>
      </c>
      <c r="F104" s="5" t="s">
        <v>227</v>
      </c>
      <c r="G104" s="6">
        <v>12.863</v>
      </c>
      <c r="H104" s="5">
        <v>20.66</v>
      </c>
      <c r="I104" s="7">
        <v>43098</v>
      </c>
      <c r="J104" s="5" t="s">
        <v>5</v>
      </c>
    </row>
    <row r="105" spans="1:10" x14ac:dyDescent="0.25">
      <c r="A105" t="s">
        <v>1</v>
      </c>
      <c r="B105" s="2">
        <v>29</v>
      </c>
      <c r="C105" s="4">
        <f>30875.1*G105</f>
        <v>397146.41129999998</v>
      </c>
      <c r="D105" s="5" t="s">
        <v>228</v>
      </c>
      <c r="E105" s="5" t="s">
        <v>229</v>
      </c>
      <c r="F105" s="5" t="s">
        <v>230</v>
      </c>
      <c r="G105" s="6">
        <v>12.863</v>
      </c>
      <c r="H105" s="5">
        <v>23.56</v>
      </c>
      <c r="I105" s="7">
        <v>43098</v>
      </c>
      <c r="J105" s="5" t="s">
        <v>5</v>
      </c>
    </row>
    <row r="106" spans="1:10" x14ac:dyDescent="0.25">
      <c r="A106" t="s">
        <v>1</v>
      </c>
      <c r="B106" s="2">
        <v>29</v>
      </c>
      <c r="C106" s="4">
        <f>27232.54*G106</f>
        <v>350292.16201999999</v>
      </c>
      <c r="D106" s="5" t="s">
        <v>231</v>
      </c>
      <c r="E106" s="5" t="s">
        <v>232</v>
      </c>
      <c r="F106" s="5" t="s">
        <v>233</v>
      </c>
      <c r="G106" s="6">
        <v>12.863</v>
      </c>
      <c r="H106" s="5">
        <v>20.69</v>
      </c>
      <c r="I106" s="7">
        <v>43098</v>
      </c>
      <c r="J106" s="5" t="s">
        <v>5</v>
      </c>
    </row>
    <row r="107" spans="1:10" x14ac:dyDescent="0.25">
      <c r="A107" t="s">
        <v>1</v>
      </c>
      <c r="B107" s="2">
        <v>29</v>
      </c>
      <c r="C107" s="4">
        <f>25755.51*G107</f>
        <v>506816.92577999999</v>
      </c>
      <c r="D107" s="5" t="s">
        <v>234</v>
      </c>
      <c r="E107" s="5" t="s">
        <v>235</v>
      </c>
      <c r="F107" s="5" t="s">
        <v>236</v>
      </c>
      <c r="G107" s="6">
        <v>19.678000000000001</v>
      </c>
      <c r="H107" s="5">
        <v>30.26</v>
      </c>
      <c r="I107" s="7">
        <v>43098</v>
      </c>
      <c r="J107" s="5" t="s">
        <v>237</v>
      </c>
    </row>
    <row r="108" spans="1:10" x14ac:dyDescent="0.25">
      <c r="A108" s="14" t="s">
        <v>13</v>
      </c>
      <c r="B108" s="2">
        <v>30</v>
      </c>
    </row>
    <row r="109" spans="1:10" x14ac:dyDescent="0.25">
      <c r="A109" s="14" t="s">
        <v>14</v>
      </c>
      <c r="B109" s="2">
        <v>31</v>
      </c>
    </row>
    <row r="110" spans="1:10" x14ac:dyDescent="0.25">
      <c r="A110" t="s">
        <v>15</v>
      </c>
      <c r="B110" s="2">
        <v>1</v>
      </c>
    </row>
    <row r="111" spans="1:10" x14ac:dyDescent="0.25">
      <c r="A111" t="s">
        <v>34</v>
      </c>
      <c r="B111" s="2">
        <v>2</v>
      </c>
      <c r="C111" s="4">
        <f>27329.92*G111</f>
        <v>538262.77439999999</v>
      </c>
      <c r="D111" s="5" t="s">
        <v>1009</v>
      </c>
      <c r="E111" s="5" t="s">
        <v>238</v>
      </c>
      <c r="F111" s="5" t="s">
        <v>239</v>
      </c>
      <c r="G111" s="6">
        <v>19.695</v>
      </c>
      <c r="H111" s="5">
        <v>30.05</v>
      </c>
      <c r="I111" s="7">
        <v>43102</v>
      </c>
    </row>
    <row r="112" spans="1:10" x14ac:dyDescent="0.25">
      <c r="A112" t="s">
        <v>34</v>
      </c>
      <c r="B112" s="2">
        <v>2</v>
      </c>
      <c r="C112" s="4">
        <f>417525+9802</f>
        <v>427327</v>
      </c>
      <c r="D112" s="5" t="s">
        <v>240</v>
      </c>
      <c r="E112" s="5" t="s">
        <v>241</v>
      </c>
      <c r="F112" s="5" t="s">
        <v>26</v>
      </c>
      <c r="G112" s="7">
        <v>43103</v>
      </c>
      <c r="H112" s="5" t="s">
        <v>27</v>
      </c>
      <c r="I112" s="17"/>
    </row>
    <row r="113" spans="1:10" x14ac:dyDescent="0.25">
      <c r="A113" t="s">
        <v>34</v>
      </c>
      <c r="B113" s="2">
        <v>2</v>
      </c>
      <c r="C113" s="4">
        <f>584107.5+15080</f>
        <v>599187.5</v>
      </c>
      <c r="D113" s="5" t="s">
        <v>242</v>
      </c>
      <c r="E113" s="5" t="s">
        <v>243</v>
      </c>
      <c r="F113" s="5" t="s">
        <v>26</v>
      </c>
      <c r="G113" s="7">
        <v>43103</v>
      </c>
      <c r="H113" s="5" t="s">
        <v>27</v>
      </c>
      <c r="I113" s="17"/>
    </row>
    <row r="114" spans="1:10" x14ac:dyDescent="0.25">
      <c r="A114" t="s">
        <v>34</v>
      </c>
      <c r="B114" s="2">
        <v>2</v>
      </c>
      <c r="C114" s="4">
        <f>707655+18925.4</f>
        <v>726580.4</v>
      </c>
      <c r="D114" s="5" t="s">
        <v>244</v>
      </c>
      <c r="E114" s="5" t="s">
        <v>245</v>
      </c>
      <c r="F114" s="5" t="s">
        <v>26</v>
      </c>
      <c r="G114" s="7">
        <v>43104</v>
      </c>
      <c r="H114" s="5" t="s">
        <v>27</v>
      </c>
      <c r="I114" s="17"/>
    </row>
    <row r="115" spans="1:10" x14ac:dyDescent="0.25">
      <c r="A115" t="s">
        <v>34</v>
      </c>
      <c r="B115" s="2">
        <v>2</v>
      </c>
      <c r="C115" s="4">
        <f>29782.5+754</f>
        <v>30536.5</v>
      </c>
      <c r="D115" s="5" t="s">
        <v>246</v>
      </c>
      <c r="E115" s="5" t="s">
        <v>247</v>
      </c>
      <c r="F115" s="5" t="s">
        <v>26</v>
      </c>
      <c r="G115" s="7">
        <v>43104</v>
      </c>
      <c r="H115" s="5" t="s">
        <v>27</v>
      </c>
      <c r="I115" s="17"/>
    </row>
    <row r="116" spans="1:10" x14ac:dyDescent="0.25">
      <c r="A116" t="s">
        <v>34</v>
      </c>
      <c r="B116" s="2">
        <v>2</v>
      </c>
      <c r="C116" s="4">
        <f>726885+17342</f>
        <v>744227</v>
      </c>
      <c r="D116" s="5" t="s">
        <v>248</v>
      </c>
      <c r="E116" s="5" t="s">
        <v>249</v>
      </c>
      <c r="F116" s="5" t="s">
        <v>26</v>
      </c>
      <c r="G116" s="7">
        <v>43104</v>
      </c>
      <c r="H116" s="5" t="s">
        <v>27</v>
      </c>
    </row>
    <row r="117" spans="1:10" x14ac:dyDescent="0.25">
      <c r="A117" t="s">
        <v>34</v>
      </c>
      <c r="B117" s="2">
        <v>2</v>
      </c>
      <c r="C117" s="4">
        <f>332630+7540</f>
        <v>340170</v>
      </c>
      <c r="D117" s="5" t="s">
        <v>250</v>
      </c>
      <c r="E117" s="5" t="s">
        <v>251</v>
      </c>
      <c r="F117" s="5" t="s">
        <v>26</v>
      </c>
      <c r="G117" s="7">
        <v>43104</v>
      </c>
      <c r="H117" s="5" t="s">
        <v>27</v>
      </c>
    </row>
    <row r="118" spans="1:10" x14ac:dyDescent="0.25">
      <c r="A118" t="s">
        <v>34</v>
      </c>
      <c r="B118" s="2">
        <v>2</v>
      </c>
      <c r="C118" s="4">
        <v>267854.40000000002</v>
      </c>
      <c r="D118" s="5" t="s">
        <v>252</v>
      </c>
      <c r="E118" s="5" t="s">
        <v>253</v>
      </c>
      <c r="F118" s="5" t="s">
        <v>254</v>
      </c>
      <c r="G118" s="5">
        <v>88</v>
      </c>
      <c r="H118" s="7">
        <v>43102</v>
      </c>
      <c r="I118" s="5" t="s">
        <v>5</v>
      </c>
    </row>
    <row r="119" spans="1:10" x14ac:dyDescent="0.25">
      <c r="A119" t="s">
        <v>34</v>
      </c>
      <c r="B119" s="2">
        <v>2</v>
      </c>
      <c r="C119" s="4">
        <v>98032.83</v>
      </c>
      <c r="D119" s="5" t="s">
        <v>252</v>
      </c>
      <c r="E119" s="5" t="s">
        <v>255</v>
      </c>
      <c r="F119" s="5" t="s">
        <v>256</v>
      </c>
      <c r="G119" s="5">
        <v>49</v>
      </c>
      <c r="H119" s="7">
        <v>43102</v>
      </c>
      <c r="I119" s="5" t="s">
        <v>5</v>
      </c>
    </row>
    <row r="120" spans="1:10" x14ac:dyDescent="0.25">
      <c r="A120" t="s">
        <v>34</v>
      </c>
      <c r="B120" s="2">
        <v>2</v>
      </c>
      <c r="C120" s="4">
        <v>845222.40000000002</v>
      </c>
      <c r="D120" s="5" t="s">
        <v>257</v>
      </c>
      <c r="E120" s="5" t="s">
        <v>258</v>
      </c>
      <c r="F120" s="5" t="s">
        <v>254</v>
      </c>
      <c r="G120" s="5">
        <v>88</v>
      </c>
      <c r="H120" s="7">
        <v>43103</v>
      </c>
      <c r="I120" s="5" t="s">
        <v>5</v>
      </c>
    </row>
    <row r="121" spans="1:10" x14ac:dyDescent="0.25">
      <c r="A121" t="s">
        <v>34</v>
      </c>
      <c r="B121" s="2">
        <v>2</v>
      </c>
      <c r="C121" s="4">
        <v>133624.38</v>
      </c>
      <c r="D121" s="5" t="s">
        <v>259</v>
      </c>
      <c r="E121" s="5" t="s">
        <v>260</v>
      </c>
      <c r="F121" s="5" t="s">
        <v>261</v>
      </c>
      <c r="G121" s="5" t="s">
        <v>262</v>
      </c>
      <c r="H121" s="7">
        <v>43102</v>
      </c>
      <c r="I121" s="5" t="s">
        <v>5</v>
      </c>
    </row>
    <row r="122" spans="1:10" x14ac:dyDescent="0.25">
      <c r="A122" t="s">
        <v>34</v>
      </c>
      <c r="B122" s="2">
        <v>2</v>
      </c>
      <c r="C122" s="4">
        <v>93000</v>
      </c>
      <c r="D122" s="5" t="s">
        <v>1018</v>
      </c>
      <c r="E122" s="5" t="s">
        <v>1017</v>
      </c>
      <c r="F122" s="5" t="s">
        <v>1019</v>
      </c>
      <c r="G122" s="5" t="s">
        <v>1020</v>
      </c>
      <c r="H122" s="7">
        <v>43102</v>
      </c>
      <c r="I122" s="5" t="s">
        <v>5</v>
      </c>
    </row>
    <row r="123" spans="1:10" x14ac:dyDescent="0.25">
      <c r="A123" t="s">
        <v>34</v>
      </c>
      <c r="B123" s="2">
        <v>3</v>
      </c>
      <c r="C123" s="4">
        <f>737615+18850</f>
        <v>756465</v>
      </c>
      <c r="D123" s="5" t="s">
        <v>263</v>
      </c>
      <c r="E123" s="5" t="s">
        <v>264</v>
      </c>
      <c r="F123" s="5" t="s">
        <v>26</v>
      </c>
      <c r="G123" s="7">
        <v>43105</v>
      </c>
      <c r="H123" s="5" t="s">
        <v>27</v>
      </c>
    </row>
    <row r="124" spans="1:10" x14ac:dyDescent="0.25">
      <c r="A124" t="s">
        <v>44</v>
      </c>
      <c r="B124" s="2">
        <v>3</v>
      </c>
      <c r="C124" s="4">
        <f>589135+15080</f>
        <v>604215</v>
      </c>
      <c r="D124" s="5" t="s">
        <v>265</v>
      </c>
      <c r="E124" s="5" t="s">
        <v>266</v>
      </c>
      <c r="F124" s="5" t="s">
        <v>26</v>
      </c>
      <c r="G124" s="7">
        <v>43105</v>
      </c>
      <c r="H124" s="5" t="s">
        <v>27</v>
      </c>
    </row>
    <row r="125" spans="1:10" x14ac:dyDescent="0.25">
      <c r="A125" t="s">
        <v>50</v>
      </c>
      <c r="B125" s="2">
        <v>4</v>
      </c>
      <c r="C125" s="9">
        <f>28000*G125</f>
        <v>546840</v>
      </c>
      <c r="D125" s="10" t="s">
        <v>267</v>
      </c>
      <c r="E125" s="10" t="s">
        <v>1183</v>
      </c>
      <c r="F125" s="10" t="s">
        <v>268</v>
      </c>
      <c r="G125" s="9">
        <v>19.53</v>
      </c>
      <c r="H125" s="10">
        <v>31.15</v>
      </c>
      <c r="I125" s="12">
        <v>43104</v>
      </c>
      <c r="J125" s="10" t="s">
        <v>237</v>
      </c>
    </row>
    <row r="126" spans="1:10" x14ac:dyDescent="0.25">
      <c r="A126" t="s">
        <v>50</v>
      </c>
      <c r="B126" s="2">
        <v>4</v>
      </c>
      <c r="C126" s="4">
        <f>26227.97*G126</f>
        <v>505780.17348</v>
      </c>
      <c r="D126" s="5" t="s">
        <v>1034</v>
      </c>
      <c r="E126" s="5" t="s">
        <v>1035</v>
      </c>
      <c r="F126" s="5" t="s">
        <v>1036</v>
      </c>
      <c r="G126" s="6">
        <v>19.283999999999999</v>
      </c>
      <c r="H126" s="4">
        <v>29.54</v>
      </c>
      <c r="I126" s="7">
        <v>43104</v>
      </c>
      <c r="J126" s="5" t="s">
        <v>237</v>
      </c>
    </row>
    <row r="127" spans="1:10" x14ac:dyDescent="0.25">
      <c r="A127" t="s">
        <v>50</v>
      </c>
      <c r="B127" s="2">
        <v>4</v>
      </c>
      <c r="C127" s="4">
        <f>851005+18699.2</f>
        <v>869704.2</v>
      </c>
      <c r="D127" s="5" t="s">
        <v>269</v>
      </c>
      <c r="E127" s="5" t="s">
        <v>270</v>
      </c>
      <c r="F127" s="5" t="s">
        <v>26</v>
      </c>
      <c r="G127" s="7">
        <v>43108</v>
      </c>
      <c r="H127" s="5" t="s">
        <v>27</v>
      </c>
    </row>
    <row r="128" spans="1:10" x14ac:dyDescent="0.25">
      <c r="A128" t="s">
        <v>50</v>
      </c>
      <c r="B128" s="2">
        <v>4</v>
      </c>
      <c r="C128" s="4">
        <f>713980+18850</f>
        <v>732830</v>
      </c>
      <c r="D128" s="5" t="s">
        <v>271</v>
      </c>
      <c r="E128" s="5" t="s">
        <v>272</v>
      </c>
      <c r="F128" s="5" t="s">
        <v>26</v>
      </c>
      <c r="G128" s="7">
        <v>43108</v>
      </c>
      <c r="H128" s="5" t="s">
        <v>27</v>
      </c>
    </row>
    <row r="129" spans="1:14" x14ac:dyDescent="0.25">
      <c r="A129" t="s">
        <v>1</v>
      </c>
      <c r="B129" s="2">
        <v>5</v>
      </c>
      <c r="C129" s="4">
        <f>774155+18850</f>
        <v>793005</v>
      </c>
      <c r="D129" s="5" t="s">
        <v>273</v>
      </c>
      <c r="E129" s="5" t="s">
        <v>274</v>
      </c>
      <c r="F129" s="5" t="s">
        <v>26</v>
      </c>
      <c r="G129" s="7">
        <v>43109</v>
      </c>
      <c r="H129" s="5" t="s">
        <v>27</v>
      </c>
    </row>
    <row r="130" spans="1:14" x14ac:dyDescent="0.25">
      <c r="A130" t="s">
        <v>1</v>
      </c>
      <c r="B130" s="2">
        <v>5</v>
      </c>
      <c r="C130" s="4">
        <f>397300+9802</f>
        <v>407102</v>
      </c>
      <c r="D130" s="5" t="s">
        <v>275</v>
      </c>
      <c r="E130" s="5" t="s">
        <v>276</v>
      </c>
      <c r="F130" s="5" t="s">
        <v>26</v>
      </c>
      <c r="G130" s="7">
        <v>43110</v>
      </c>
      <c r="H130" s="5" t="s">
        <v>27</v>
      </c>
    </row>
    <row r="131" spans="1:14" x14ac:dyDescent="0.25">
      <c r="A131" s="14" t="s">
        <v>13</v>
      </c>
      <c r="B131" s="2">
        <v>6</v>
      </c>
    </row>
    <row r="132" spans="1:14" x14ac:dyDescent="0.25">
      <c r="A132" s="14" t="s">
        <v>14</v>
      </c>
      <c r="B132" s="2">
        <v>7</v>
      </c>
    </row>
    <row r="133" spans="1:14" x14ac:dyDescent="0.25">
      <c r="A133" t="s">
        <v>15</v>
      </c>
      <c r="B133" s="2">
        <v>8</v>
      </c>
      <c r="C133" s="9">
        <f>29500*G133</f>
        <v>568878</v>
      </c>
      <c r="D133" s="10" t="s">
        <v>277</v>
      </c>
      <c r="E133" s="10" t="s">
        <v>1184</v>
      </c>
      <c r="F133" s="10" t="s">
        <v>1033</v>
      </c>
      <c r="G133" s="11">
        <v>19.283999999999999</v>
      </c>
      <c r="H133" s="10">
        <v>31.98</v>
      </c>
      <c r="I133" s="12">
        <v>43108</v>
      </c>
      <c r="J133" s="10" t="s">
        <v>5</v>
      </c>
    </row>
    <row r="134" spans="1:14" x14ac:dyDescent="0.25">
      <c r="A134" t="s">
        <v>15</v>
      </c>
      <c r="B134" s="2">
        <v>8</v>
      </c>
      <c r="C134" s="4">
        <f>27874.44*G134</f>
        <v>537279.83099999989</v>
      </c>
      <c r="D134" s="5" t="s">
        <v>1086</v>
      </c>
      <c r="E134" s="5" t="s">
        <v>1087</v>
      </c>
      <c r="F134" s="5" t="s">
        <v>1088</v>
      </c>
      <c r="G134" s="6">
        <v>19.274999999999999</v>
      </c>
      <c r="H134" s="5">
        <v>31.06</v>
      </c>
      <c r="I134" s="7">
        <v>43108</v>
      </c>
      <c r="J134" s="5" t="s">
        <v>5</v>
      </c>
    </row>
    <row r="135" spans="1:14" x14ac:dyDescent="0.25">
      <c r="A135" t="s">
        <v>15</v>
      </c>
      <c r="B135" s="2">
        <v>8</v>
      </c>
      <c r="C135" s="4">
        <v>589996.05000000005</v>
      </c>
      <c r="D135" s="5" t="s">
        <v>278</v>
      </c>
      <c r="E135" s="5" t="s">
        <v>1090</v>
      </c>
      <c r="F135" s="5" t="s">
        <v>279</v>
      </c>
      <c r="G135" s="4">
        <v>31.2</v>
      </c>
      <c r="H135" s="7">
        <v>43108</v>
      </c>
      <c r="I135" s="5" t="s">
        <v>5</v>
      </c>
    </row>
    <row r="136" spans="1:14" x14ac:dyDescent="0.25">
      <c r="A136" t="s">
        <v>15</v>
      </c>
      <c r="B136" s="2">
        <v>8</v>
      </c>
      <c r="C136" s="4">
        <v>549376</v>
      </c>
      <c r="D136" s="5" t="s">
        <v>1091</v>
      </c>
      <c r="E136" s="5" t="s">
        <v>1092</v>
      </c>
      <c r="F136" s="5" t="s">
        <v>1093</v>
      </c>
      <c r="G136" s="4" t="s">
        <v>1139</v>
      </c>
      <c r="H136" s="7"/>
      <c r="I136" s="5" t="s">
        <v>1095</v>
      </c>
      <c r="J136" s="5" t="s">
        <v>1094</v>
      </c>
      <c r="K136" s="10" t="s">
        <v>1140</v>
      </c>
      <c r="L136" s="10"/>
      <c r="M136" s="10" t="s">
        <v>1149</v>
      </c>
      <c r="N136" s="10"/>
    </row>
    <row r="137" spans="1:14" x14ac:dyDescent="0.25">
      <c r="A137" t="s">
        <v>15</v>
      </c>
      <c r="B137" s="2">
        <v>8</v>
      </c>
      <c r="C137" s="4">
        <f>667435+15080</f>
        <v>682515</v>
      </c>
      <c r="D137" s="5" t="s">
        <v>280</v>
      </c>
      <c r="E137" s="5" t="s">
        <v>281</v>
      </c>
      <c r="F137" s="5" t="s">
        <v>26</v>
      </c>
      <c r="G137" s="7">
        <v>43110</v>
      </c>
      <c r="H137" s="5" t="s">
        <v>27</v>
      </c>
    </row>
    <row r="138" spans="1:14" x14ac:dyDescent="0.25">
      <c r="A138" t="s">
        <v>15</v>
      </c>
      <c r="B138" s="2">
        <v>8</v>
      </c>
      <c r="C138" s="4">
        <f>541865+15080</f>
        <v>556945</v>
      </c>
      <c r="D138" s="5" t="s">
        <v>282</v>
      </c>
      <c r="E138" s="5" t="s">
        <v>283</v>
      </c>
      <c r="F138" s="5" t="s">
        <v>26</v>
      </c>
      <c r="G138" s="7">
        <v>43111</v>
      </c>
      <c r="H138" s="5" t="s">
        <v>27</v>
      </c>
    </row>
    <row r="139" spans="1:14" x14ac:dyDescent="0.25">
      <c r="A139" t="s">
        <v>15</v>
      </c>
      <c r="B139" s="2">
        <v>8</v>
      </c>
      <c r="C139" s="4">
        <v>50167</v>
      </c>
      <c r="D139" s="5" t="s">
        <v>1121</v>
      </c>
      <c r="E139" s="5" t="s">
        <v>1202</v>
      </c>
      <c r="F139" s="5" t="s">
        <v>1203</v>
      </c>
      <c r="G139" s="5">
        <v>50</v>
      </c>
      <c r="H139" s="7">
        <v>43108</v>
      </c>
      <c r="I139" s="5" t="s">
        <v>5</v>
      </c>
    </row>
    <row r="140" spans="1:14" x14ac:dyDescent="0.25">
      <c r="A140" t="s">
        <v>34</v>
      </c>
      <c r="B140" s="2">
        <v>9</v>
      </c>
      <c r="C140" s="4">
        <f>613305+15080</f>
        <v>628385</v>
      </c>
      <c r="D140" s="5" t="s">
        <v>284</v>
      </c>
      <c r="E140" s="5" t="s">
        <v>285</v>
      </c>
      <c r="F140" s="5" t="s">
        <v>26</v>
      </c>
      <c r="G140" s="7">
        <v>43111</v>
      </c>
      <c r="H140" s="5" t="s">
        <v>27</v>
      </c>
    </row>
    <row r="141" spans="1:14" x14ac:dyDescent="0.25">
      <c r="A141" t="s">
        <v>34</v>
      </c>
      <c r="B141" s="2">
        <v>9</v>
      </c>
      <c r="C141" s="9">
        <f>28000*G141</f>
        <v>539700</v>
      </c>
      <c r="D141" s="10" t="s">
        <v>1028</v>
      </c>
      <c r="E141" s="10" t="s">
        <v>1204</v>
      </c>
      <c r="F141" s="10" t="s">
        <v>268</v>
      </c>
      <c r="G141" s="11">
        <v>19.274999999999999</v>
      </c>
      <c r="H141" s="10">
        <v>32.4</v>
      </c>
      <c r="I141" s="12">
        <v>43109</v>
      </c>
      <c r="J141" s="10" t="s">
        <v>5</v>
      </c>
    </row>
    <row r="142" spans="1:14" x14ac:dyDescent="0.25">
      <c r="A142" t="s">
        <v>44</v>
      </c>
      <c r="B142" s="2">
        <v>10</v>
      </c>
      <c r="C142" s="4">
        <f>819450+18774.6-3291</f>
        <v>834933.6</v>
      </c>
      <c r="D142" s="5" t="s">
        <v>286</v>
      </c>
      <c r="E142" s="5" t="s">
        <v>287</v>
      </c>
      <c r="F142" s="5" t="s">
        <v>26</v>
      </c>
      <c r="G142" s="7">
        <v>43112</v>
      </c>
      <c r="H142" s="5" t="s">
        <v>27</v>
      </c>
    </row>
    <row r="143" spans="1:14" x14ac:dyDescent="0.25">
      <c r="A143" t="s">
        <v>44</v>
      </c>
      <c r="B143" s="2">
        <v>10</v>
      </c>
      <c r="C143" s="4">
        <f>595350+15080</f>
        <v>610430</v>
      </c>
      <c r="D143" s="5" t="s">
        <v>288</v>
      </c>
      <c r="E143" s="5" t="s">
        <v>289</v>
      </c>
      <c r="F143" s="5" t="s">
        <v>26</v>
      </c>
      <c r="G143" s="7">
        <v>43112</v>
      </c>
      <c r="H143" s="5" t="s">
        <v>27</v>
      </c>
    </row>
    <row r="144" spans="1:14" x14ac:dyDescent="0.25">
      <c r="A144" t="s">
        <v>44</v>
      </c>
      <c r="B144" s="2">
        <v>10</v>
      </c>
      <c r="C144" s="9">
        <f>28000*G144</f>
        <v>539252</v>
      </c>
      <c r="D144" s="10" t="s">
        <v>1029</v>
      </c>
      <c r="E144" s="75" t="s">
        <v>384</v>
      </c>
      <c r="F144" s="10" t="s">
        <v>268</v>
      </c>
      <c r="G144" s="11">
        <v>19.259</v>
      </c>
      <c r="H144" s="75" t="s">
        <v>384</v>
      </c>
      <c r="I144" s="12">
        <v>43110</v>
      </c>
      <c r="J144" s="10" t="s">
        <v>5</v>
      </c>
      <c r="K144" s="75" t="s">
        <v>384</v>
      </c>
    </row>
    <row r="145" spans="1:12" x14ac:dyDescent="0.25">
      <c r="A145" t="s">
        <v>50</v>
      </c>
      <c r="B145" s="2">
        <v>11</v>
      </c>
      <c r="C145" s="9">
        <f>30000*G145</f>
        <v>578940</v>
      </c>
      <c r="D145" s="10" t="s">
        <v>1030</v>
      </c>
      <c r="E145" s="10" t="s">
        <v>1247</v>
      </c>
      <c r="F145" s="10" t="s">
        <v>41</v>
      </c>
      <c r="G145" s="11">
        <v>19.297999999999998</v>
      </c>
      <c r="H145" s="10">
        <v>35.04</v>
      </c>
      <c r="I145" s="12">
        <v>43111</v>
      </c>
      <c r="J145" s="10" t="s">
        <v>5</v>
      </c>
    </row>
    <row r="146" spans="1:12" x14ac:dyDescent="0.25">
      <c r="A146" t="s">
        <v>50</v>
      </c>
      <c r="B146" s="2">
        <v>11</v>
      </c>
      <c r="C146" s="4">
        <f>882600+18850</f>
        <v>901450</v>
      </c>
      <c r="D146" s="5" t="s">
        <v>290</v>
      </c>
      <c r="E146" s="5" t="s">
        <v>291</v>
      </c>
      <c r="F146" s="5" t="s">
        <v>26</v>
      </c>
      <c r="G146" s="7">
        <v>43115</v>
      </c>
      <c r="H146" s="5" t="s">
        <v>27</v>
      </c>
    </row>
    <row r="147" spans="1:12" x14ac:dyDescent="0.25">
      <c r="A147" t="s">
        <v>50</v>
      </c>
      <c r="B147" s="2">
        <v>11</v>
      </c>
      <c r="C147" s="4">
        <f>741900+18774.6</f>
        <v>760674.6</v>
      </c>
      <c r="D147" s="5" t="s">
        <v>292</v>
      </c>
      <c r="E147" s="5" t="s">
        <v>293</v>
      </c>
      <c r="F147" s="5" t="s">
        <v>26</v>
      </c>
      <c r="G147" s="7">
        <v>43115</v>
      </c>
      <c r="H147" s="5" t="s">
        <v>27</v>
      </c>
    </row>
    <row r="148" spans="1:12" x14ac:dyDescent="0.25">
      <c r="A148" t="s">
        <v>1</v>
      </c>
      <c r="B148" s="2">
        <v>12</v>
      </c>
      <c r="C148" s="4">
        <f>748500+18850</f>
        <v>767350</v>
      </c>
      <c r="D148" s="5" t="s">
        <v>294</v>
      </c>
      <c r="E148" s="5" t="s">
        <v>295</v>
      </c>
      <c r="F148" s="5" t="s">
        <v>26</v>
      </c>
      <c r="G148" s="7">
        <v>43115</v>
      </c>
      <c r="H148" s="5" t="s">
        <v>27</v>
      </c>
    </row>
    <row r="149" spans="1:12" x14ac:dyDescent="0.25">
      <c r="A149" t="s">
        <v>1</v>
      </c>
      <c r="B149" s="2">
        <v>12</v>
      </c>
      <c r="C149" s="4">
        <f>331500+9802</f>
        <v>341302</v>
      </c>
      <c r="D149" s="5" t="s">
        <v>296</v>
      </c>
      <c r="E149" s="5" t="s">
        <v>297</v>
      </c>
      <c r="F149" s="5" t="s">
        <v>26</v>
      </c>
      <c r="G149" s="7">
        <v>43115</v>
      </c>
      <c r="H149" s="5" t="s">
        <v>27</v>
      </c>
    </row>
    <row r="150" spans="1:12" x14ac:dyDescent="0.25">
      <c r="A150" t="s">
        <v>1</v>
      </c>
      <c r="B150" s="2">
        <v>12</v>
      </c>
      <c r="C150" s="4">
        <f>28103.39*G150</f>
        <v>540090.94901999994</v>
      </c>
      <c r="D150" s="5" t="s">
        <v>1041</v>
      </c>
      <c r="E150" s="5" t="s">
        <v>1042</v>
      </c>
      <c r="F150" s="5" t="s">
        <v>1043</v>
      </c>
      <c r="G150" s="6">
        <v>19.218</v>
      </c>
      <c r="H150" s="5">
        <v>30.91</v>
      </c>
      <c r="I150" s="7">
        <v>43112</v>
      </c>
      <c r="J150" s="5" t="s">
        <v>5</v>
      </c>
    </row>
    <row r="151" spans="1:12" x14ac:dyDescent="0.25">
      <c r="A151" t="s">
        <v>1</v>
      </c>
      <c r="B151" s="2">
        <v>12</v>
      </c>
      <c r="C151" s="4">
        <f>28172.29*G151</f>
        <v>541612.27525000006</v>
      </c>
      <c r="D151" s="5" t="s">
        <v>1044</v>
      </c>
      <c r="E151" s="5" t="s">
        <v>1045</v>
      </c>
      <c r="F151" s="5" t="s">
        <v>1046</v>
      </c>
      <c r="G151" s="6">
        <v>19.225000000000001</v>
      </c>
      <c r="H151" s="5">
        <v>30.92</v>
      </c>
      <c r="I151" s="7">
        <v>43112</v>
      </c>
      <c r="J151" s="5" t="s">
        <v>5</v>
      </c>
    </row>
    <row r="152" spans="1:12" x14ac:dyDescent="0.25">
      <c r="A152" s="14" t="s">
        <v>13</v>
      </c>
      <c r="B152" s="2">
        <v>13</v>
      </c>
    </row>
    <row r="153" spans="1:12" x14ac:dyDescent="0.25">
      <c r="A153" s="14" t="s">
        <v>14</v>
      </c>
      <c r="B153" s="2">
        <v>14</v>
      </c>
    </row>
    <row r="154" spans="1:12" x14ac:dyDescent="0.25">
      <c r="A154" t="s">
        <v>15</v>
      </c>
      <c r="B154" s="2">
        <v>15</v>
      </c>
      <c r="C154" s="9">
        <f>30000*G154</f>
        <v>576720</v>
      </c>
      <c r="D154" s="10" t="s">
        <v>1031</v>
      </c>
      <c r="E154" s="10" t="s">
        <v>1297</v>
      </c>
      <c r="F154" s="10" t="s">
        <v>41</v>
      </c>
      <c r="G154" s="11">
        <v>19.224</v>
      </c>
      <c r="H154" s="10">
        <v>34.130000000000003</v>
      </c>
      <c r="I154" s="12">
        <v>43116</v>
      </c>
      <c r="J154" s="10" t="s">
        <v>5</v>
      </c>
    </row>
    <row r="155" spans="1:12" x14ac:dyDescent="0.25">
      <c r="A155" t="s">
        <v>15</v>
      </c>
      <c r="B155" s="2">
        <v>15</v>
      </c>
      <c r="C155" s="4">
        <v>90916</v>
      </c>
      <c r="D155" s="5" t="s">
        <v>1109</v>
      </c>
      <c r="E155" s="5" t="s">
        <v>1108</v>
      </c>
      <c r="F155" s="5" t="s">
        <v>23</v>
      </c>
      <c r="G155" s="4">
        <v>20</v>
      </c>
      <c r="H155" s="7">
        <v>43117</v>
      </c>
      <c r="I155" s="5" t="s">
        <v>5</v>
      </c>
    </row>
    <row r="156" spans="1:12" x14ac:dyDescent="0.25">
      <c r="A156" t="s">
        <v>15</v>
      </c>
      <c r="B156" s="2">
        <v>15</v>
      </c>
      <c r="C156" s="4">
        <f>639000+15080</f>
        <v>654080</v>
      </c>
      <c r="D156" s="5" t="s">
        <v>298</v>
      </c>
      <c r="E156" s="5" t="s">
        <v>299</v>
      </c>
      <c r="F156" s="5" t="s">
        <v>26</v>
      </c>
      <c r="G156" s="7">
        <v>43116</v>
      </c>
      <c r="H156" s="5" t="s">
        <v>27</v>
      </c>
    </row>
    <row r="157" spans="1:12" x14ac:dyDescent="0.25">
      <c r="A157" t="s">
        <v>15</v>
      </c>
      <c r="B157" s="2">
        <v>15</v>
      </c>
      <c r="C157" s="4">
        <f>627900+15080</f>
        <v>642980</v>
      </c>
      <c r="D157" s="5" t="s">
        <v>300</v>
      </c>
      <c r="E157" s="5" t="s">
        <v>301</v>
      </c>
      <c r="F157" s="5" t="s">
        <v>26</v>
      </c>
      <c r="G157" s="7">
        <v>43117</v>
      </c>
      <c r="H157" s="5" t="s">
        <v>27</v>
      </c>
    </row>
    <row r="158" spans="1:12" x14ac:dyDescent="0.25">
      <c r="A158" t="s">
        <v>34</v>
      </c>
      <c r="B158" s="2">
        <v>16</v>
      </c>
      <c r="C158" s="9">
        <f>28000*G158</f>
        <v>539252</v>
      </c>
      <c r="D158" s="10" t="s">
        <v>1200</v>
      </c>
      <c r="E158" s="10" t="s">
        <v>1287</v>
      </c>
      <c r="F158" s="10" t="s">
        <v>268</v>
      </c>
      <c r="G158" s="11">
        <v>19.259</v>
      </c>
      <c r="H158" s="10">
        <v>33.53</v>
      </c>
      <c r="I158" s="12">
        <v>43110</v>
      </c>
      <c r="J158" s="10" t="s">
        <v>5</v>
      </c>
      <c r="L158" t="s">
        <v>1201</v>
      </c>
    </row>
    <row r="159" spans="1:12" x14ac:dyDescent="0.25">
      <c r="A159" t="s">
        <v>34</v>
      </c>
      <c r="B159" s="2">
        <v>16</v>
      </c>
      <c r="C159" s="4">
        <f>764100+18850</f>
        <v>782950</v>
      </c>
      <c r="D159" s="5" t="s">
        <v>1110</v>
      </c>
      <c r="E159" s="5" t="s">
        <v>1111</v>
      </c>
      <c r="F159" s="5" t="s">
        <v>26</v>
      </c>
      <c r="G159" s="7">
        <v>43117</v>
      </c>
      <c r="H159" s="5" t="s">
        <v>27</v>
      </c>
    </row>
    <row r="160" spans="1:12" x14ac:dyDescent="0.25">
      <c r="A160" t="s">
        <v>34</v>
      </c>
      <c r="B160" s="2">
        <v>16</v>
      </c>
      <c r="C160" s="4">
        <f>30750+754</f>
        <v>31504</v>
      </c>
      <c r="D160" s="5" t="s">
        <v>1114</v>
      </c>
      <c r="E160" s="5" t="s">
        <v>1112</v>
      </c>
      <c r="F160" s="5" t="s">
        <v>26</v>
      </c>
      <c r="G160" s="7">
        <v>43117</v>
      </c>
      <c r="H160" s="5" t="s">
        <v>27</v>
      </c>
    </row>
    <row r="161" spans="1:10" x14ac:dyDescent="0.25">
      <c r="A161" t="s">
        <v>34</v>
      </c>
      <c r="B161" s="2">
        <v>16</v>
      </c>
      <c r="C161" s="9">
        <f>32000*G161</f>
        <v>609856</v>
      </c>
      <c r="D161" s="10" t="s">
        <v>1171</v>
      </c>
      <c r="E161" s="10" t="s">
        <v>1296</v>
      </c>
      <c r="F161" s="10" t="s">
        <v>99</v>
      </c>
      <c r="G161" s="11">
        <v>19.058</v>
      </c>
      <c r="H161" s="10">
        <v>33.92</v>
      </c>
      <c r="I161" s="12">
        <v>43116</v>
      </c>
      <c r="J161" s="10" t="s">
        <v>5</v>
      </c>
    </row>
    <row r="162" spans="1:10" x14ac:dyDescent="0.25">
      <c r="A162" t="s">
        <v>34</v>
      </c>
      <c r="B162" s="2">
        <v>16</v>
      </c>
      <c r="C162" s="4">
        <f>27066.5*G162</f>
        <v>515833.35700000002</v>
      </c>
      <c r="D162" s="5" t="s">
        <v>1146</v>
      </c>
      <c r="E162" s="5" t="s">
        <v>1147</v>
      </c>
      <c r="F162" s="5" t="s">
        <v>1148</v>
      </c>
      <c r="G162" s="6">
        <v>19.058</v>
      </c>
      <c r="H162" s="5">
        <v>30.39</v>
      </c>
      <c r="I162" s="7">
        <v>43116</v>
      </c>
      <c r="J162" s="5" t="s">
        <v>5</v>
      </c>
    </row>
    <row r="163" spans="1:10" x14ac:dyDescent="0.25">
      <c r="A163" t="s">
        <v>34</v>
      </c>
      <c r="B163" s="2">
        <v>16</v>
      </c>
      <c r="C163" s="4">
        <v>931768.86</v>
      </c>
      <c r="D163" s="5" t="s">
        <v>1215</v>
      </c>
      <c r="E163" s="5" t="s">
        <v>1233</v>
      </c>
      <c r="F163" s="5" t="s">
        <v>1216</v>
      </c>
      <c r="G163" s="6">
        <v>93</v>
      </c>
      <c r="H163" s="7">
        <v>43119</v>
      </c>
      <c r="I163" s="5" t="s">
        <v>5</v>
      </c>
    </row>
    <row r="164" spans="1:10" x14ac:dyDescent="0.25">
      <c r="A164" t="s">
        <v>34</v>
      </c>
      <c r="B164" s="2">
        <v>16</v>
      </c>
      <c r="C164" s="4">
        <v>115150.19</v>
      </c>
      <c r="D164" s="5" t="s">
        <v>1219</v>
      </c>
      <c r="E164" s="5" t="s">
        <v>1214</v>
      </c>
      <c r="F164" s="5" t="s">
        <v>1220</v>
      </c>
      <c r="G164" s="6" t="s">
        <v>1221</v>
      </c>
      <c r="H164" s="7">
        <v>43117</v>
      </c>
      <c r="I164" s="5" t="s">
        <v>5</v>
      </c>
    </row>
    <row r="165" spans="1:10" x14ac:dyDescent="0.25">
      <c r="A165" t="s">
        <v>44</v>
      </c>
      <c r="B165" s="2">
        <v>17</v>
      </c>
      <c r="C165" s="4">
        <f>646050+15080</f>
        <v>661130</v>
      </c>
      <c r="D165" s="5" t="s">
        <v>1113</v>
      </c>
      <c r="E165" s="5" t="s">
        <v>1115</v>
      </c>
      <c r="F165" s="5" t="s">
        <v>26</v>
      </c>
      <c r="G165" s="7">
        <v>43118</v>
      </c>
      <c r="H165" s="5" t="s">
        <v>27</v>
      </c>
    </row>
    <row r="166" spans="1:10" x14ac:dyDescent="0.25">
      <c r="A166" t="s">
        <v>44</v>
      </c>
      <c r="B166" s="2">
        <v>17</v>
      </c>
      <c r="C166" s="4">
        <f>425400+9802</f>
        <v>435202</v>
      </c>
      <c r="D166" s="5" t="s">
        <v>1116</v>
      </c>
      <c r="E166" s="5" t="s">
        <v>1050</v>
      </c>
      <c r="F166" s="5" t="s">
        <v>26</v>
      </c>
      <c r="G166" s="7">
        <v>43118</v>
      </c>
      <c r="H166" s="5" t="s">
        <v>27</v>
      </c>
    </row>
    <row r="167" spans="1:10" x14ac:dyDescent="0.25">
      <c r="A167" t="s">
        <v>50</v>
      </c>
      <c r="B167" s="2">
        <v>18</v>
      </c>
      <c r="C167" s="9">
        <f>40000*G167</f>
        <v>754280</v>
      </c>
      <c r="D167" s="10" t="s">
        <v>1172</v>
      </c>
      <c r="E167" s="10" t="s">
        <v>1316</v>
      </c>
      <c r="F167" s="10" t="s">
        <v>17</v>
      </c>
      <c r="G167" s="11">
        <v>18.856999999999999</v>
      </c>
      <c r="H167" s="10">
        <v>34.22</v>
      </c>
      <c r="I167" s="12">
        <v>43118</v>
      </c>
      <c r="J167" s="10" t="s">
        <v>5</v>
      </c>
    </row>
    <row r="168" spans="1:10" x14ac:dyDescent="0.25">
      <c r="A168" t="s">
        <v>50</v>
      </c>
      <c r="B168" s="2">
        <v>18</v>
      </c>
      <c r="C168" s="4">
        <f>591900+15080</f>
        <v>606980</v>
      </c>
      <c r="D168" s="5" t="s">
        <v>1117</v>
      </c>
      <c r="E168" s="5" t="s">
        <v>1118</v>
      </c>
      <c r="F168" s="5" t="s">
        <v>26</v>
      </c>
      <c r="G168" s="7">
        <v>43119</v>
      </c>
      <c r="H168" s="5" t="s">
        <v>27</v>
      </c>
    </row>
    <row r="169" spans="1:10" x14ac:dyDescent="0.25">
      <c r="A169" t="s">
        <v>50</v>
      </c>
      <c r="B169" s="2">
        <v>18</v>
      </c>
      <c r="C169" s="4">
        <f>413850+9802</f>
        <v>423652</v>
      </c>
      <c r="D169" s="5" t="s">
        <v>1119</v>
      </c>
      <c r="E169" s="5" t="s">
        <v>1062</v>
      </c>
      <c r="F169" s="5" t="s">
        <v>26</v>
      </c>
      <c r="G169" s="7">
        <v>43119</v>
      </c>
      <c r="H169" s="5" t="s">
        <v>27</v>
      </c>
    </row>
    <row r="170" spans="1:10" x14ac:dyDescent="0.25">
      <c r="A170" t="s">
        <v>1</v>
      </c>
      <c r="B170" s="2">
        <v>19</v>
      </c>
      <c r="C170" s="4">
        <f>25916.66*G170</f>
        <v>488710.45762</v>
      </c>
      <c r="D170" s="5" t="s">
        <v>1185</v>
      </c>
      <c r="E170" s="5" t="s">
        <v>1186</v>
      </c>
      <c r="F170" s="5" t="s">
        <v>1187</v>
      </c>
      <c r="G170" s="6">
        <v>18.856999999999999</v>
      </c>
      <c r="H170" s="5">
        <v>29.86</v>
      </c>
      <c r="I170" s="7">
        <v>43119</v>
      </c>
    </row>
    <row r="171" spans="1:10" x14ac:dyDescent="0.25">
      <c r="A171" t="s">
        <v>1</v>
      </c>
      <c r="B171" s="2">
        <v>19</v>
      </c>
      <c r="C171" s="4">
        <v>90680</v>
      </c>
      <c r="D171" s="5" t="s">
        <v>1208</v>
      </c>
      <c r="E171" s="5" t="s">
        <v>1240</v>
      </c>
      <c r="F171" s="5" t="s">
        <v>23</v>
      </c>
      <c r="G171" s="6">
        <v>20</v>
      </c>
      <c r="H171" s="7">
        <v>43117</v>
      </c>
      <c r="I171" s="5" t="s">
        <v>5</v>
      </c>
    </row>
    <row r="172" spans="1:10" x14ac:dyDescent="0.25">
      <c r="A172" s="14" t="s">
        <v>13</v>
      </c>
      <c r="B172" s="2">
        <v>20</v>
      </c>
    </row>
    <row r="173" spans="1:10" x14ac:dyDescent="0.25">
      <c r="A173" s="14" t="s">
        <v>14</v>
      </c>
      <c r="B173" s="2">
        <v>21</v>
      </c>
    </row>
    <row r="174" spans="1:10" x14ac:dyDescent="0.25">
      <c r="A174" t="s">
        <v>15</v>
      </c>
      <c r="B174" s="2">
        <v>22</v>
      </c>
      <c r="C174" s="9">
        <f>33000*G174</f>
        <v>615780</v>
      </c>
      <c r="D174" s="10" t="s">
        <v>1173</v>
      </c>
      <c r="E174" s="10" t="s">
        <v>1348</v>
      </c>
      <c r="F174" s="10" t="s">
        <v>8</v>
      </c>
      <c r="G174" s="11">
        <v>18.66</v>
      </c>
      <c r="H174" s="10">
        <v>35.17</v>
      </c>
      <c r="I174" s="12">
        <v>43122</v>
      </c>
      <c r="J174" s="10" t="s">
        <v>5</v>
      </c>
    </row>
    <row r="175" spans="1:10" x14ac:dyDescent="0.25">
      <c r="A175" t="s">
        <v>15</v>
      </c>
      <c r="B175" s="2">
        <v>22</v>
      </c>
      <c r="C175" s="9">
        <f>31534.39*G175</f>
        <v>592121.24103000003</v>
      </c>
      <c r="D175" s="10" t="s">
        <v>1170</v>
      </c>
      <c r="E175" s="10" t="s">
        <v>1270</v>
      </c>
      <c r="F175" s="10" t="s">
        <v>1271</v>
      </c>
      <c r="G175" s="11">
        <v>18.777000000000001</v>
      </c>
      <c r="H175" s="10">
        <v>33.880000000000003</v>
      </c>
      <c r="I175" s="12">
        <v>43122</v>
      </c>
      <c r="J175" s="10" t="s">
        <v>5</v>
      </c>
    </row>
    <row r="176" spans="1:10" x14ac:dyDescent="0.25">
      <c r="A176" t="s">
        <v>15</v>
      </c>
      <c r="B176" s="2">
        <v>22</v>
      </c>
      <c r="C176" s="4">
        <v>91988</v>
      </c>
      <c r="D176" s="5" t="s">
        <v>1209</v>
      </c>
      <c r="E176" s="5" t="s">
        <v>1241</v>
      </c>
      <c r="F176" s="5" t="s">
        <v>23</v>
      </c>
      <c r="G176" s="5">
        <v>20</v>
      </c>
      <c r="H176" s="7">
        <v>43122</v>
      </c>
      <c r="I176" s="5" t="s">
        <v>5</v>
      </c>
    </row>
    <row r="177" spans="1:11" x14ac:dyDescent="0.25">
      <c r="A177" t="s">
        <v>15</v>
      </c>
      <c r="B177" s="2">
        <v>22</v>
      </c>
      <c r="C177" s="4">
        <v>14585.6</v>
      </c>
      <c r="D177" s="5" t="s">
        <v>1278</v>
      </c>
      <c r="E177" s="5" t="s">
        <v>1279</v>
      </c>
      <c r="F177" s="5" t="s">
        <v>1280</v>
      </c>
      <c r="G177" s="5" t="s">
        <v>1281</v>
      </c>
      <c r="H177" s="7">
        <v>43122</v>
      </c>
      <c r="I177" s="5" t="s">
        <v>5</v>
      </c>
    </row>
    <row r="178" spans="1:11" x14ac:dyDescent="0.25">
      <c r="A178" t="s">
        <v>15</v>
      </c>
      <c r="B178" s="2">
        <v>22</v>
      </c>
      <c r="C178" s="4">
        <f>724500+15080</f>
        <v>739580</v>
      </c>
      <c r="D178" s="5" t="s">
        <v>1223</v>
      </c>
      <c r="E178" s="5" t="s">
        <v>1100</v>
      </c>
      <c r="F178" s="5" t="s">
        <v>26</v>
      </c>
      <c r="G178" s="7">
        <v>43122</v>
      </c>
      <c r="H178" s="5" t="s">
        <v>27</v>
      </c>
      <c r="J178" t="s">
        <v>775</v>
      </c>
    </row>
    <row r="179" spans="1:11" x14ac:dyDescent="0.25">
      <c r="A179" t="s">
        <v>15</v>
      </c>
      <c r="B179" s="2">
        <v>22</v>
      </c>
      <c r="C179" s="4">
        <f>401100+9726.6</f>
        <v>410826.6</v>
      </c>
      <c r="D179" s="5" t="s">
        <v>1224</v>
      </c>
      <c r="E179" s="5" t="s">
        <v>1101</v>
      </c>
      <c r="F179" s="5" t="s">
        <v>26</v>
      </c>
      <c r="G179" s="7">
        <v>43122</v>
      </c>
      <c r="H179" s="5" t="s">
        <v>27</v>
      </c>
    </row>
    <row r="180" spans="1:11" x14ac:dyDescent="0.25">
      <c r="A180" t="s">
        <v>15</v>
      </c>
      <c r="B180" s="2">
        <v>22</v>
      </c>
      <c r="C180" s="4">
        <f>665550+17342</f>
        <v>682892</v>
      </c>
      <c r="D180" s="5" t="s">
        <v>1225</v>
      </c>
      <c r="E180" s="5" t="s">
        <v>1103</v>
      </c>
      <c r="F180" s="5" t="s">
        <v>26</v>
      </c>
      <c r="G180" s="7">
        <v>43122</v>
      </c>
      <c r="H180" s="5" t="s">
        <v>27</v>
      </c>
    </row>
    <row r="181" spans="1:11" x14ac:dyDescent="0.25">
      <c r="A181" t="s">
        <v>15</v>
      </c>
      <c r="B181" s="2">
        <v>22</v>
      </c>
      <c r="C181" s="4">
        <f>802800+16588</f>
        <v>819388</v>
      </c>
      <c r="D181" s="5" t="s">
        <v>1226</v>
      </c>
      <c r="E181" s="5" t="s">
        <v>1141</v>
      </c>
      <c r="F181" s="5" t="s">
        <v>26</v>
      </c>
      <c r="G181" s="7">
        <v>43123</v>
      </c>
      <c r="H181" s="5" t="s">
        <v>27</v>
      </c>
    </row>
    <row r="182" spans="1:11" x14ac:dyDescent="0.25">
      <c r="A182" t="s">
        <v>15</v>
      </c>
      <c r="B182" s="2">
        <v>22</v>
      </c>
      <c r="C182" s="4">
        <f>450000+80162.85</f>
        <v>530162.85</v>
      </c>
      <c r="D182" s="5" t="s">
        <v>1285</v>
      </c>
      <c r="E182" s="5" t="s">
        <v>1304</v>
      </c>
      <c r="F182" s="5" t="s">
        <v>1286</v>
      </c>
      <c r="G182" s="7">
        <v>43122</v>
      </c>
      <c r="H182" s="5" t="s">
        <v>1303</v>
      </c>
      <c r="I182" s="5" t="s">
        <v>5</v>
      </c>
    </row>
    <row r="183" spans="1:11" x14ac:dyDescent="0.25">
      <c r="A183" t="s">
        <v>34</v>
      </c>
      <c r="B183" s="2">
        <v>23</v>
      </c>
      <c r="C183" s="9">
        <f>35000*G183</f>
        <v>657195</v>
      </c>
      <c r="D183" s="10" t="s">
        <v>1265</v>
      </c>
      <c r="E183" s="10" t="s">
        <v>1391</v>
      </c>
      <c r="F183" s="10" t="s">
        <v>53</v>
      </c>
      <c r="G183" s="11">
        <v>18.777000000000001</v>
      </c>
      <c r="H183" s="10">
        <v>35.58</v>
      </c>
      <c r="I183" s="12">
        <v>43123</v>
      </c>
      <c r="J183" s="10" t="s">
        <v>5</v>
      </c>
    </row>
    <row r="184" spans="1:11" x14ac:dyDescent="0.25">
      <c r="A184" t="s">
        <v>34</v>
      </c>
      <c r="B184" s="2">
        <v>23</v>
      </c>
      <c r="C184" s="4">
        <f>729900+16588</f>
        <v>746488</v>
      </c>
      <c r="D184" s="5" t="s">
        <v>1227</v>
      </c>
      <c r="E184" s="5" t="s">
        <v>1167</v>
      </c>
      <c r="F184" s="5" t="s">
        <v>26</v>
      </c>
      <c r="G184" s="7">
        <v>43124</v>
      </c>
      <c r="H184" s="5" t="s">
        <v>27</v>
      </c>
    </row>
    <row r="185" spans="1:11" ht="15.75" customHeight="1" x14ac:dyDescent="0.25">
      <c r="A185" t="s">
        <v>34</v>
      </c>
      <c r="B185" s="2">
        <v>23</v>
      </c>
      <c r="C185" s="4">
        <f>28297.46*G185</f>
        <v>527436.35693999997</v>
      </c>
      <c r="D185" s="5" t="s">
        <v>1188</v>
      </c>
      <c r="E185" s="5" t="s">
        <v>1189</v>
      </c>
      <c r="F185" s="5" t="s">
        <v>1190</v>
      </c>
      <c r="G185" s="6">
        <v>18.638999999999999</v>
      </c>
      <c r="H185" s="5">
        <v>29.38</v>
      </c>
      <c r="I185" s="7">
        <v>43123</v>
      </c>
      <c r="J185" s="5" t="s">
        <v>5</v>
      </c>
    </row>
    <row r="186" spans="1:11" ht="15.75" customHeight="1" x14ac:dyDescent="0.25">
      <c r="A186" t="s">
        <v>44</v>
      </c>
      <c r="B186" s="2">
        <v>24</v>
      </c>
      <c r="C186" s="9">
        <f>33000*G186</f>
        <v>619641</v>
      </c>
      <c r="D186" s="10" t="s">
        <v>1266</v>
      </c>
      <c r="E186" s="10" t="s">
        <v>1392</v>
      </c>
      <c r="F186" s="10" t="s">
        <v>8</v>
      </c>
      <c r="G186" s="11">
        <v>18.777000000000001</v>
      </c>
      <c r="H186" s="10">
        <v>34.99</v>
      </c>
      <c r="I186" s="12">
        <v>43124</v>
      </c>
      <c r="J186" s="10" t="s">
        <v>5</v>
      </c>
    </row>
    <row r="187" spans="1:11" x14ac:dyDescent="0.25">
      <c r="A187" t="s">
        <v>34</v>
      </c>
      <c r="B187" s="2">
        <v>24</v>
      </c>
      <c r="C187" s="4">
        <f>952650+16437.2-15877.5</f>
        <v>953209.7</v>
      </c>
      <c r="D187" s="5" t="s">
        <v>1231</v>
      </c>
      <c r="E187" s="5" t="s">
        <v>1175</v>
      </c>
      <c r="F187" s="5" t="s">
        <v>26</v>
      </c>
      <c r="G187" s="7">
        <v>43125</v>
      </c>
      <c r="H187" s="5" t="s">
        <v>27</v>
      </c>
    </row>
    <row r="188" spans="1:11" x14ac:dyDescent="0.25">
      <c r="A188" t="s">
        <v>44</v>
      </c>
      <c r="B188" s="2">
        <v>24</v>
      </c>
      <c r="C188" s="4">
        <f>554400+12064</f>
        <v>566464</v>
      </c>
      <c r="D188" s="5" t="s">
        <v>1230</v>
      </c>
      <c r="E188" s="5" t="s">
        <v>1176</v>
      </c>
      <c r="F188" s="5" t="s">
        <v>26</v>
      </c>
      <c r="G188" s="7">
        <v>43126</v>
      </c>
      <c r="H188" s="5" t="s">
        <v>27</v>
      </c>
    </row>
    <row r="189" spans="1:11" x14ac:dyDescent="0.25">
      <c r="A189" t="s">
        <v>50</v>
      </c>
      <c r="B189" s="2">
        <v>25</v>
      </c>
      <c r="C189" s="9">
        <f>33000*G189</f>
        <v>619080</v>
      </c>
      <c r="D189" s="10" t="s">
        <v>1267</v>
      </c>
      <c r="E189" s="10" t="s">
        <v>1402</v>
      </c>
      <c r="F189" s="10" t="s">
        <v>8</v>
      </c>
      <c r="G189" s="11">
        <v>18.760000000000002</v>
      </c>
      <c r="H189" s="10">
        <v>35.22</v>
      </c>
      <c r="I189" s="12">
        <v>43125</v>
      </c>
      <c r="J189" s="10" t="s">
        <v>5</v>
      </c>
    </row>
    <row r="190" spans="1:11" x14ac:dyDescent="0.25">
      <c r="A190" t="s">
        <v>50</v>
      </c>
      <c r="B190" s="2">
        <v>25</v>
      </c>
      <c r="C190" s="4">
        <f>765900+18774.6</f>
        <v>784674.6</v>
      </c>
      <c r="D190" s="5" t="s">
        <v>1229</v>
      </c>
      <c r="E190" s="5" t="s">
        <v>1191</v>
      </c>
      <c r="F190" s="5" t="s">
        <v>26</v>
      </c>
      <c r="G190" s="7">
        <v>43126</v>
      </c>
      <c r="H190" s="5" t="s">
        <v>27</v>
      </c>
    </row>
    <row r="191" spans="1:11" x14ac:dyDescent="0.25">
      <c r="A191" t="s">
        <v>50</v>
      </c>
      <c r="B191" s="2">
        <v>25</v>
      </c>
      <c r="C191" s="4">
        <f>403350+9802</f>
        <v>413152</v>
      </c>
      <c r="D191" s="5" t="s">
        <v>1229</v>
      </c>
      <c r="E191" s="5" t="s">
        <v>1192</v>
      </c>
      <c r="F191" s="5" t="s">
        <v>26</v>
      </c>
      <c r="G191" s="7">
        <v>43129</v>
      </c>
      <c r="H191" s="5" t="s">
        <v>27</v>
      </c>
    </row>
    <row r="192" spans="1:11" x14ac:dyDescent="0.25">
      <c r="A192" t="s">
        <v>1</v>
      </c>
      <c r="B192" s="2">
        <v>26</v>
      </c>
      <c r="C192" s="4">
        <f>29699.62*G192</f>
        <v>556867.875</v>
      </c>
      <c r="D192" s="5" t="s">
        <v>1250</v>
      </c>
      <c r="E192" s="5" t="s">
        <v>1251</v>
      </c>
      <c r="F192" s="5" t="s">
        <v>1330</v>
      </c>
      <c r="G192" s="6">
        <v>18.75</v>
      </c>
      <c r="H192" s="5">
        <v>31.84</v>
      </c>
      <c r="I192" s="7">
        <v>43157</v>
      </c>
      <c r="J192" s="5" t="s">
        <v>5</v>
      </c>
      <c r="K192" t="s">
        <v>1331</v>
      </c>
    </row>
    <row r="193" spans="1:15" x14ac:dyDescent="0.25">
      <c r="A193" t="s">
        <v>1</v>
      </c>
      <c r="B193" s="2">
        <v>26</v>
      </c>
      <c r="C193" s="4">
        <v>36834</v>
      </c>
      <c r="D193" s="5" t="s">
        <v>1347</v>
      </c>
      <c r="E193" s="5" t="s">
        <v>1346</v>
      </c>
      <c r="F193" s="5" t="s">
        <v>23</v>
      </c>
      <c r="G193" s="6">
        <v>20</v>
      </c>
      <c r="H193" s="7">
        <v>43130</v>
      </c>
      <c r="I193" s="5" t="s">
        <v>5</v>
      </c>
    </row>
    <row r="194" spans="1:15" x14ac:dyDescent="0.25">
      <c r="A194" s="14" t="s">
        <v>13</v>
      </c>
      <c r="B194" s="2">
        <v>27</v>
      </c>
    </row>
    <row r="195" spans="1:15" x14ac:dyDescent="0.25">
      <c r="A195" s="14" t="s">
        <v>14</v>
      </c>
      <c r="B195" s="2">
        <v>28</v>
      </c>
    </row>
    <row r="196" spans="1:15" x14ac:dyDescent="0.25">
      <c r="A196" t="s">
        <v>15</v>
      </c>
      <c r="B196" s="2">
        <v>29</v>
      </c>
      <c r="C196" s="9">
        <f>34000*G196</f>
        <v>637908</v>
      </c>
      <c r="D196" s="10" t="s">
        <v>1274</v>
      </c>
      <c r="E196" s="10" t="s">
        <v>1448</v>
      </c>
      <c r="F196" s="10" t="s">
        <v>1295</v>
      </c>
      <c r="G196" s="11">
        <v>18.762</v>
      </c>
      <c r="H196" s="10">
        <v>33.21</v>
      </c>
      <c r="I196" s="12">
        <v>43129</v>
      </c>
      <c r="J196" s="10" t="s">
        <v>5</v>
      </c>
    </row>
    <row r="197" spans="1:15" x14ac:dyDescent="0.25">
      <c r="A197" t="s">
        <v>15</v>
      </c>
      <c r="B197" s="2">
        <v>29</v>
      </c>
      <c r="C197" s="4">
        <v>786528.55</v>
      </c>
      <c r="D197" s="5" t="s">
        <v>1212</v>
      </c>
      <c r="E197" s="5" t="s">
        <v>1210</v>
      </c>
      <c r="F197" s="5" t="s">
        <v>201</v>
      </c>
      <c r="G197" s="5">
        <v>42.5</v>
      </c>
      <c r="H197" s="7">
        <v>43129</v>
      </c>
      <c r="I197" s="5" t="s">
        <v>5</v>
      </c>
    </row>
    <row r="198" spans="1:15" x14ac:dyDescent="0.25">
      <c r="A198" t="s">
        <v>15</v>
      </c>
      <c r="B198" s="2">
        <v>29</v>
      </c>
      <c r="C198" s="4">
        <f>830100+16588</f>
        <v>846688</v>
      </c>
      <c r="D198" s="5" t="s">
        <v>1234</v>
      </c>
      <c r="E198" s="5" t="s">
        <v>1235</v>
      </c>
      <c r="F198" s="5" t="s">
        <v>26</v>
      </c>
      <c r="G198" s="7">
        <v>43129</v>
      </c>
      <c r="H198" s="5" t="s">
        <v>27</v>
      </c>
    </row>
    <row r="199" spans="1:15" x14ac:dyDescent="0.25">
      <c r="A199" t="s">
        <v>15</v>
      </c>
      <c r="B199" s="2">
        <v>29</v>
      </c>
      <c r="C199" s="4">
        <f>511500+12064</f>
        <v>523564</v>
      </c>
      <c r="D199" s="5" t="s">
        <v>1236</v>
      </c>
      <c r="E199" s="5" t="s">
        <v>1193</v>
      </c>
      <c r="F199" s="5" t="s">
        <v>26</v>
      </c>
      <c r="G199" s="7">
        <v>43129</v>
      </c>
      <c r="H199" s="5" t="s">
        <v>27</v>
      </c>
    </row>
    <row r="200" spans="1:15" x14ac:dyDescent="0.25">
      <c r="A200" t="s">
        <v>15</v>
      </c>
      <c r="B200" s="2">
        <v>29</v>
      </c>
      <c r="C200" s="4">
        <f>785700+18850</f>
        <v>804550</v>
      </c>
      <c r="D200" s="5" t="s">
        <v>1237</v>
      </c>
      <c r="E200" s="5" t="s">
        <v>1238</v>
      </c>
      <c r="F200" s="5" t="s">
        <v>26</v>
      </c>
      <c r="G200" s="7">
        <v>43130</v>
      </c>
      <c r="H200" s="5" t="s">
        <v>27</v>
      </c>
    </row>
    <row r="201" spans="1:15" x14ac:dyDescent="0.25">
      <c r="A201" t="s">
        <v>15</v>
      </c>
      <c r="B201" s="2">
        <v>29</v>
      </c>
      <c r="C201" s="4">
        <f>726000+16512.6</f>
        <v>742512.6</v>
      </c>
      <c r="D201" s="5" t="s">
        <v>1239</v>
      </c>
      <c r="E201" s="5" t="s">
        <v>1232</v>
      </c>
      <c r="F201" s="5" t="s">
        <v>26</v>
      </c>
      <c r="G201" s="7">
        <v>43130</v>
      </c>
      <c r="H201" s="5" t="s">
        <v>27</v>
      </c>
    </row>
    <row r="202" spans="1:15" x14ac:dyDescent="0.25">
      <c r="A202" t="s">
        <v>15</v>
      </c>
      <c r="B202" s="2">
        <v>29</v>
      </c>
      <c r="C202" s="4">
        <v>631833.93000000005</v>
      </c>
      <c r="D202" s="5" t="s">
        <v>1364</v>
      </c>
      <c r="E202" s="5" t="s">
        <v>1363</v>
      </c>
      <c r="F202" s="5" t="s">
        <v>1365</v>
      </c>
      <c r="G202" s="5"/>
      <c r="H202" s="126" t="s">
        <v>1366</v>
      </c>
      <c r="I202" s="7">
        <v>43133</v>
      </c>
      <c r="J202" s="5" t="s">
        <v>5</v>
      </c>
    </row>
    <row r="203" spans="1:15" x14ac:dyDescent="0.25">
      <c r="A203" t="s">
        <v>15</v>
      </c>
      <c r="B203" s="2">
        <v>29</v>
      </c>
      <c r="C203" s="4">
        <f>33821.8*G203</f>
        <v>629694.27240000002</v>
      </c>
      <c r="D203" s="5" t="s">
        <v>1385</v>
      </c>
      <c r="E203" s="5" t="s">
        <v>1387</v>
      </c>
      <c r="F203" s="5" t="s">
        <v>1386</v>
      </c>
      <c r="G203" s="5">
        <v>18.617999999999999</v>
      </c>
      <c r="H203" s="126">
        <v>36.69</v>
      </c>
      <c r="I203" s="7">
        <v>43130</v>
      </c>
      <c r="J203" s="10" t="s">
        <v>5</v>
      </c>
    </row>
    <row r="204" spans="1:15" x14ac:dyDescent="0.25">
      <c r="A204" t="s">
        <v>34</v>
      </c>
      <c r="B204" s="2">
        <v>30</v>
      </c>
      <c r="C204" s="9">
        <f>34500*G204</f>
        <v>638905.5</v>
      </c>
      <c r="D204" s="10" t="s">
        <v>1321</v>
      </c>
      <c r="E204" s="10" t="s">
        <v>1487</v>
      </c>
      <c r="F204" s="10" t="s">
        <v>1322</v>
      </c>
      <c r="G204" s="11">
        <v>18.518999999999998</v>
      </c>
      <c r="H204" s="10">
        <v>31.45</v>
      </c>
      <c r="I204" s="12">
        <v>43130</v>
      </c>
      <c r="J204" s="10" t="s">
        <v>5</v>
      </c>
    </row>
    <row r="205" spans="1:15" x14ac:dyDescent="0.25">
      <c r="A205" t="s">
        <v>34</v>
      </c>
      <c r="B205" s="2">
        <v>30</v>
      </c>
      <c r="C205" s="9">
        <f>34500*G205</f>
        <v>638905.5</v>
      </c>
      <c r="D205" s="10" t="s">
        <v>1320</v>
      </c>
      <c r="E205" s="10" t="s">
        <v>1488</v>
      </c>
      <c r="F205" s="10" t="s">
        <v>1322</v>
      </c>
      <c r="G205" s="11">
        <v>18.518999999999998</v>
      </c>
      <c r="H205" s="10">
        <v>31.52</v>
      </c>
      <c r="I205" s="12">
        <v>43130</v>
      </c>
      <c r="J205" s="10" t="s">
        <v>5</v>
      </c>
    </row>
    <row r="206" spans="1:15" x14ac:dyDescent="0.25">
      <c r="A206" t="s">
        <v>34</v>
      </c>
      <c r="B206" s="2">
        <v>30</v>
      </c>
      <c r="C206" s="4">
        <f>799050+16588-3600</f>
        <v>812038</v>
      </c>
      <c r="D206" s="5" t="s">
        <v>1246</v>
      </c>
      <c r="E206" s="5" t="s">
        <v>1245</v>
      </c>
      <c r="F206" s="5" t="s">
        <v>26</v>
      </c>
      <c r="G206" s="7">
        <v>43132</v>
      </c>
      <c r="H206" s="5" t="s">
        <v>27</v>
      </c>
    </row>
    <row r="207" spans="1:15" x14ac:dyDescent="0.25">
      <c r="A207" t="s">
        <v>44</v>
      </c>
      <c r="B207" s="2">
        <v>31</v>
      </c>
      <c r="C207" s="4">
        <f>31883.89*G207</f>
        <v>590457.75890999998</v>
      </c>
      <c r="D207" s="5" t="s">
        <v>1255</v>
      </c>
      <c r="E207" s="5" t="s">
        <v>1256</v>
      </c>
      <c r="F207" s="5" t="s">
        <v>1332</v>
      </c>
      <c r="G207" s="6">
        <v>18.518999999999998</v>
      </c>
      <c r="H207" s="5">
        <v>32.96</v>
      </c>
      <c r="I207" s="7">
        <v>43131</v>
      </c>
      <c r="J207" s="5" t="s">
        <v>5</v>
      </c>
      <c r="K207" s="15" t="s">
        <v>1333</v>
      </c>
      <c r="L207" s="15"/>
      <c r="M207" s="15"/>
      <c r="N207" s="15" t="s">
        <v>1334</v>
      </c>
      <c r="O207" s="15"/>
    </row>
    <row r="208" spans="1:15" x14ac:dyDescent="0.25">
      <c r="A208" t="s">
        <v>44</v>
      </c>
      <c r="B208" s="2">
        <v>31</v>
      </c>
      <c r="C208" s="4">
        <f>914100+18774.6</f>
        <v>932874.6</v>
      </c>
      <c r="D208" s="5" t="s">
        <v>1261</v>
      </c>
      <c r="E208" s="5" t="s">
        <v>1262</v>
      </c>
      <c r="F208" s="5" t="s">
        <v>26</v>
      </c>
      <c r="G208" s="7">
        <v>43138</v>
      </c>
      <c r="H208" s="5" t="s">
        <v>27</v>
      </c>
    </row>
    <row r="209" spans="1:10" x14ac:dyDescent="0.25">
      <c r="A209" t="s">
        <v>44</v>
      </c>
      <c r="B209" s="2">
        <v>31</v>
      </c>
      <c r="C209" s="4">
        <f>421050+9802</f>
        <v>430852</v>
      </c>
      <c r="D209" s="5" t="s">
        <v>1263</v>
      </c>
      <c r="E209" s="5" t="s">
        <v>1254</v>
      </c>
      <c r="F209" s="5" t="s">
        <v>26</v>
      </c>
      <c r="G209" s="7">
        <v>43131</v>
      </c>
      <c r="H209" s="5" t="s">
        <v>27</v>
      </c>
    </row>
    <row r="210" spans="1:10" x14ac:dyDescent="0.25">
      <c r="A210" s="1" t="s">
        <v>1264</v>
      </c>
    </row>
    <row r="211" spans="1:10" x14ac:dyDescent="0.25">
      <c r="A211" t="s">
        <v>50</v>
      </c>
      <c r="B211" s="2">
        <v>1</v>
      </c>
      <c r="C211" s="9">
        <f>37000*G211</f>
        <v>691160</v>
      </c>
      <c r="D211" s="10" t="s">
        <v>1324</v>
      </c>
      <c r="E211" s="10" t="s">
        <v>1491</v>
      </c>
      <c r="F211" s="10" t="s">
        <v>1329</v>
      </c>
      <c r="G211" s="11">
        <v>18.68</v>
      </c>
      <c r="H211" s="10">
        <v>32.700000000000003</v>
      </c>
      <c r="I211" s="12">
        <v>43132</v>
      </c>
      <c r="J211" s="10" t="s">
        <v>5</v>
      </c>
    </row>
    <row r="212" spans="1:10" x14ac:dyDescent="0.25">
      <c r="A212" t="s">
        <v>50</v>
      </c>
      <c r="B212" s="2">
        <v>1</v>
      </c>
      <c r="C212" s="4">
        <f>865350+18850</f>
        <v>884200</v>
      </c>
      <c r="D212" s="5" t="s">
        <v>1367</v>
      </c>
      <c r="E212" s="5" t="s">
        <v>1258</v>
      </c>
      <c r="F212" s="5" t="s">
        <v>26</v>
      </c>
      <c r="G212" s="7">
        <v>43138</v>
      </c>
      <c r="H212" s="5" t="s">
        <v>27</v>
      </c>
    </row>
    <row r="213" spans="1:10" x14ac:dyDescent="0.25">
      <c r="A213" t="s">
        <v>50</v>
      </c>
      <c r="B213" s="2">
        <v>1</v>
      </c>
      <c r="C213" s="4">
        <f>406050+9802</f>
        <v>415852</v>
      </c>
      <c r="D213" s="5" t="s">
        <v>1368</v>
      </c>
      <c r="E213" s="5" t="s">
        <v>1259</v>
      </c>
      <c r="F213" s="5" t="s">
        <v>26</v>
      </c>
      <c r="G213" s="7">
        <v>43138</v>
      </c>
      <c r="H213" s="5" t="s">
        <v>27</v>
      </c>
    </row>
    <row r="214" spans="1:10" x14ac:dyDescent="0.25">
      <c r="A214" t="s">
        <v>1</v>
      </c>
      <c r="B214" s="2">
        <v>2</v>
      </c>
      <c r="C214" s="4">
        <f>31066.59*G214</f>
        <v>580323.90119999996</v>
      </c>
      <c r="D214" s="5" t="s">
        <v>1326</v>
      </c>
      <c r="E214" s="5" t="s">
        <v>1327</v>
      </c>
      <c r="F214" s="5" t="s">
        <v>1328</v>
      </c>
      <c r="G214" s="6">
        <v>18.68</v>
      </c>
      <c r="H214" s="5">
        <v>33.31</v>
      </c>
      <c r="I214" s="7">
        <v>43133</v>
      </c>
    </row>
    <row r="215" spans="1:10" x14ac:dyDescent="0.25">
      <c r="A215" t="s">
        <v>1</v>
      </c>
      <c r="B215" s="2">
        <v>2</v>
      </c>
      <c r="C215" s="4">
        <v>837185.04</v>
      </c>
      <c r="D215" s="5" t="s">
        <v>1338</v>
      </c>
      <c r="E215" s="5" t="s">
        <v>1339</v>
      </c>
      <c r="F215" s="5" t="s">
        <v>1340</v>
      </c>
      <c r="G215" s="5">
        <v>39.799999999999997</v>
      </c>
      <c r="H215" s="7">
        <v>43133</v>
      </c>
      <c r="I215" s="5" t="s">
        <v>27</v>
      </c>
    </row>
    <row r="216" spans="1:10" x14ac:dyDescent="0.25">
      <c r="A216" s="14" t="s">
        <v>13</v>
      </c>
      <c r="B216" s="2">
        <v>3</v>
      </c>
    </row>
    <row r="217" spans="1:10" x14ac:dyDescent="0.25">
      <c r="A217" s="14" t="s">
        <v>14</v>
      </c>
      <c r="B217" s="2">
        <v>4</v>
      </c>
    </row>
    <row r="218" spans="1:10" x14ac:dyDescent="0.25">
      <c r="A218" t="s">
        <v>15</v>
      </c>
      <c r="B218" s="2">
        <v>5</v>
      </c>
      <c r="C218" s="3" t="s">
        <v>1369</v>
      </c>
    </row>
    <row r="219" spans="1:10" x14ac:dyDescent="0.25">
      <c r="A219" t="s">
        <v>34</v>
      </c>
      <c r="B219" s="2">
        <v>6</v>
      </c>
      <c r="C219" s="9">
        <f>31000*G219</f>
        <v>571640</v>
      </c>
      <c r="D219" s="10" t="s">
        <v>1325</v>
      </c>
      <c r="E219" s="10" t="s">
        <v>1534</v>
      </c>
      <c r="F219" s="10" t="s">
        <v>1414</v>
      </c>
      <c r="G219" s="9">
        <v>18.440000000000001</v>
      </c>
      <c r="H219" s="10">
        <v>30.08</v>
      </c>
      <c r="I219" s="12">
        <v>43137</v>
      </c>
      <c r="J219" s="10" t="s">
        <v>5</v>
      </c>
    </row>
    <row r="220" spans="1:10" x14ac:dyDescent="0.25">
      <c r="A220" t="s">
        <v>34</v>
      </c>
      <c r="B220" s="2">
        <v>6</v>
      </c>
      <c r="C220" s="4">
        <f>32247.33*G220</f>
        <v>594157.05525000009</v>
      </c>
      <c r="D220" s="5" t="s">
        <v>1404</v>
      </c>
      <c r="E220" s="5" t="s">
        <v>1405</v>
      </c>
      <c r="F220" s="5" t="s">
        <v>1406</v>
      </c>
      <c r="G220" s="6">
        <v>18.425000000000001</v>
      </c>
      <c r="H220" s="5">
        <v>33.11</v>
      </c>
      <c r="I220" s="7">
        <v>43137</v>
      </c>
      <c r="J220" s="5" t="s">
        <v>5</v>
      </c>
    </row>
    <row r="221" spans="1:10" x14ac:dyDescent="0.25">
      <c r="A221" t="s">
        <v>34</v>
      </c>
      <c r="B221" s="2">
        <v>6</v>
      </c>
      <c r="C221" s="9">
        <f>30084.71*G221</f>
        <v>563787.46539999999</v>
      </c>
      <c r="D221" s="10" t="s">
        <v>1323</v>
      </c>
      <c r="E221" s="10" t="s">
        <v>1483</v>
      </c>
      <c r="F221" s="10" t="s">
        <v>1484</v>
      </c>
      <c r="G221" s="9">
        <v>18.739999999999998</v>
      </c>
      <c r="H221" s="10">
        <v>32.299999999999997</v>
      </c>
      <c r="I221" s="12">
        <v>43138</v>
      </c>
      <c r="J221" s="10" t="s">
        <v>5</v>
      </c>
    </row>
    <row r="222" spans="1:10" x14ac:dyDescent="0.25">
      <c r="A222" t="s">
        <v>34</v>
      </c>
      <c r="B222" s="2">
        <v>6</v>
      </c>
      <c r="C222" s="4">
        <f>792300+16588</f>
        <v>808888</v>
      </c>
      <c r="D222" s="5" t="s">
        <v>1370</v>
      </c>
      <c r="E222" s="5" t="s">
        <v>1290</v>
      </c>
      <c r="F222" s="5" t="s">
        <v>26</v>
      </c>
      <c r="G222" s="7">
        <v>43138</v>
      </c>
      <c r="H222" s="5" t="s">
        <v>27</v>
      </c>
    </row>
    <row r="223" spans="1:10" x14ac:dyDescent="0.25">
      <c r="A223" t="s">
        <v>34</v>
      </c>
      <c r="B223" s="2">
        <v>6</v>
      </c>
      <c r="C223" s="4">
        <f>425550+9802</f>
        <v>435352</v>
      </c>
      <c r="D223" s="5" t="s">
        <v>1370</v>
      </c>
      <c r="E223" s="5" t="s">
        <v>1291</v>
      </c>
      <c r="F223" s="5" t="s">
        <v>26</v>
      </c>
      <c r="G223" s="7">
        <v>43139</v>
      </c>
      <c r="H223" s="5" t="s">
        <v>27</v>
      </c>
    </row>
    <row r="224" spans="1:10" x14ac:dyDescent="0.25">
      <c r="A224" t="s">
        <v>34</v>
      </c>
      <c r="B224" s="2">
        <v>6</v>
      </c>
      <c r="C224" s="4">
        <f>838800+18774.6</f>
        <v>857574.6</v>
      </c>
      <c r="D224" s="5" t="s">
        <v>1371</v>
      </c>
      <c r="E224" s="5" t="s">
        <v>1372</v>
      </c>
      <c r="F224" s="5" t="s">
        <v>26</v>
      </c>
      <c r="G224" s="7">
        <v>43143</v>
      </c>
      <c r="H224" s="5" t="s">
        <v>27</v>
      </c>
    </row>
    <row r="225" spans="1:10" x14ac:dyDescent="0.25">
      <c r="A225" t="s">
        <v>34</v>
      </c>
      <c r="B225" s="2">
        <v>6</v>
      </c>
      <c r="C225" s="4">
        <f>33900+754</f>
        <v>34654</v>
      </c>
      <c r="D225" s="5" t="s">
        <v>1374</v>
      </c>
      <c r="E225" s="5" t="s">
        <v>1373</v>
      </c>
      <c r="F225" s="5" t="s">
        <v>26</v>
      </c>
      <c r="G225" s="7">
        <v>43139</v>
      </c>
      <c r="H225" s="5" t="s">
        <v>27</v>
      </c>
    </row>
    <row r="226" spans="1:10" x14ac:dyDescent="0.25">
      <c r="A226" t="s">
        <v>34</v>
      </c>
      <c r="B226" s="2">
        <v>6</v>
      </c>
      <c r="C226" s="4">
        <f>823950+16361.8</f>
        <v>840311.8</v>
      </c>
      <c r="D226" s="5" t="s">
        <v>1375</v>
      </c>
      <c r="E226" s="5" t="s">
        <v>1302</v>
      </c>
      <c r="F226" s="5" t="s">
        <v>26</v>
      </c>
      <c r="G226" s="7">
        <v>43143</v>
      </c>
      <c r="H226" s="5" t="s">
        <v>27</v>
      </c>
    </row>
    <row r="227" spans="1:10" x14ac:dyDescent="0.25">
      <c r="A227" t="s">
        <v>34</v>
      </c>
      <c r="B227" s="2">
        <v>6</v>
      </c>
      <c r="C227" s="4">
        <v>17132.3</v>
      </c>
      <c r="D227" s="5" t="s">
        <v>1380</v>
      </c>
      <c r="E227" s="5" t="s">
        <v>1415</v>
      </c>
      <c r="F227" s="5" t="s">
        <v>23</v>
      </c>
      <c r="G227" s="5">
        <v>19</v>
      </c>
      <c r="H227" s="5" t="s">
        <v>5</v>
      </c>
    </row>
    <row r="228" spans="1:10" x14ac:dyDescent="0.25">
      <c r="A228" t="s">
        <v>34</v>
      </c>
      <c r="B228" s="2">
        <v>6</v>
      </c>
      <c r="C228" s="4">
        <f>719700+14929.2</f>
        <v>734629.2</v>
      </c>
      <c r="D228" s="5" t="s">
        <v>1318</v>
      </c>
      <c r="E228" s="5" t="s">
        <v>1319</v>
      </c>
      <c r="F228" s="5" t="s">
        <v>26</v>
      </c>
      <c r="G228" s="7">
        <v>43144</v>
      </c>
      <c r="H228" s="5" t="s">
        <v>27</v>
      </c>
    </row>
    <row r="229" spans="1:10" x14ac:dyDescent="0.25">
      <c r="B229" s="2"/>
    </row>
    <row r="230" spans="1:10" x14ac:dyDescent="0.25">
      <c r="A230" t="s">
        <v>44</v>
      </c>
      <c r="B230" s="2">
        <v>7</v>
      </c>
      <c r="C230" s="9">
        <f>30000*G230</f>
        <v>562200</v>
      </c>
      <c r="D230" s="10" t="s">
        <v>1478</v>
      </c>
      <c r="E230" s="10" t="s">
        <v>1580</v>
      </c>
      <c r="F230" s="10" t="s">
        <v>41</v>
      </c>
      <c r="G230" s="9">
        <v>18.739999999999998</v>
      </c>
      <c r="H230" s="10">
        <v>28.74</v>
      </c>
      <c r="I230" s="12">
        <v>43138</v>
      </c>
      <c r="J230" s="10" t="s">
        <v>5</v>
      </c>
    </row>
    <row r="231" spans="1:10" x14ac:dyDescent="0.25">
      <c r="A231" t="s">
        <v>44</v>
      </c>
      <c r="B231" s="2">
        <v>7</v>
      </c>
      <c r="C231" s="9">
        <f>30000*G231</f>
        <v>562200</v>
      </c>
      <c r="D231" s="10" t="s">
        <v>1479</v>
      </c>
      <c r="E231" s="10" t="s">
        <v>1591</v>
      </c>
      <c r="F231" s="10" t="s">
        <v>41</v>
      </c>
      <c r="G231" s="9">
        <v>18.739999999999998</v>
      </c>
      <c r="H231" s="10">
        <v>28.75</v>
      </c>
      <c r="I231" s="12">
        <v>43138</v>
      </c>
      <c r="J231" s="10" t="s">
        <v>5</v>
      </c>
    </row>
    <row r="232" spans="1:10" x14ac:dyDescent="0.25">
      <c r="A232" t="s">
        <v>44</v>
      </c>
      <c r="B232" s="2">
        <v>7</v>
      </c>
      <c r="C232" s="4">
        <v>177501.28</v>
      </c>
      <c r="D232" s="5" t="s">
        <v>1421</v>
      </c>
      <c r="E232" s="5" t="s">
        <v>1422</v>
      </c>
      <c r="F232" s="5" t="s">
        <v>1423</v>
      </c>
      <c r="G232" s="5">
        <v>88</v>
      </c>
      <c r="H232" s="5" t="s">
        <v>5</v>
      </c>
    </row>
    <row r="233" spans="1:10" x14ac:dyDescent="0.25">
      <c r="A233" t="s">
        <v>44</v>
      </c>
      <c r="B233" s="2">
        <v>7</v>
      </c>
      <c r="C233" s="4">
        <v>173157.72</v>
      </c>
      <c r="D233" s="5" t="s">
        <v>1518</v>
      </c>
      <c r="E233" s="5" t="s">
        <v>1519</v>
      </c>
      <c r="F233" s="5" t="s">
        <v>1520</v>
      </c>
      <c r="G233" s="5" t="s">
        <v>1521</v>
      </c>
      <c r="H233" s="7">
        <v>43139</v>
      </c>
      <c r="I233" s="5" t="s">
        <v>27</v>
      </c>
    </row>
    <row r="234" spans="1:10" x14ac:dyDescent="0.25">
      <c r="A234" t="s">
        <v>44</v>
      </c>
      <c r="B234" s="2">
        <v>7</v>
      </c>
      <c r="C234" s="4">
        <f>823935+17417.4</f>
        <v>841352.4</v>
      </c>
      <c r="D234" s="5" t="s">
        <v>1377</v>
      </c>
      <c r="E234" s="5" t="s">
        <v>1376</v>
      </c>
      <c r="F234" s="5" t="s">
        <v>26</v>
      </c>
      <c r="G234" s="7">
        <v>43144</v>
      </c>
      <c r="H234" s="5" t="s">
        <v>27</v>
      </c>
    </row>
    <row r="235" spans="1:10" x14ac:dyDescent="0.25">
      <c r="A235" t="s">
        <v>44</v>
      </c>
      <c r="B235" s="2">
        <v>7</v>
      </c>
      <c r="C235" s="4">
        <f>486750+9802</f>
        <v>496552</v>
      </c>
      <c r="D235" s="5" t="s">
        <v>1378</v>
      </c>
      <c r="E235" s="5" t="s">
        <v>1336</v>
      </c>
      <c r="F235" s="5" t="s">
        <v>26</v>
      </c>
      <c r="G235" s="7">
        <v>43145</v>
      </c>
      <c r="H235" s="5" t="s">
        <v>27</v>
      </c>
    </row>
    <row r="236" spans="1:10" x14ac:dyDescent="0.25">
      <c r="A236" t="s">
        <v>50</v>
      </c>
      <c r="B236" s="2">
        <v>8</v>
      </c>
      <c r="C236" s="9">
        <f>30000*G236</f>
        <v>560310</v>
      </c>
      <c r="D236" s="10" t="s">
        <v>1480</v>
      </c>
      <c r="E236" s="10" t="s">
        <v>1592</v>
      </c>
      <c r="F236" s="10" t="s">
        <v>41</v>
      </c>
      <c r="G236" s="11">
        <v>18.677</v>
      </c>
      <c r="H236" s="10">
        <v>29.2</v>
      </c>
      <c r="I236" s="12">
        <v>43139</v>
      </c>
      <c r="J236" s="10" t="s">
        <v>5</v>
      </c>
    </row>
    <row r="237" spans="1:10" x14ac:dyDescent="0.25">
      <c r="A237" t="s">
        <v>50</v>
      </c>
      <c r="B237" s="2">
        <v>8</v>
      </c>
      <c r="C237" s="4">
        <f>450170+9802</f>
        <v>459972</v>
      </c>
      <c r="D237" s="5" t="s">
        <v>1381</v>
      </c>
      <c r="E237" s="5" t="s">
        <v>1382</v>
      </c>
      <c r="F237" s="5" t="s">
        <v>26</v>
      </c>
      <c r="G237" s="136">
        <v>43146</v>
      </c>
      <c r="H237" s="5" t="s">
        <v>27</v>
      </c>
    </row>
    <row r="238" spans="1:10" x14ac:dyDescent="0.25">
      <c r="A238" t="s">
        <v>1</v>
      </c>
      <c r="B238" s="2">
        <v>9</v>
      </c>
      <c r="C238" s="9">
        <f>25000*G238</f>
        <v>471750</v>
      </c>
      <c r="D238" s="10" t="s">
        <v>1481</v>
      </c>
      <c r="E238" s="10" t="s">
        <v>1640</v>
      </c>
      <c r="F238" s="10" t="s">
        <v>111</v>
      </c>
      <c r="G238" s="11">
        <v>18.87</v>
      </c>
      <c r="H238" s="10">
        <v>29.76</v>
      </c>
      <c r="I238" s="12">
        <v>43140</v>
      </c>
      <c r="J238" s="10" t="s">
        <v>5</v>
      </c>
    </row>
    <row r="239" spans="1:10" x14ac:dyDescent="0.25">
      <c r="A239" t="s">
        <v>1</v>
      </c>
      <c r="B239" s="2">
        <v>9</v>
      </c>
      <c r="C239" s="4">
        <f>33249.27*G239</f>
        <v>621129.61286999995</v>
      </c>
      <c r="D239" s="5" t="s">
        <v>1407</v>
      </c>
      <c r="E239" s="5" t="s">
        <v>1408</v>
      </c>
      <c r="F239" s="5" t="s">
        <v>1409</v>
      </c>
      <c r="G239" s="6">
        <v>18.681000000000001</v>
      </c>
      <c r="H239" s="5">
        <v>35.42</v>
      </c>
      <c r="I239" s="7">
        <v>43140</v>
      </c>
      <c r="J239" s="5" t="s">
        <v>5</v>
      </c>
    </row>
    <row r="240" spans="1:10" x14ac:dyDescent="0.25">
      <c r="A240" t="s">
        <v>1</v>
      </c>
      <c r="B240" s="2">
        <v>9</v>
      </c>
      <c r="C240" s="4">
        <v>878358.53</v>
      </c>
      <c r="D240" s="5" t="s">
        <v>1467</v>
      </c>
      <c r="E240" s="5" t="s">
        <v>1446</v>
      </c>
      <c r="F240" s="5" t="s">
        <v>1468</v>
      </c>
      <c r="G240" s="5" t="s">
        <v>1469</v>
      </c>
      <c r="H240" s="7">
        <v>43140</v>
      </c>
      <c r="I240" s="5" t="s">
        <v>27</v>
      </c>
    </row>
    <row r="241" spans="1:12" x14ac:dyDescent="0.25">
      <c r="A241" t="s">
        <v>1</v>
      </c>
      <c r="B241" s="2">
        <v>9</v>
      </c>
      <c r="C241" s="4">
        <v>786528.55</v>
      </c>
      <c r="D241" s="5" t="s">
        <v>1344</v>
      </c>
      <c r="E241" s="5" t="s">
        <v>1343</v>
      </c>
      <c r="F241" s="5" t="s">
        <v>1345</v>
      </c>
      <c r="G241" s="5">
        <v>42.5</v>
      </c>
      <c r="H241" s="7">
        <v>43144</v>
      </c>
      <c r="I241" s="5" t="s">
        <v>5</v>
      </c>
    </row>
    <row r="242" spans="1:12" x14ac:dyDescent="0.25">
      <c r="A242" t="s">
        <v>1</v>
      </c>
      <c r="B242" s="2">
        <v>9</v>
      </c>
      <c r="C242" s="4">
        <v>35636.400000000001</v>
      </c>
      <c r="D242" s="5" t="s">
        <v>1504</v>
      </c>
      <c r="E242" s="5" t="s">
        <v>1503</v>
      </c>
      <c r="F242" s="5" t="s">
        <v>23</v>
      </c>
      <c r="G242" s="5">
        <v>19</v>
      </c>
      <c r="H242" s="5" t="s">
        <v>5</v>
      </c>
    </row>
    <row r="243" spans="1:12" x14ac:dyDescent="0.25">
      <c r="A243" s="14" t="s">
        <v>13</v>
      </c>
      <c r="B243" s="2">
        <v>10</v>
      </c>
    </row>
    <row r="244" spans="1:12" x14ac:dyDescent="0.25">
      <c r="A244" s="14" t="s">
        <v>14</v>
      </c>
      <c r="B244" s="2">
        <v>11</v>
      </c>
    </row>
    <row r="245" spans="1:12" x14ac:dyDescent="0.25">
      <c r="A245" t="s">
        <v>15</v>
      </c>
      <c r="B245" s="2">
        <v>12</v>
      </c>
      <c r="C245" s="9">
        <f>25000*G245</f>
        <v>468000</v>
      </c>
      <c r="D245" s="10" t="s">
        <v>1482</v>
      </c>
      <c r="E245" s="10" t="s">
        <v>1641</v>
      </c>
      <c r="F245" s="10" t="s">
        <v>111</v>
      </c>
      <c r="G245" s="9">
        <v>18.72</v>
      </c>
      <c r="H245" s="10">
        <v>30.85</v>
      </c>
      <c r="I245" s="12">
        <v>43143</v>
      </c>
      <c r="J245" s="10" t="s">
        <v>5</v>
      </c>
    </row>
    <row r="246" spans="1:12" x14ac:dyDescent="0.25">
      <c r="A246" t="s">
        <v>15</v>
      </c>
      <c r="B246" s="2">
        <v>12</v>
      </c>
      <c r="C246" s="4">
        <f>855647.5+18850</f>
        <v>874497.5</v>
      </c>
      <c r="D246" s="5" t="s">
        <v>1410</v>
      </c>
      <c r="E246" s="5" t="s">
        <v>1411</v>
      </c>
      <c r="F246" s="5" t="s">
        <v>26</v>
      </c>
      <c r="G246" s="7">
        <v>43150</v>
      </c>
      <c r="H246" s="5" t="s">
        <v>27</v>
      </c>
      <c r="I246" s="5">
        <v>871897.5</v>
      </c>
      <c r="J246" s="139">
        <f>C246-I246</f>
        <v>2600</v>
      </c>
      <c r="K246" s="7">
        <v>43151</v>
      </c>
      <c r="L246" s="5" t="s">
        <v>27</v>
      </c>
    </row>
    <row r="247" spans="1:12" x14ac:dyDescent="0.25">
      <c r="A247" t="s">
        <v>15</v>
      </c>
      <c r="B247" s="2">
        <v>12</v>
      </c>
      <c r="C247" s="4">
        <f>33040+754</f>
        <v>33794</v>
      </c>
      <c r="D247" s="5" t="s">
        <v>1413</v>
      </c>
      <c r="E247" s="5" t="s">
        <v>1412</v>
      </c>
      <c r="F247" s="5" t="s">
        <v>26</v>
      </c>
      <c r="G247" s="7">
        <v>43147</v>
      </c>
      <c r="H247" s="5" t="s">
        <v>27</v>
      </c>
    </row>
    <row r="248" spans="1:12" x14ac:dyDescent="0.25">
      <c r="A248" t="s">
        <v>15</v>
      </c>
      <c r="B248" s="2">
        <v>12</v>
      </c>
      <c r="C248" s="4">
        <f>422440+9802</f>
        <v>432242</v>
      </c>
      <c r="D248" s="5" t="s">
        <v>1417</v>
      </c>
      <c r="E248" s="5" t="s">
        <v>1418</v>
      </c>
      <c r="F248" s="5" t="s">
        <v>26</v>
      </c>
      <c r="G248" s="7">
        <v>43147</v>
      </c>
      <c r="H248" s="5" t="s">
        <v>27</v>
      </c>
    </row>
    <row r="249" spans="1:12" x14ac:dyDescent="0.25">
      <c r="A249" t="s">
        <v>15</v>
      </c>
      <c r="B249" s="2">
        <v>12</v>
      </c>
      <c r="C249" s="4">
        <f>657997.5+15080</f>
        <v>673077.5</v>
      </c>
      <c r="D249" s="5" t="s">
        <v>1416</v>
      </c>
      <c r="E249" s="5" t="s">
        <v>1401</v>
      </c>
      <c r="F249" s="5" t="s">
        <v>26</v>
      </c>
      <c r="G249" s="7">
        <v>43150</v>
      </c>
      <c r="H249" s="5" t="s">
        <v>27</v>
      </c>
    </row>
    <row r="250" spans="1:12" x14ac:dyDescent="0.25">
      <c r="A250" t="s">
        <v>34</v>
      </c>
      <c r="B250" s="2">
        <v>13</v>
      </c>
      <c r="C250" s="4">
        <v>132116.16</v>
      </c>
      <c r="D250" s="5" t="s">
        <v>1509</v>
      </c>
      <c r="E250" s="5" t="s">
        <v>1510</v>
      </c>
      <c r="F250" s="5" t="s">
        <v>1423</v>
      </c>
      <c r="G250" s="5">
        <v>88</v>
      </c>
      <c r="H250" s="7">
        <v>43146</v>
      </c>
      <c r="I250" s="5" t="s">
        <v>5</v>
      </c>
    </row>
    <row r="251" spans="1:12" x14ac:dyDescent="0.25">
      <c r="A251" t="s">
        <v>34</v>
      </c>
      <c r="B251" s="2">
        <v>13</v>
      </c>
      <c r="C251" s="4">
        <f>653720+15080</f>
        <v>668800</v>
      </c>
      <c r="D251" s="5" t="s">
        <v>1420</v>
      </c>
      <c r="E251" s="5" t="s">
        <v>1419</v>
      </c>
      <c r="F251" s="5" t="s">
        <v>26</v>
      </c>
      <c r="G251" s="7">
        <v>43150</v>
      </c>
      <c r="H251" s="5" t="s">
        <v>27</v>
      </c>
    </row>
    <row r="252" spans="1:12" x14ac:dyDescent="0.25">
      <c r="A252" t="s">
        <v>34</v>
      </c>
      <c r="B252" s="2">
        <v>13</v>
      </c>
      <c r="C252" s="4">
        <f>33162.04*G252</f>
        <v>620826.55084000004</v>
      </c>
      <c r="D252" s="5" t="s">
        <v>1463</v>
      </c>
      <c r="E252" s="5" t="s">
        <v>1460</v>
      </c>
      <c r="F252" s="5" t="s">
        <v>1461</v>
      </c>
      <c r="G252" s="6">
        <v>18.721</v>
      </c>
      <c r="H252" s="5">
        <v>34.770000000000003</v>
      </c>
      <c r="I252" s="7">
        <v>43144</v>
      </c>
    </row>
    <row r="253" spans="1:12" x14ac:dyDescent="0.25">
      <c r="A253" t="s">
        <v>44</v>
      </c>
      <c r="B253" s="2">
        <v>14</v>
      </c>
      <c r="C253" s="9">
        <f>25000*G253</f>
        <v>467475.00000000006</v>
      </c>
      <c r="D253" s="10" t="s">
        <v>1557</v>
      </c>
      <c r="E253" s="10" t="s">
        <v>1691</v>
      </c>
      <c r="F253" s="10" t="s">
        <v>111</v>
      </c>
      <c r="G253" s="11">
        <v>18.699000000000002</v>
      </c>
      <c r="H253" s="10">
        <v>31.08</v>
      </c>
      <c r="I253" s="12">
        <v>43145</v>
      </c>
      <c r="J253" s="10" t="s">
        <v>5</v>
      </c>
    </row>
    <row r="254" spans="1:12" x14ac:dyDescent="0.25">
      <c r="A254" t="s">
        <v>44</v>
      </c>
      <c r="B254" s="2">
        <v>14</v>
      </c>
      <c r="C254" s="4">
        <v>69635</v>
      </c>
      <c r="D254" s="5" t="s">
        <v>1511</v>
      </c>
      <c r="E254" s="5" t="s">
        <v>1512</v>
      </c>
      <c r="F254" s="5" t="s">
        <v>23</v>
      </c>
      <c r="G254" s="4">
        <v>19</v>
      </c>
      <c r="H254" s="5" t="s">
        <v>1608</v>
      </c>
      <c r="I254" s="7">
        <v>43151</v>
      </c>
      <c r="J254" s="5" t="s">
        <v>237</v>
      </c>
    </row>
    <row r="255" spans="1:12" x14ac:dyDescent="0.25">
      <c r="A255" t="s">
        <v>44</v>
      </c>
      <c r="B255" s="2">
        <v>14</v>
      </c>
      <c r="C255" s="4">
        <f>32200.66*G255</f>
        <v>601604.93077999994</v>
      </c>
      <c r="D255" s="5" t="s">
        <v>1462</v>
      </c>
      <c r="E255" s="5" t="s">
        <v>1464</v>
      </c>
      <c r="F255" s="5" t="s">
        <v>1465</v>
      </c>
      <c r="G255" s="6">
        <v>18.683</v>
      </c>
      <c r="H255" s="5">
        <v>33.869999999999997</v>
      </c>
      <c r="I255" s="7">
        <v>43145</v>
      </c>
      <c r="J255" s="5" t="s">
        <v>5</v>
      </c>
    </row>
    <row r="256" spans="1:12" x14ac:dyDescent="0.25">
      <c r="A256" t="s">
        <v>44</v>
      </c>
      <c r="B256" s="2">
        <v>14</v>
      </c>
      <c r="C256" s="4">
        <f>668470+14929.2</f>
        <v>683399.2</v>
      </c>
      <c r="D256" s="5" t="s">
        <v>1443</v>
      </c>
      <c r="E256" s="5" t="s">
        <v>1441</v>
      </c>
      <c r="F256" s="5" t="s">
        <v>26</v>
      </c>
      <c r="G256" s="7">
        <v>43151</v>
      </c>
      <c r="H256" s="5" t="s">
        <v>27</v>
      </c>
    </row>
    <row r="257" spans="1:15" x14ac:dyDescent="0.25">
      <c r="A257" t="s">
        <v>44</v>
      </c>
      <c r="B257" s="2">
        <v>14</v>
      </c>
      <c r="C257" s="4">
        <f>423915+9802</f>
        <v>433717</v>
      </c>
      <c r="D257" s="5" t="s">
        <v>1445</v>
      </c>
      <c r="E257" s="5" t="s">
        <v>1444</v>
      </c>
      <c r="F257" s="5" t="s">
        <v>26</v>
      </c>
      <c r="G257" s="7">
        <v>43151</v>
      </c>
      <c r="H257" s="5" t="s">
        <v>27</v>
      </c>
    </row>
    <row r="258" spans="1:15" x14ac:dyDescent="0.25">
      <c r="A258" t="s">
        <v>44</v>
      </c>
      <c r="B258" s="2">
        <v>14</v>
      </c>
      <c r="C258" s="4">
        <v>242112</v>
      </c>
      <c r="D258" s="5" t="s">
        <v>1648</v>
      </c>
      <c r="E258" s="5" t="s">
        <v>1649</v>
      </c>
      <c r="F258" s="5" t="s">
        <v>1650</v>
      </c>
      <c r="G258" s="5"/>
      <c r="H258" s="7">
        <v>43145</v>
      </c>
      <c r="I258" s="5" t="s">
        <v>5</v>
      </c>
    </row>
    <row r="259" spans="1:15" x14ac:dyDescent="0.25">
      <c r="A259" t="s">
        <v>50</v>
      </c>
      <c r="B259" s="2">
        <v>15</v>
      </c>
      <c r="C259" s="9">
        <f>25000*G259</f>
        <v>466225</v>
      </c>
      <c r="D259" s="10" t="s">
        <v>1558</v>
      </c>
      <c r="E259" s="10" t="s">
        <v>1697</v>
      </c>
      <c r="F259" s="10" t="s">
        <v>111</v>
      </c>
      <c r="G259" s="11">
        <v>18.649000000000001</v>
      </c>
      <c r="H259" s="10">
        <v>30.96</v>
      </c>
      <c r="I259" s="12">
        <v>43146</v>
      </c>
      <c r="J259" s="10" t="s">
        <v>5</v>
      </c>
    </row>
    <row r="260" spans="1:15" x14ac:dyDescent="0.25">
      <c r="A260" t="s">
        <v>50</v>
      </c>
      <c r="B260" s="2">
        <v>15</v>
      </c>
      <c r="C260" s="4">
        <f>418752.5+9802</f>
        <v>428554.5</v>
      </c>
      <c r="D260" s="5" t="s">
        <v>1470</v>
      </c>
      <c r="E260" s="5" t="s">
        <v>1466</v>
      </c>
      <c r="F260" s="5" t="s">
        <v>26</v>
      </c>
      <c r="G260" s="7">
        <v>43152</v>
      </c>
      <c r="H260" s="5" t="s">
        <v>27</v>
      </c>
    </row>
    <row r="261" spans="1:15" x14ac:dyDescent="0.25">
      <c r="A261" t="s">
        <v>1</v>
      </c>
      <c r="B261" s="2">
        <v>16</v>
      </c>
      <c r="C261" s="127">
        <f>25000*G261</f>
        <v>465000.00000000006</v>
      </c>
      <c r="D261" s="140" t="s">
        <v>1559</v>
      </c>
      <c r="E261" s="140"/>
      <c r="F261" s="140" t="s">
        <v>111</v>
      </c>
      <c r="G261" s="127">
        <v>18.600000000000001</v>
      </c>
      <c r="H261" s="140"/>
      <c r="I261" s="141">
        <v>43147</v>
      </c>
      <c r="J261" s="140" t="s">
        <v>5</v>
      </c>
      <c r="K261" s="75" t="s">
        <v>1688</v>
      </c>
      <c r="L261" s="75"/>
      <c r="M261" s="75"/>
      <c r="N261" s="75"/>
    </row>
    <row r="262" spans="1:15" x14ac:dyDescent="0.25">
      <c r="A262" t="s">
        <v>1</v>
      </c>
      <c r="B262" s="2">
        <v>16</v>
      </c>
      <c r="C262" s="4">
        <v>653630.97</v>
      </c>
      <c r="D262" s="5" t="s">
        <v>1572</v>
      </c>
      <c r="E262" s="5" t="s">
        <v>1571</v>
      </c>
      <c r="F262" s="5" t="s">
        <v>1573</v>
      </c>
      <c r="G262" s="4">
        <v>93</v>
      </c>
      <c r="H262" s="7">
        <v>43153</v>
      </c>
      <c r="I262" s="5" t="s">
        <v>5</v>
      </c>
    </row>
    <row r="263" spans="1:15" x14ac:dyDescent="0.25">
      <c r="A263" s="14" t="s">
        <v>13</v>
      </c>
      <c r="B263" s="2">
        <v>17</v>
      </c>
    </row>
    <row r="264" spans="1:15" x14ac:dyDescent="0.25">
      <c r="A264" s="14" t="s">
        <v>14</v>
      </c>
      <c r="B264" s="2">
        <v>18</v>
      </c>
    </row>
    <row r="265" spans="1:15" x14ac:dyDescent="0.25">
      <c r="A265" t="s">
        <v>15</v>
      </c>
      <c r="B265" s="2">
        <v>19</v>
      </c>
      <c r="C265" s="4">
        <f>708180+15080</f>
        <v>723260</v>
      </c>
      <c r="D265" s="5" t="s">
        <v>1513</v>
      </c>
      <c r="E265" s="5" t="s">
        <v>1485</v>
      </c>
      <c r="F265" s="5" t="s">
        <v>26</v>
      </c>
      <c r="G265" s="7">
        <v>43153</v>
      </c>
      <c r="H265" s="5" t="s">
        <v>27</v>
      </c>
    </row>
    <row r="266" spans="1:15" x14ac:dyDescent="0.25">
      <c r="A266" t="s">
        <v>15</v>
      </c>
      <c r="B266" s="2">
        <v>19</v>
      </c>
      <c r="C266" s="4">
        <f>387005+9802</f>
        <v>396807</v>
      </c>
      <c r="D266" s="5" t="s">
        <v>1514</v>
      </c>
      <c r="E266" s="5" t="s">
        <v>1486</v>
      </c>
      <c r="F266" s="5" t="s">
        <v>26</v>
      </c>
      <c r="G266" s="7">
        <v>43153</v>
      </c>
      <c r="H266" s="5" t="s">
        <v>27</v>
      </c>
    </row>
    <row r="267" spans="1:15" x14ac:dyDescent="0.25">
      <c r="A267" t="s">
        <v>15</v>
      </c>
      <c r="B267" s="2">
        <v>19</v>
      </c>
      <c r="C267" s="4">
        <f>678890+15080</f>
        <v>693970</v>
      </c>
      <c r="D267" s="5" t="s">
        <v>1515</v>
      </c>
      <c r="E267" s="5" t="s">
        <v>1492</v>
      </c>
      <c r="F267" s="5" t="s">
        <v>26</v>
      </c>
      <c r="G267" s="7">
        <v>43154</v>
      </c>
      <c r="H267" s="5" t="s">
        <v>27</v>
      </c>
    </row>
    <row r="268" spans="1:15" x14ac:dyDescent="0.25">
      <c r="A268" t="s">
        <v>15</v>
      </c>
      <c r="B268" s="2">
        <v>19</v>
      </c>
    </row>
    <row r="269" spans="1:15" x14ac:dyDescent="0.25">
      <c r="A269" t="s">
        <v>34</v>
      </c>
      <c r="B269" s="2">
        <v>20</v>
      </c>
      <c r="C269" s="9">
        <f>28184.9*G269</f>
        <v>522829.89500000002</v>
      </c>
      <c r="D269" s="10" t="s">
        <v>1556</v>
      </c>
      <c r="E269" s="10" t="s">
        <v>1663</v>
      </c>
      <c r="F269" s="10" t="s">
        <v>1664</v>
      </c>
      <c r="G269" s="9">
        <v>18.55</v>
      </c>
      <c r="H269" s="10">
        <v>30.4</v>
      </c>
      <c r="I269" s="12">
        <v>43151</v>
      </c>
      <c r="J269" s="10" t="s">
        <v>5</v>
      </c>
    </row>
    <row r="270" spans="1:15" x14ac:dyDescent="0.25">
      <c r="A270" t="s">
        <v>34</v>
      </c>
      <c r="B270" s="2">
        <v>20</v>
      </c>
      <c r="C270" s="4">
        <f>31094.98*G270</f>
        <v>576811.87899999996</v>
      </c>
      <c r="D270" s="5" t="s">
        <v>1553</v>
      </c>
      <c r="E270" s="5" t="s">
        <v>1554</v>
      </c>
      <c r="F270" s="5" t="s">
        <v>1555</v>
      </c>
      <c r="G270" s="4">
        <v>18.55</v>
      </c>
      <c r="H270" s="5"/>
      <c r="I270" s="7">
        <v>43151</v>
      </c>
      <c r="J270" s="5" t="s">
        <v>5</v>
      </c>
    </row>
    <row r="271" spans="1:15" x14ac:dyDescent="0.25">
      <c r="A271" t="s">
        <v>34</v>
      </c>
      <c r="B271" s="2">
        <v>20</v>
      </c>
      <c r="C271" s="127">
        <f>26000*G271</f>
        <v>482170.00000000006</v>
      </c>
      <c r="D271" s="140" t="s">
        <v>1560</v>
      </c>
      <c r="E271" s="140"/>
      <c r="F271" s="140" t="s">
        <v>1623</v>
      </c>
      <c r="G271" s="142">
        <v>18.545000000000002</v>
      </c>
      <c r="H271" s="140"/>
      <c r="I271" s="141">
        <v>43151</v>
      </c>
      <c r="J271" s="140" t="s">
        <v>5</v>
      </c>
      <c r="K271" s="75" t="s">
        <v>1742</v>
      </c>
      <c r="L271" s="75"/>
      <c r="M271" s="75"/>
      <c r="N271" s="75"/>
      <c r="O271" s="75"/>
    </row>
    <row r="272" spans="1:15" x14ac:dyDescent="0.25">
      <c r="A272" t="s">
        <v>34</v>
      </c>
      <c r="B272" s="2">
        <v>20</v>
      </c>
      <c r="C272" s="9">
        <f>26000*G272</f>
        <v>482170.00000000006</v>
      </c>
      <c r="D272" s="10" t="s">
        <v>1561</v>
      </c>
      <c r="E272" s="145" t="s">
        <v>1770</v>
      </c>
      <c r="F272" s="10" t="s">
        <v>1623</v>
      </c>
      <c r="G272" s="11">
        <v>18.545000000000002</v>
      </c>
      <c r="H272" s="10">
        <v>31.61</v>
      </c>
      <c r="I272" s="12">
        <v>43151</v>
      </c>
      <c r="J272" s="10" t="s">
        <v>5</v>
      </c>
    </row>
    <row r="273" spans="1:14" x14ac:dyDescent="0.25">
      <c r="A273" t="s">
        <v>34</v>
      </c>
      <c r="B273" s="2">
        <v>20</v>
      </c>
      <c r="C273" s="4">
        <v>68844.600000000006</v>
      </c>
      <c r="D273" s="5" t="s">
        <v>1702</v>
      </c>
      <c r="E273" s="5" t="s">
        <v>1653</v>
      </c>
      <c r="F273" s="5" t="s">
        <v>23</v>
      </c>
      <c r="G273" s="6">
        <v>19</v>
      </c>
      <c r="H273" s="7">
        <v>43153</v>
      </c>
      <c r="I273" s="5" t="s">
        <v>237</v>
      </c>
      <c r="L273" s="146"/>
    </row>
    <row r="274" spans="1:14" x14ac:dyDescent="0.25">
      <c r="A274" t="s">
        <v>34</v>
      </c>
      <c r="B274" s="2">
        <v>20</v>
      </c>
      <c r="C274" s="4">
        <f>616830+15080</f>
        <v>631910</v>
      </c>
      <c r="D274" s="5" t="s">
        <v>1574</v>
      </c>
      <c r="E274" s="5" t="s">
        <v>1575</v>
      </c>
      <c r="F274" s="5" t="s">
        <v>26</v>
      </c>
      <c r="G274" s="143">
        <v>43157</v>
      </c>
      <c r="H274" s="5" t="s">
        <v>27</v>
      </c>
    </row>
    <row r="275" spans="1:14" x14ac:dyDescent="0.25">
      <c r="A275" t="s">
        <v>44</v>
      </c>
      <c r="B275" s="2">
        <v>21</v>
      </c>
      <c r="C275" s="4">
        <f>669320+15080</f>
        <v>684400</v>
      </c>
      <c r="D275" s="5" t="s">
        <v>1576</v>
      </c>
      <c r="E275" s="5" t="s">
        <v>1530</v>
      </c>
      <c r="F275" s="5" t="s">
        <v>26</v>
      </c>
      <c r="G275" s="143">
        <v>43157</v>
      </c>
      <c r="H275" s="5" t="s">
        <v>27</v>
      </c>
    </row>
    <row r="276" spans="1:14" x14ac:dyDescent="0.25">
      <c r="A276" t="s">
        <v>44</v>
      </c>
      <c r="B276" s="2">
        <v>21</v>
      </c>
      <c r="C276" s="4">
        <f>466175+9726.6</f>
        <v>475901.6</v>
      </c>
      <c r="D276" s="5" t="s">
        <v>1577</v>
      </c>
      <c r="E276" s="5" t="s">
        <v>1531</v>
      </c>
      <c r="F276" s="5" t="s">
        <v>26</v>
      </c>
      <c r="G276" s="7">
        <v>43157</v>
      </c>
      <c r="H276" s="5" t="s">
        <v>27</v>
      </c>
    </row>
    <row r="277" spans="1:14" x14ac:dyDescent="0.25">
      <c r="A277" t="s">
        <v>50</v>
      </c>
      <c r="B277" s="2">
        <v>22</v>
      </c>
      <c r="C277" s="9">
        <f>25000*G277</f>
        <v>465000.00000000006</v>
      </c>
      <c r="D277" s="10" t="s">
        <v>1689</v>
      </c>
      <c r="E277" s="10" t="s">
        <v>1769</v>
      </c>
      <c r="F277" s="10" t="s">
        <v>111</v>
      </c>
      <c r="G277" s="9">
        <v>18.600000000000001</v>
      </c>
      <c r="H277" s="10">
        <v>32.81</v>
      </c>
      <c r="I277" s="12">
        <v>43147</v>
      </c>
      <c r="J277" s="10" t="s">
        <v>5</v>
      </c>
      <c r="K277" s="15" t="s">
        <v>1690</v>
      </c>
      <c r="L277" s="15"/>
      <c r="M277" s="15"/>
      <c r="N277" s="15"/>
    </row>
    <row r="278" spans="1:14" x14ac:dyDescent="0.25">
      <c r="A278" t="s">
        <v>50</v>
      </c>
      <c r="B278" s="2">
        <v>22</v>
      </c>
      <c r="C278" s="4">
        <f>843465+18774.6</f>
        <v>862239.6</v>
      </c>
      <c r="D278" s="5" t="s">
        <v>1578</v>
      </c>
      <c r="E278" s="5" t="s">
        <v>1545</v>
      </c>
      <c r="F278" s="5" t="s">
        <v>26</v>
      </c>
      <c r="G278" s="7">
        <v>43158</v>
      </c>
      <c r="H278" s="5" t="s">
        <v>27</v>
      </c>
    </row>
    <row r="279" spans="1:14" x14ac:dyDescent="0.25">
      <c r="A279" t="s">
        <v>50</v>
      </c>
      <c r="B279" s="2">
        <v>22</v>
      </c>
      <c r="C279" s="4">
        <f>638580+15080</f>
        <v>653660</v>
      </c>
      <c r="D279" s="5" t="s">
        <v>1579</v>
      </c>
      <c r="E279" s="5" t="s">
        <v>1546</v>
      </c>
      <c r="F279" s="5" t="s">
        <v>26</v>
      </c>
      <c r="G279" s="7">
        <v>43159</v>
      </c>
      <c r="H279" s="5" t="s">
        <v>27</v>
      </c>
    </row>
    <row r="280" spans="1:14" x14ac:dyDescent="0.25">
      <c r="A280" t="s">
        <v>1</v>
      </c>
      <c r="B280" s="2">
        <v>23</v>
      </c>
      <c r="C280" s="4">
        <f>26840.05*G280</f>
        <v>501613.69445000001</v>
      </c>
      <c r="D280" s="5" t="s">
        <v>1593</v>
      </c>
      <c r="E280" s="5" t="s">
        <v>1594</v>
      </c>
      <c r="F280" s="5" t="s">
        <v>1595</v>
      </c>
      <c r="G280" s="6">
        <v>18.689</v>
      </c>
      <c r="H280" s="5">
        <v>28.25</v>
      </c>
      <c r="I280" s="7">
        <v>43154</v>
      </c>
      <c r="J280" s="5" t="s">
        <v>5</v>
      </c>
    </row>
    <row r="281" spans="1:14" x14ac:dyDescent="0.25">
      <c r="A281" s="14" t="s">
        <v>13</v>
      </c>
      <c r="B281" s="2">
        <v>24</v>
      </c>
    </row>
    <row r="282" spans="1:14" x14ac:dyDescent="0.25">
      <c r="A282" s="14" t="s">
        <v>14</v>
      </c>
      <c r="B282" s="2">
        <v>25</v>
      </c>
    </row>
    <row r="283" spans="1:14" x14ac:dyDescent="0.25">
      <c r="A283" t="s">
        <v>15</v>
      </c>
      <c r="B283" s="2">
        <v>26</v>
      </c>
      <c r="C283" s="9">
        <f>35000*G283</f>
        <v>654500</v>
      </c>
      <c r="D283" s="10" t="s">
        <v>1563</v>
      </c>
      <c r="E283" s="10" t="s">
        <v>1891</v>
      </c>
      <c r="F283" s="10" t="s">
        <v>53</v>
      </c>
      <c r="G283" s="9">
        <v>18.7</v>
      </c>
      <c r="H283" s="10">
        <v>33.299999999999997</v>
      </c>
      <c r="I283" s="12">
        <v>43157</v>
      </c>
      <c r="J283" s="10" t="s">
        <v>5</v>
      </c>
    </row>
    <row r="284" spans="1:14" x14ac:dyDescent="0.25">
      <c r="A284" t="s">
        <v>15</v>
      </c>
      <c r="B284" s="2">
        <v>26</v>
      </c>
      <c r="C284" s="9">
        <f>44000*G284</f>
        <v>821920</v>
      </c>
      <c r="D284" s="10" t="s">
        <v>1638</v>
      </c>
      <c r="E284" s="10" t="s">
        <v>1890</v>
      </c>
      <c r="F284" s="10" t="s">
        <v>1642</v>
      </c>
      <c r="G284" s="9">
        <v>18.68</v>
      </c>
      <c r="H284" s="10" t="s">
        <v>1892</v>
      </c>
      <c r="I284" s="12">
        <v>43157</v>
      </c>
      <c r="J284" s="10" t="s">
        <v>5</v>
      </c>
    </row>
    <row r="285" spans="1:14" x14ac:dyDescent="0.25">
      <c r="A285" t="s">
        <v>15</v>
      </c>
      <c r="B285" s="2">
        <v>26</v>
      </c>
      <c r="C285" s="4">
        <v>34714.9</v>
      </c>
      <c r="D285" s="5" t="s">
        <v>1728</v>
      </c>
      <c r="E285" s="5" t="s">
        <v>1725</v>
      </c>
      <c r="F285" s="5" t="s">
        <v>23</v>
      </c>
      <c r="G285" s="4">
        <v>19</v>
      </c>
      <c r="H285" s="7">
        <v>43158</v>
      </c>
      <c r="I285" s="5" t="s">
        <v>5</v>
      </c>
      <c r="J285" s="5" t="s">
        <v>1773</v>
      </c>
      <c r="K285" s="5"/>
    </row>
    <row r="286" spans="1:14" x14ac:dyDescent="0.25">
      <c r="A286" t="s">
        <v>15</v>
      </c>
      <c r="B286" s="2">
        <v>26</v>
      </c>
      <c r="C286" s="4">
        <f>402665+9802</f>
        <v>412467</v>
      </c>
      <c r="D286" s="5" t="s">
        <v>1654</v>
      </c>
      <c r="E286" s="5" t="s">
        <v>1581</v>
      </c>
      <c r="F286" s="5" t="s">
        <v>26</v>
      </c>
      <c r="G286" s="7">
        <v>43159</v>
      </c>
      <c r="H286" s="5" t="s">
        <v>27</v>
      </c>
    </row>
    <row r="287" spans="1:14" x14ac:dyDescent="0.25">
      <c r="A287" t="s">
        <v>50</v>
      </c>
      <c r="B287" s="2">
        <v>26</v>
      </c>
      <c r="C287" s="4">
        <f>659170+15080</f>
        <v>674250</v>
      </c>
      <c r="D287" s="5" t="s">
        <v>1656</v>
      </c>
      <c r="E287" s="5" t="s">
        <v>1655</v>
      </c>
      <c r="F287" s="5" t="s">
        <v>26</v>
      </c>
      <c r="G287" s="7">
        <v>43161</v>
      </c>
      <c r="H287" s="5" t="s">
        <v>27</v>
      </c>
    </row>
    <row r="288" spans="1:14" x14ac:dyDescent="0.25">
      <c r="A288" t="s">
        <v>15</v>
      </c>
      <c r="B288" s="2">
        <v>26</v>
      </c>
      <c r="C288" s="4">
        <f>463855+9802</f>
        <v>473657</v>
      </c>
      <c r="D288" s="5" t="s">
        <v>1657</v>
      </c>
      <c r="E288" s="5" t="s">
        <v>1584</v>
      </c>
      <c r="F288" s="5" t="s">
        <v>26</v>
      </c>
      <c r="G288" s="7">
        <v>43161</v>
      </c>
      <c r="H288" s="5" t="s">
        <v>27</v>
      </c>
    </row>
    <row r="289" spans="1:16" x14ac:dyDescent="0.25">
      <c r="A289" t="s">
        <v>34</v>
      </c>
      <c r="B289" s="2">
        <v>27</v>
      </c>
      <c r="C289" s="9">
        <f>26000*G289</f>
        <v>482170.00000000006</v>
      </c>
      <c r="D289" s="10" t="s">
        <v>1566</v>
      </c>
      <c r="E289" s="145" t="s">
        <v>1889</v>
      </c>
      <c r="F289" s="10" t="s">
        <v>1623</v>
      </c>
      <c r="G289" s="11">
        <v>18.545000000000002</v>
      </c>
      <c r="H289" s="10">
        <v>32.4</v>
      </c>
      <c r="I289" s="12">
        <v>43151</v>
      </c>
      <c r="J289" s="10" t="s">
        <v>5</v>
      </c>
      <c r="K289" s="15" t="s">
        <v>1743</v>
      </c>
      <c r="L289" s="15"/>
      <c r="M289" s="15"/>
      <c r="N289" s="15"/>
    </row>
    <row r="290" spans="1:16" x14ac:dyDescent="0.25">
      <c r="A290" t="s">
        <v>34</v>
      </c>
      <c r="B290" s="2">
        <v>27</v>
      </c>
      <c r="C290" s="4">
        <f>26874.43*G290</f>
        <v>502686.21314999997</v>
      </c>
      <c r="D290" s="5" t="s">
        <v>1643</v>
      </c>
      <c r="E290" s="5" t="s">
        <v>1644</v>
      </c>
      <c r="F290" s="5" t="s">
        <v>1745</v>
      </c>
      <c r="G290" s="6">
        <v>18.704999999999998</v>
      </c>
      <c r="H290" s="5">
        <v>28.85</v>
      </c>
      <c r="I290" s="7">
        <v>43158</v>
      </c>
      <c r="J290" s="5" t="s">
        <v>5</v>
      </c>
    </row>
    <row r="291" spans="1:16" x14ac:dyDescent="0.25">
      <c r="A291" t="s">
        <v>34</v>
      </c>
      <c r="B291" s="2">
        <v>27</v>
      </c>
      <c r="C291" s="4">
        <f>648440+15080</f>
        <v>663520</v>
      </c>
      <c r="D291" s="5" t="s">
        <v>1658</v>
      </c>
      <c r="E291" s="5" t="s">
        <v>1590</v>
      </c>
      <c r="F291" s="5" t="s">
        <v>26</v>
      </c>
      <c r="G291" s="143">
        <v>43164</v>
      </c>
      <c r="H291" s="5" t="s">
        <v>27</v>
      </c>
    </row>
    <row r="292" spans="1:16" x14ac:dyDescent="0.25">
      <c r="A292" t="s">
        <v>44</v>
      </c>
      <c r="B292" s="2">
        <v>28</v>
      </c>
      <c r="C292" s="9">
        <f>32000*G292</f>
        <v>601728</v>
      </c>
      <c r="D292" s="10" t="s">
        <v>1565</v>
      </c>
      <c r="E292" s="10" t="s">
        <v>1887</v>
      </c>
      <c r="F292" s="10" t="s">
        <v>99</v>
      </c>
      <c r="G292" s="11">
        <v>18.803999999999998</v>
      </c>
      <c r="H292" s="10">
        <v>33.22</v>
      </c>
      <c r="I292" s="12">
        <v>43159</v>
      </c>
      <c r="J292" s="10" t="s">
        <v>5</v>
      </c>
    </row>
    <row r="293" spans="1:16" x14ac:dyDescent="0.25">
      <c r="A293" t="s">
        <v>44</v>
      </c>
      <c r="B293" s="2">
        <v>28</v>
      </c>
      <c r="C293" s="4">
        <f>914660+18850</f>
        <v>933510</v>
      </c>
      <c r="D293" s="5" t="s">
        <v>1659</v>
      </c>
      <c r="E293" s="5" t="s">
        <v>1660</v>
      </c>
      <c r="F293" s="5" t="s">
        <v>26</v>
      </c>
      <c r="G293" s="143">
        <v>43164</v>
      </c>
      <c r="H293" s="5" t="s">
        <v>27</v>
      </c>
    </row>
    <row r="294" spans="1:16" x14ac:dyDescent="0.25">
      <c r="A294" t="s">
        <v>44</v>
      </c>
      <c r="B294" s="2">
        <v>28</v>
      </c>
      <c r="C294" s="4">
        <f>23635+754</f>
        <v>24389</v>
      </c>
      <c r="D294" s="5" t="s">
        <v>1662</v>
      </c>
      <c r="E294" s="5" t="s">
        <v>1661</v>
      </c>
      <c r="F294" s="5" t="s">
        <v>26</v>
      </c>
      <c r="G294" s="143">
        <v>43164</v>
      </c>
      <c r="H294" s="5" t="s">
        <v>27</v>
      </c>
    </row>
    <row r="295" spans="1:16" x14ac:dyDescent="0.25">
      <c r="A295" s="1" t="s">
        <v>1564</v>
      </c>
    </row>
    <row r="296" spans="1:16" x14ac:dyDescent="0.25">
      <c r="A296" t="s">
        <v>50</v>
      </c>
      <c r="B296" s="2">
        <v>1</v>
      </c>
      <c r="C296" s="9">
        <f>38000*G296</f>
        <v>717820</v>
      </c>
      <c r="D296" s="10" t="s">
        <v>1567</v>
      </c>
      <c r="E296" s="10" t="s">
        <v>1914</v>
      </c>
      <c r="F296" s="10" t="s">
        <v>1765</v>
      </c>
      <c r="G296" s="11">
        <v>18.89</v>
      </c>
      <c r="H296" s="10">
        <v>34.08</v>
      </c>
      <c r="I296" s="12">
        <v>43160</v>
      </c>
      <c r="J296" s="10" t="s">
        <v>5</v>
      </c>
    </row>
    <row r="297" spans="1:16" x14ac:dyDescent="0.25">
      <c r="A297" t="s">
        <v>50</v>
      </c>
      <c r="B297" s="2">
        <v>1</v>
      </c>
      <c r="C297" s="9">
        <f>30660.3*G297</f>
        <v>579142.40669999993</v>
      </c>
      <c r="D297" s="10" t="s">
        <v>1562</v>
      </c>
      <c r="E297" s="10" t="s">
        <v>1774</v>
      </c>
      <c r="F297" s="10" t="s">
        <v>1775</v>
      </c>
      <c r="G297" s="11">
        <v>18.888999999999999</v>
      </c>
      <c r="H297" s="10">
        <v>32.92</v>
      </c>
      <c r="I297" s="12">
        <v>43164</v>
      </c>
      <c r="J297" s="10" t="s">
        <v>5</v>
      </c>
    </row>
    <row r="298" spans="1:16" x14ac:dyDescent="0.25">
      <c r="A298" t="s">
        <v>50</v>
      </c>
      <c r="B298" s="2">
        <v>1</v>
      </c>
      <c r="C298" s="9">
        <f>29836.31*G298</f>
        <v>562414.44350000005</v>
      </c>
      <c r="D298" s="10" t="s">
        <v>1748</v>
      </c>
      <c r="E298" s="10" t="s">
        <v>1767</v>
      </c>
      <c r="F298" s="10" t="s">
        <v>1768</v>
      </c>
      <c r="G298" s="11">
        <v>18.850000000000001</v>
      </c>
      <c r="H298" s="10">
        <v>32.93</v>
      </c>
      <c r="I298" s="12">
        <v>43159</v>
      </c>
      <c r="J298" s="10" t="s">
        <v>5</v>
      </c>
    </row>
    <row r="299" spans="1:16" x14ac:dyDescent="0.25">
      <c r="A299" t="s">
        <v>50</v>
      </c>
      <c r="B299" s="2">
        <v>1</v>
      </c>
      <c r="C299" s="4">
        <v>33783.9</v>
      </c>
      <c r="D299" s="5" t="s">
        <v>1729</v>
      </c>
      <c r="E299" s="5" t="s">
        <v>1726</v>
      </c>
      <c r="F299" s="5" t="s">
        <v>23</v>
      </c>
      <c r="G299" s="4">
        <v>19</v>
      </c>
      <c r="H299" s="7">
        <v>43158</v>
      </c>
      <c r="I299" s="5" t="s">
        <v>5</v>
      </c>
      <c r="J299" s="5" t="s">
        <v>1773</v>
      </c>
      <c r="K299" s="5"/>
    </row>
    <row r="300" spans="1:16" x14ac:dyDescent="0.25">
      <c r="A300" t="s">
        <v>50</v>
      </c>
      <c r="B300" s="2">
        <v>1</v>
      </c>
      <c r="C300" s="4">
        <f>846945+18850</f>
        <v>865795</v>
      </c>
      <c r="D300" s="5" t="s">
        <v>1673</v>
      </c>
      <c r="E300" s="5" t="s">
        <v>1666</v>
      </c>
      <c r="F300" s="5" t="s">
        <v>26</v>
      </c>
      <c r="G300" s="7">
        <v>43165</v>
      </c>
      <c r="H300" s="5" t="s">
        <v>27</v>
      </c>
    </row>
    <row r="301" spans="1:16" x14ac:dyDescent="0.25">
      <c r="A301" t="s">
        <v>50</v>
      </c>
      <c r="B301" s="2">
        <v>1</v>
      </c>
      <c r="C301" s="4">
        <f>442685+9802</f>
        <v>452487</v>
      </c>
      <c r="D301" s="5" t="s">
        <v>1674</v>
      </c>
      <c r="E301" s="5" t="s">
        <v>1667</v>
      </c>
      <c r="F301" s="5" t="s">
        <v>26</v>
      </c>
      <c r="G301" s="7">
        <v>43165</v>
      </c>
      <c r="H301" s="5" t="s">
        <v>27</v>
      </c>
    </row>
    <row r="302" spans="1:16" x14ac:dyDescent="0.25">
      <c r="A302" t="s">
        <v>1</v>
      </c>
      <c r="B302" s="2">
        <v>2</v>
      </c>
      <c r="C302" s="4">
        <v>1599895.8</v>
      </c>
      <c r="D302" s="5" t="s">
        <v>1647</v>
      </c>
      <c r="E302" s="5" t="s">
        <v>1646</v>
      </c>
      <c r="F302" s="5" t="s">
        <v>1573</v>
      </c>
      <c r="G302" s="5">
        <v>91.5</v>
      </c>
      <c r="H302" s="5" t="s">
        <v>1934</v>
      </c>
      <c r="I302" s="5"/>
      <c r="J302" s="5" t="s">
        <v>5</v>
      </c>
    </row>
    <row r="303" spans="1:16" x14ac:dyDescent="0.25">
      <c r="A303" t="s">
        <v>1</v>
      </c>
      <c r="B303" s="2">
        <v>2</v>
      </c>
      <c r="C303" s="4">
        <v>364053.69</v>
      </c>
      <c r="D303" s="5" t="s">
        <v>1723</v>
      </c>
      <c r="E303" s="5" t="s">
        <v>1871</v>
      </c>
      <c r="F303" s="5" t="s">
        <v>1724</v>
      </c>
      <c r="G303" s="5">
        <v>91</v>
      </c>
      <c r="H303" s="7">
        <v>43164</v>
      </c>
      <c r="I303" s="5" t="s">
        <v>5</v>
      </c>
    </row>
    <row r="304" spans="1:16" x14ac:dyDescent="0.25">
      <c r="A304" t="s">
        <v>1</v>
      </c>
      <c r="B304" s="2">
        <v>2</v>
      </c>
      <c r="C304" s="4">
        <f>(27436.21-1950)*G304</f>
        <v>480415.05850000004</v>
      </c>
      <c r="D304" s="5" t="s">
        <v>1737</v>
      </c>
      <c r="E304" s="5" t="s">
        <v>1738</v>
      </c>
      <c r="F304" s="5" t="s">
        <v>1783</v>
      </c>
      <c r="G304" s="4">
        <v>18.850000000000001</v>
      </c>
      <c r="H304" s="5">
        <v>31.14</v>
      </c>
      <c r="I304" s="7">
        <v>43161</v>
      </c>
      <c r="J304" s="5" t="s">
        <v>5</v>
      </c>
      <c r="K304" s="15" t="s">
        <v>1782</v>
      </c>
      <c r="L304" s="15"/>
      <c r="M304" s="15"/>
      <c r="N304" s="15"/>
      <c r="O304" s="15" t="s">
        <v>1784</v>
      </c>
      <c r="P304" s="15"/>
    </row>
    <row r="305" spans="1:14" x14ac:dyDescent="0.25">
      <c r="A305" s="14" t="s">
        <v>13</v>
      </c>
      <c r="B305" s="2">
        <v>3</v>
      </c>
    </row>
    <row r="306" spans="1:14" x14ac:dyDescent="0.25">
      <c r="A306" s="14" t="s">
        <v>14</v>
      </c>
      <c r="B306" s="2">
        <v>4</v>
      </c>
    </row>
    <row r="307" spans="1:14" x14ac:dyDescent="0.25">
      <c r="A307" t="s">
        <v>15</v>
      </c>
      <c r="B307" s="2">
        <v>5</v>
      </c>
      <c r="C307" s="9">
        <f>33500*G307</f>
        <v>633183.5</v>
      </c>
      <c r="D307" s="10" t="s">
        <v>1568</v>
      </c>
      <c r="E307" s="10" t="s">
        <v>1915</v>
      </c>
      <c r="F307" s="10" t="s">
        <v>1861</v>
      </c>
      <c r="G307" s="11">
        <v>18.901</v>
      </c>
      <c r="H307" s="10">
        <v>34.08</v>
      </c>
      <c r="I307" s="12">
        <v>43164</v>
      </c>
      <c r="J307" s="10" t="s">
        <v>5</v>
      </c>
    </row>
    <row r="308" spans="1:14" x14ac:dyDescent="0.25">
      <c r="A308" t="s">
        <v>15</v>
      </c>
      <c r="B308" s="2">
        <v>5</v>
      </c>
      <c r="C308" s="4">
        <f>34403.3-345.8</f>
        <v>34057.5</v>
      </c>
      <c r="D308" s="5" t="s">
        <v>1730</v>
      </c>
      <c r="E308" s="5" t="s">
        <v>1727</v>
      </c>
      <c r="F308" s="5" t="s">
        <v>23</v>
      </c>
      <c r="G308" s="4">
        <v>19</v>
      </c>
      <c r="H308" s="7">
        <v>43173</v>
      </c>
      <c r="I308" s="5" t="s">
        <v>5</v>
      </c>
      <c r="J308" s="7">
        <v>43158</v>
      </c>
      <c r="K308" s="5" t="s">
        <v>5</v>
      </c>
      <c r="L308" s="5" t="s">
        <v>1773</v>
      </c>
      <c r="M308" s="5"/>
      <c r="N308" s="15" t="s">
        <v>1772</v>
      </c>
    </row>
    <row r="309" spans="1:14" x14ac:dyDescent="0.25">
      <c r="A309" t="s">
        <v>15</v>
      </c>
      <c r="B309" s="2">
        <v>5</v>
      </c>
      <c r="C309" s="4">
        <f>680580+15080</f>
        <v>695660</v>
      </c>
      <c r="D309" s="5" t="s">
        <v>1675</v>
      </c>
      <c r="E309" s="5" t="s">
        <v>1669</v>
      </c>
      <c r="F309" s="5" t="s">
        <v>26</v>
      </c>
      <c r="G309" s="7">
        <v>43166</v>
      </c>
      <c r="H309" s="5" t="s">
        <v>27</v>
      </c>
    </row>
    <row r="310" spans="1:14" x14ac:dyDescent="0.25">
      <c r="A310" t="s">
        <v>15</v>
      </c>
      <c r="B310" s="2">
        <v>5</v>
      </c>
      <c r="C310" s="4">
        <f>690555+15080</f>
        <v>705635</v>
      </c>
      <c r="D310" s="5" t="s">
        <v>1686</v>
      </c>
      <c r="E310" s="5" t="s">
        <v>1672</v>
      </c>
      <c r="F310" s="5" t="s">
        <v>26</v>
      </c>
      <c r="G310" s="7">
        <v>43167</v>
      </c>
      <c r="H310" s="5" t="s">
        <v>27</v>
      </c>
    </row>
    <row r="311" spans="1:14" x14ac:dyDescent="0.25">
      <c r="A311" t="s">
        <v>15</v>
      </c>
      <c r="B311" s="2">
        <v>5</v>
      </c>
      <c r="C311" s="4">
        <f>674167.5+15080</f>
        <v>689247.5</v>
      </c>
      <c r="D311" s="5" t="s">
        <v>1731</v>
      </c>
      <c r="E311" s="5" t="s">
        <v>1692</v>
      </c>
      <c r="F311" s="5" t="s">
        <v>26</v>
      </c>
      <c r="G311" s="7">
        <v>43168</v>
      </c>
      <c r="H311" s="5" t="s">
        <v>27</v>
      </c>
    </row>
    <row r="312" spans="1:14" x14ac:dyDescent="0.25">
      <c r="A312" t="s">
        <v>34</v>
      </c>
      <c r="B312" s="2">
        <v>6</v>
      </c>
      <c r="C312" s="4">
        <f>684000+15080</f>
        <v>699080</v>
      </c>
      <c r="D312" s="5" t="s">
        <v>1732</v>
      </c>
      <c r="E312" s="5" t="s">
        <v>1698</v>
      </c>
      <c r="F312" s="5" t="s">
        <v>26</v>
      </c>
      <c r="G312" s="7">
        <v>43171</v>
      </c>
      <c r="H312" s="5" t="s">
        <v>27</v>
      </c>
    </row>
    <row r="313" spans="1:14" x14ac:dyDescent="0.25">
      <c r="A313" t="s">
        <v>44</v>
      </c>
      <c r="B313" s="2">
        <v>7</v>
      </c>
      <c r="C313" s="9">
        <f>31000*G313</f>
        <v>584939</v>
      </c>
      <c r="D313" s="10" t="s">
        <v>1846</v>
      </c>
      <c r="E313" s="10" t="s">
        <v>1943</v>
      </c>
      <c r="F313" s="10" t="s">
        <v>1860</v>
      </c>
      <c r="G313" s="11">
        <v>18.869</v>
      </c>
      <c r="H313" s="10">
        <v>31.21</v>
      </c>
      <c r="I313" s="12">
        <v>43166</v>
      </c>
      <c r="J313" s="10" t="s">
        <v>5</v>
      </c>
    </row>
    <row r="314" spans="1:14" x14ac:dyDescent="0.25">
      <c r="A314" t="s">
        <v>44</v>
      </c>
      <c r="B314" s="2">
        <v>7</v>
      </c>
      <c r="C314" s="4">
        <f>652650+15080</f>
        <v>667730</v>
      </c>
      <c r="D314" s="5" t="s">
        <v>1733</v>
      </c>
      <c r="E314" s="5" t="s">
        <v>1713</v>
      </c>
      <c r="F314" s="5" t="s">
        <v>26</v>
      </c>
      <c r="G314" s="7">
        <v>43171</v>
      </c>
      <c r="H314" s="5" t="s">
        <v>27</v>
      </c>
    </row>
    <row r="315" spans="1:14" x14ac:dyDescent="0.25">
      <c r="A315" t="s">
        <v>44</v>
      </c>
      <c r="B315" s="2">
        <v>7</v>
      </c>
      <c r="C315" s="4">
        <f>467257.5+9802</f>
        <v>477059.5</v>
      </c>
      <c r="D315" s="5" t="s">
        <v>1734</v>
      </c>
      <c r="E315" s="5" t="s">
        <v>1712</v>
      </c>
      <c r="F315" s="5" t="s">
        <v>26</v>
      </c>
      <c r="G315" s="7">
        <v>43144</v>
      </c>
      <c r="H315" s="5" t="s">
        <v>27</v>
      </c>
    </row>
    <row r="316" spans="1:14" x14ac:dyDescent="0.25">
      <c r="A316" t="s">
        <v>44</v>
      </c>
      <c r="B316" s="2">
        <v>7</v>
      </c>
      <c r="C316" s="4">
        <f>29517.53*G316</f>
        <v>557822.28194000002</v>
      </c>
      <c r="D316" s="5" t="s">
        <v>1739</v>
      </c>
      <c r="E316" s="5" t="s">
        <v>1740</v>
      </c>
      <c r="F316" s="5" t="s">
        <v>1741</v>
      </c>
      <c r="G316" s="6">
        <v>18.898</v>
      </c>
      <c r="H316" s="5">
        <v>31.83</v>
      </c>
      <c r="I316" s="7">
        <v>43166</v>
      </c>
      <c r="J316" s="5" t="s">
        <v>5</v>
      </c>
    </row>
    <row r="317" spans="1:14" x14ac:dyDescent="0.25">
      <c r="A317" t="s">
        <v>50</v>
      </c>
      <c r="B317" s="2">
        <v>8</v>
      </c>
      <c r="C317" s="9">
        <f>32500*G317</f>
        <v>611715</v>
      </c>
      <c r="D317" s="10" t="s">
        <v>1847</v>
      </c>
      <c r="E317" s="10" t="s">
        <v>1964</v>
      </c>
      <c r="F317" s="10" t="s">
        <v>1870</v>
      </c>
      <c r="G317" s="11">
        <v>18.821999999999999</v>
      </c>
      <c r="H317" s="10">
        <v>31.08</v>
      </c>
      <c r="I317" s="12">
        <v>43167</v>
      </c>
      <c r="J317" s="10" t="s">
        <v>5</v>
      </c>
    </row>
    <row r="318" spans="1:14" x14ac:dyDescent="0.25">
      <c r="A318" t="s">
        <v>50</v>
      </c>
      <c r="B318" s="2">
        <v>8</v>
      </c>
      <c r="C318" s="4">
        <v>35678.199999999997</v>
      </c>
      <c r="D318" s="5" t="s">
        <v>1840</v>
      </c>
      <c r="E318" s="5" t="s">
        <v>1839</v>
      </c>
      <c r="F318" s="5" t="s">
        <v>23</v>
      </c>
      <c r="G318" s="4">
        <v>19</v>
      </c>
      <c r="H318" s="7">
        <v>43173</v>
      </c>
      <c r="I318" s="5" t="s">
        <v>5</v>
      </c>
    </row>
    <row r="319" spans="1:14" x14ac:dyDescent="0.25">
      <c r="A319" t="s">
        <v>50</v>
      </c>
      <c r="B319" s="2">
        <v>8</v>
      </c>
      <c r="C319" s="4">
        <f>780330+18699.2-3135</f>
        <v>795894.2</v>
      </c>
      <c r="D319" s="5" t="s">
        <v>1735</v>
      </c>
      <c r="E319" s="5" t="s">
        <v>1908</v>
      </c>
      <c r="F319" s="5" t="s">
        <v>26</v>
      </c>
      <c r="G319" s="7">
        <v>43173</v>
      </c>
      <c r="H319" s="5" t="s">
        <v>27</v>
      </c>
    </row>
    <row r="320" spans="1:14" x14ac:dyDescent="0.25">
      <c r="A320" t="s">
        <v>50</v>
      </c>
      <c r="B320" s="2">
        <v>8</v>
      </c>
      <c r="C320" s="4">
        <f>399570+9802</f>
        <v>409372</v>
      </c>
      <c r="D320" s="5" t="s">
        <v>1736</v>
      </c>
      <c r="E320" s="5" t="s">
        <v>1715</v>
      </c>
      <c r="F320" s="5" t="s">
        <v>26</v>
      </c>
      <c r="G320" s="7">
        <v>43144</v>
      </c>
      <c r="H320" s="5" t="s">
        <v>27</v>
      </c>
    </row>
    <row r="321" spans="1:10" x14ac:dyDescent="0.25">
      <c r="A321" t="s">
        <v>1</v>
      </c>
      <c r="B321" s="2">
        <v>9</v>
      </c>
      <c r="C321" s="4">
        <f>29990.54*G321</f>
        <v>563972.10470000003</v>
      </c>
      <c r="D321" s="5" t="s">
        <v>1753</v>
      </c>
      <c r="E321" s="5" t="s">
        <v>1754</v>
      </c>
      <c r="F321" s="5" t="s">
        <v>1755</v>
      </c>
      <c r="G321" s="6">
        <v>18.805</v>
      </c>
      <c r="H321" s="4">
        <v>32</v>
      </c>
      <c r="I321" s="7">
        <v>43168</v>
      </c>
      <c r="J321" s="5" t="s">
        <v>5</v>
      </c>
    </row>
    <row r="322" spans="1:10" x14ac:dyDescent="0.25">
      <c r="A322" s="14" t="s">
        <v>13</v>
      </c>
      <c r="B322" s="2">
        <v>10</v>
      </c>
    </row>
    <row r="323" spans="1:10" x14ac:dyDescent="0.25">
      <c r="A323" s="14" t="s">
        <v>14</v>
      </c>
      <c r="B323" s="2">
        <v>11</v>
      </c>
    </row>
    <row r="324" spans="1:10" x14ac:dyDescent="0.25">
      <c r="A324" t="s">
        <v>15</v>
      </c>
      <c r="B324" s="2">
        <v>12</v>
      </c>
      <c r="C324" s="9">
        <f>33000*G324</f>
        <v>621192</v>
      </c>
      <c r="D324" s="10" t="s">
        <v>1893</v>
      </c>
      <c r="E324" s="10" t="s">
        <v>1965</v>
      </c>
      <c r="F324" s="10" t="s">
        <v>8</v>
      </c>
      <c r="G324" s="11">
        <v>18.824000000000002</v>
      </c>
      <c r="H324" s="10">
        <v>28.75</v>
      </c>
      <c r="I324" s="12">
        <v>43171</v>
      </c>
      <c r="J324" s="10" t="s">
        <v>5</v>
      </c>
    </row>
    <row r="325" spans="1:10" x14ac:dyDescent="0.25">
      <c r="A325" t="s">
        <v>15</v>
      </c>
      <c r="B325" s="2">
        <v>12</v>
      </c>
      <c r="C325" s="4">
        <f>31114.96*G325</f>
        <v>583934.45432000002</v>
      </c>
      <c r="D325" s="5" t="s">
        <v>1807</v>
      </c>
      <c r="E325" s="5" t="s">
        <v>1808</v>
      </c>
      <c r="F325" s="5" t="s">
        <v>1809</v>
      </c>
      <c r="G325" s="6">
        <v>18.766999999999999</v>
      </c>
      <c r="H325" s="5">
        <v>32.71</v>
      </c>
      <c r="I325" s="7">
        <v>43171</v>
      </c>
      <c r="J325" s="5" t="s">
        <v>5</v>
      </c>
    </row>
    <row r="326" spans="1:10" x14ac:dyDescent="0.25">
      <c r="A326" t="s">
        <v>15</v>
      </c>
      <c r="B326" s="2">
        <v>12</v>
      </c>
      <c r="C326" s="4">
        <f>772920+18850</f>
        <v>791770</v>
      </c>
      <c r="D326" s="5" t="s">
        <v>1756</v>
      </c>
      <c r="E326" s="5" t="s">
        <v>1757</v>
      </c>
      <c r="F326" s="5" t="s">
        <v>26</v>
      </c>
      <c r="G326" s="7">
        <v>43174</v>
      </c>
      <c r="H326" s="5" t="s">
        <v>27</v>
      </c>
    </row>
    <row r="327" spans="1:10" x14ac:dyDescent="0.25">
      <c r="A327" t="s">
        <v>15</v>
      </c>
      <c r="B327" s="2">
        <v>12</v>
      </c>
      <c r="C327" s="4">
        <f>35340+754</f>
        <v>36094</v>
      </c>
      <c r="D327" s="5" t="s">
        <v>1759</v>
      </c>
      <c r="E327" s="5" t="s">
        <v>1758</v>
      </c>
      <c r="F327" s="5" t="s">
        <v>26</v>
      </c>
      <c r="G327" s="7">
        <v>43174</v>
      </c>
      <c r="H327" s="5" t="s">
        <v>27</v>
      </c>
    </row>
    <row r="328" spans="1:10" x14ac:dyDescent="0.25">
      <c r="A328" t="s">
        <v>15</v>
      </c>
      <c r="B328" s="2">
        <v>12</v>
      </c>
      <c r="C328" s="4">
        <f>675735+15004.6</f>
        <v>690739.6</v>
      </c>
      <c r="D328" s="5" t="s">
        <v>1760</v>
      </c>
      <c r="E328" s="5" t="s">
        <v>1751</v>
      </c>
      <c r="F328" s="5" t="s">
        <v>26</v>
      </c>
      <c r="G328" s="7">
        <v>43175</v>
      </c>
      <c r="H328" s="5" t="s">
        <v>27</v>
      </c>
    </row>
    <row r="329" spans="1:10" x14ac:dyDescent="0.25">
      <c r="A329" t="s">
        <v>15</v>
      </c>
      <c r="B329" s="2">
        <v>12</v>
      </c>
      <c r="C329" s="4">
        <f>704235+15080</f>
        <v>719315</v>
      </c>
      <c r="D329" s="5" t="s">
        <v>1776</v>
      </c>
      <c r="E329" s="5" t="s">
        <v>1766</v>
      </c>
      <c r="F329" s="5" t="s">
        <v>26</v>
      </c>
      <c r="G329" s="7">
        <v>43179</v>
      </c>
      <c r="H329" s="5" t="s">
        <v>27</v>
      </c>
    </row>
    <row r="330" spans="1:10" x14ac:dyDescent="0.25">
      <c r="A330" t="s">
        <v>34</v>
      </c>
      <c r="B330" s="2">
        <v>13</v>
      </c>
      <c r="C330" s="4">
        <f>659205+14929.2</f>
        <v>674134.2</v>
      </c>
      <c r="D330" s="5" t="s">
        <v>1780</v>
      </c>
      <c r="E330" s="5" t="s">
        <v>1781</v>
      </c>
      <c r="F330" s="5" t="s">
        <v>26</v>
      </c>
      <c r="G330" s="7">
        <v>43179</v>
      </c>
      <c r="H330" s="5" t="s">
        <v>27</v>
      </c>
    </row>
    <row r="331" spans="1:10" x14ac:dyDescent="0.25">
      <c r="A331" t="s">
        <v>34</v>
      </c>
      <c r="B331" s="2">
        <v>13</v>
      </c>
      <c r="C331" s="4">
        <v>34524.9</v>
      </c>
      <c r="D331" s="5" t="s">
        <v>1936</v>
      </c>
      <c r="E331" s="5" t="s">
        <v>1935</v>
      </c>
      <c r="F331" s="5" t="s">
        <v>23</v>
      </c>
      <c r="G331" s="5">
        <v>19</v>
      </c>
      <c r="H331" s="7">
        <v>43180</v>
      </c>
      <c r="I331" s="5" t="s">
        <v>5</v>
      </c>
    </row>
    <row r="332" spans="1:10" x14ac:dyDescent="0.25">
      <c r="A332" t="s">
        <v>34</v>
      </c>
      <c r="B332" s="2">
        <v>13</v>
      </c>
      <c r="C332" s="9">
        <f>29201.72*G332</f>
        <v>544524.47283999994</v>
      </c>
      <c r="D332" s="10" t="s">
        <v>1845</v>
      </c>
      <c r="E332" s="10" t="s">
        <v>1929</v>
      </c>
      <c r="F332" s="10" t="s">
        <v>1930</v>
      </c>
      <c r="G332" s="11">
        <v>18.646999999999998</v>
      </c>
      <c r="H332" s="10">
        <v>31.45</v>
      </c>
      <c r="I332" s="12">
        <v>43172</v>
      </c>
      <c r="J332" s="10" t="s">
        <v>5</v>
      </c>
    </row>
    <row r="333" spans="1:10" x14ac:dyDescent="0.25">
      <c r="A333" t="s">
        <v>44</v>
      </c>
      <c r="B333" s="2">
        <v>14</v>
      </c>
      <c r="C333" s="9">
        <f>27500*G333</f>
        <v>513727.5</v>
      </c>
      <c r="D333" s="10" t="s">
        <v>1848</v>
      </c>
      <c r="E333" s="145" t="s">
        <v>1990</v>
      </c>
      <c r="F333" s="10" t="s">
        <v>1926</v>
      </c>
      <c r="G333" s="11">
        <v>18.681000000000001</v>
      </c>
      <c r="H333" s="10">
        <v>28.72</v>
      </c>
      <c r="I333" s="12">
        <v>43173</v>
      </c>
      <c r="J333" s="10" t="s">
        <v>5</v>
      </c>
    </row>
    <row r="334" spans="1:10" x14ac:dyDescent="0.25">
      <c r="A334" t="s">
        <v>44</v>
      </c>
      <c r="B334" s="2">
        <v>14</v>
      </c>
      <c r="C334" s="9">
        <f>27500*G334</f>
        <v>513727.5</v>
      </c>
      <c r="D334" s="10" t="s">
        <v>1849</v>
      </c>
      <c r="E334" s="145" t="s">
        <v>1991</v>
      </c>
      <c r="F334" s="10" t="s">
        <v>1926</v>
      </c>
      <c r="G334" s="11">
        <v>18.681000000000001</v>
      </c>
      <c r="H334" s="10">
        <v>28.72</v>
      </c>
      <c r="I334" s="12">
        <v>43173</v>
      </c>
      <c r="J334" s="10" t="s">
        <v>5</v>
      </c>
    </row>
    <row r="335" spans="1:10" x14ac:dyDescent="0.25">
      <c r="A335" t="s">
        <v>44</v>
      </c>
      <c r="B335" s="2">
        <v>14</v>
      </c>
      <c r="C335" s="4">
        <f>632700+15080</f>
        <v>647780</v>
      </c>
      <c r="D335" s="5" t="s">
        <v>1841</v>
      </c>
      <c r="E335" s="5" t="s">
        <v>1795</v>
      </c>
      <c r="F335" s="5" t="s">
        <v>26</v>
      </c>
      <c r="G335" s="7">
        <v>43179</v>
      </c>
      <c r="H335" s="5" t="s">
        <v>27</v>
      </c>
    </row>
    <row r="336" spans="1:10" x14ac:dyDescent="0.25">
      <c r="A336" t="s">
        <v>44</v>
      </c>
      <c r="B336" s="2">
        <v>14</v>
      </c>
      <c r="C336" s="4">
        <f>435337.5+9802</f>
        <v>445139.5</v>
      </c>
      <c r="D336" s="5" t="s">
        <v>1842</v>
      </c>
      <c r="E336" s="5" t="s">
        <v>1796</v>
      </c>
      <c r="F336" s="5" t="s">
        <v>26</v>
      </c>
      <c r="G336" s="7">
        <v>43179</v>
      </c>
      <c r="H336" s="5" t="s">
        <v>27</v>
      </c>
    </row>
    <row r="337" spans="1:10" x14ac:dyDescent="0.25">
      <c r="A337" t="s">
        <v>50</v>
      </c>
      <c r="B337" s="2">
        <v>15</v>
      </c>
      <c r="C337" s="9">
        <f>25000*G337</f>
        <v>466450.00000000006</v>
      </c>
      <c r="D337" s="10" t="s">
        <v>1850</v>
      </c>
      <c r="E337" s="10" t="s">
        <v>2001</v>
      </c>
      <c r="F337" s="10" t="s">
        <v>111</v>
      </c>
      <c r="G337" s="11">
        <v>18.658000000000001</v>
      </c>
      <c r="H337" s="10">
        <v>28.4</v>
      </c>
      <c r="I337" s="12">
        <v>43174</v>
      </c>
      <c r="J337" s="10" t="s">
        <v>5</v>
      </c>
    </row>
    <row r="338" spans="1:10" x14ac:dyDescent="0.25">
      <c r="A338" t="s">
        <v>50</v>
      </c>
      <c r="B338" s="2">
        <v>15</v>
      </c>
      <c r="C338" s="4">
        <f>695827.5+17342-3021</f>
        <v>710148.5</v>
      </c>
      <c r="D338" s="5" t="s">
        <v>1843</v>
      </c>
      <c r="E338" s="5" t="s">
        <v>1909</v>
      </c>
      <c r="F338" s="5" t="s">
        <v>26</v>
      </c>
      <c r="G338" s="7">
        <v>43180</v>
      </c>
      <c r="H338" s="5" t="s">
        <v>27</v>
      </c>
    </row>
    <row r="339" spans="1:10" x14ac:dyDescent="0.25">
      <c r="A339" t="s">
        <v>50</v>
      </c>
      <c r="B339" s="2">
        <v>15</v>
      </c>
      <c r="C339" s="4">
        <f>333165+7540</f>
        <v>340705</v>
      </c>
      <c r="D339" s="5" t="s">
        <v>1844</v>
      </c>
      <c r="E339" s="5" t="s">
        <v>1806</v>
      </c>
      <c r="F339" s="5" t="s">
        <v>26</v>
      </c>
      <c r="G339" s="7">
        <v>43179</v>
      </c>
      <c r="H339" s="5" t="s">
        <v>27</v>
      </c>
    </row>
    <row r="340" spans="1:10" x14ac:dyDescent="0.25">
      <c r="A340" t="s">
        <v>1</v>
      </c>
      <c r="B340" s="2">
        <v>16</v>
      </c>
      <c r="C340" s="4">
        <f>30836.78*G340</f>
        <v>574489.21139999991</v>
      </c>
      <c r="D340" s="5" t="s">
        <v>1896</v>
      </c>
      <c r="E340" s="5" t="s">
        <v>1897</v>
      </c>
      <c r="F340" s="5" t="s">
        <v>1898</v>
      </c>
      <c r="G340" s="4">
        <v>18.63</v>
      </c>
      <c r="H340" s="5">
        <v>32.93</v>
      </c>
      <c r="I340" s="7">
        <v>43175</v>
      </c>
      <c r="J340" s="5" t="s">
        <v>5</v>
      </c>
    </row>
    <row r="341" spans="1:10" x14ac:dyDescent="0.25">
      <c r="A341" s="14" t="s">
        <v>13</v>
      </c>
      <c r="B341" s="2">
        <v>17</v>
      </c>
    </row>
    <row r="342" spans="1:10" x14ac:dyDescent="0.25">
      <c r="A342" s="14" t="s">
        <v>14</v>
      </c>
      <c r="B342" s="2">
        <v>18</v>
      </c>
    </row>
    <row r="343" spans="1:10" x14ac:dyDescent="0.25">
      <c r="A343" t="s">
        <v>15</v>
      </c>
      <c r="B343" s="2">
        <v>19</v>
      </c>
      <c r="C343" s="3" t="s">
        <v>1369</v>
      </c>
    </row>
    <row r="344" spans="1:10" x14ac:dyDescent="0.25">
      <c r="A344" t="s">
        <v>34</v>
      </c>
      <c r="B344" s="2">
        <v>20</v>
      </c>
      <c r="C344" s="9">
        <f>20000*G344</f>
        <v>376260</v>
      </c>
      <c r="D344" s="10" t="s">
        <v>1851</v>
      </c>
      <c r="E344" s="10" t="s">
        <v>2015</v>
      </c>
      <c r="F344" s="10" t="s">
        <v>191</v>
      </c>
      <c r="G344" s="11">
        <v>18.812999999999999</v>
      </c>
      <c r="H344" s="10">
        <v>27.83</v>
      </c>
      <c r="I344" s="12">
        <v>43179</v>
      </c>
      <c r="J344" s="10" t="s">
        <v>5</v>
      </c>
    </row>
    <row r="345" spans="1:10" x14ac:dyDescent="0.25">
      <c r="A345" t="s">
        <v>34</v>
      </c>
      <c r="B345" s="2">
        <v>20</v>
      </c>
      <c r="C345" s="4">
        <f>31753.85*G345</f>
        <v>596654.84149999998</v>
      </c>
      <c r="D345" s="5" t="s">
        <v>1899</v>
      </c>
      <c r="E345" s="5" t="s">
        <v>1900</v>
      </c>
      <c r="F345" s="5" t="s">
        <v>1901</v>
      </c>
      <c r="G345" s="6">
        <v>18.79</v>
      </c>
      <c r="H345" s="5">
        <v>33.49</v>
      </c>
      <c r="I345" s="7">
        <v>43179</v>
      </c>
      <c r="J345" s="5" t="s">
        <v>5</v>
      </c>
    </row>
    <row r="346" spans="1:10" x14ac:dyDescent="0.25">
      <c r="A346" t="s">
        <v>34</v>
      </c>
      <c r="B346" s="2">
        <v>20</v>
      </c>
      <c r="C346" s="4">
        <v>332067.67</v>
      </c>
      <c r="D346" s="5" t="s">
        <v>1941</v>
      </c>
      <c r="E346" s="5" t="s">
        <v>1940</v>
      </c>
      <c r="F346" s="5" t="s">
        <v>1345</v>
      </c>
      <c r="G346" s="4">
        <v>36.200000000000003</v>
      </c>
      <c r="H346" s="7">
        <v>43180</v>
      </c>
      <c r="I346" s="5" t="s">
        <v>5</v>
      </c>
    </row>
    <row r="347" spans="1:10" x14ac:dyDescent="0.25">
      <c r="A347" t="s">
        <v>34</v>
      </c>
      <c r="B347" s="2">
        <v>20</v>
      </c>
      <c r="C347" s="4">
        <f>627855+15080</f>
        <v>642935</v>
      </c>
      <c r="D347" s="5" t="s">
        <v>1918</v>
      </c>
      <c r="E347" s="5" t="s">
        <v>1874</v>
      </c>
      <c r="F347" s="5" t="s">
        <v>26</v>
      </c>
      <c r="G347" s="7">
        <v>43181</v>
      </c>
      <c r="H347" s="5" t="s">
        <v>27</v>
      </c>
    </row>
    <row r="348" spans="1:10" x14ac:dyDescent="0.25">
      <c r="A348" t="s">
        <v>34</v>
      </c>
      <c r="B348" s="2">
        <v>20</v>
      </c>
      <c r="C348" s="4">
        <f>385462.5+9726.6</f>
        <v>395189.1</v>
      </c>
      <c r="D348" s="5" t="s">
        <v>1919</v>
      </c>
      <c r="E348" s="5" t="s">
        <v>1875</v>
      </c>
      <c r="F348" s="5" t="s">
        <v>26</v>
      </c>
      <c r="G348" s="7">
        <v>43182</v>
      </c>
      <c r="H348" s="5" t="s">
        <v>27</v>
      </c>
    </row>
    <row r="349" spans="1:10" x14ac:dyDescent="0.25">
      <c r="A349" t="s">
        <v>34</v>
      </c>
      <c r="B349" s="2">
        <v>20</v>
      </c>
      <c r="C349" s="4">
        <f>608190+15080</f>
        <v>623270</v>
      </c>
      <c r="D349" s="5" t="s">
        <v>1920</v>
      </c>
      <c r="E349" s="5" t="s">
        <v>1886</v>
      </c>
      <c r="F349" s="5" t="s">
        <v>26</v>
      </c>
      <c r="G349" s="7">
        <v>43182</v>
      </c>
      <c r="H349" s="5" t="s">
        <v>27</v>
      </c>
    </row>
    <row r="350" spans="1:10" x14ac:dyDescent="0.25">
      <c r="A350" t="s">
        <v>34</v>
      </c>
      <c r="B350" s="2">
        <v>20</v>
      </c>
      <c r="C350" s="4">
        <f>391732.5+9877.4-2992.5</f>
        <v>398617.4</v>
      </c>
      <c r="D350" s="5" t="s">
        <v>1921</v>
      </c>
      <c r="E350" s="5" t="s">
        <v>1895</v>
      </c>
      <c r="F350" s="5" t="s">
        <v>26</v>
      </c>
      <c r="G350" s="7">
        <v>43182</v>
      </c>
      <c r="H350" s="5" t="s">
        <v>27</v>
      </c>
    </row>
    <row r="351" spans="1:10" x14ac:dyDescent="0.25">
      <c r="A351" t="s">
        <v>34</v>
      </c>
      <c r="B351" s="2">
        <v>20</v>
      </c>
      <c r="C351" s="4">
        <v>70769.240000000005</v>
      </c>
      <c r="D351" s="5" t="s">
        <v>2087</v>
      </c>
      <c r="E351" s="5" t="s">
        <v>2086</v>
      </c>
      <c r="F351" s="5" t="s">
        <v>23</v>
      </c>
      <c r="G351" s="5">
        <v>19.3</v>
      </c>
      <c r="H351" s="7">
        <v>43192</v>
      </c>
      <c r="I351" s="5" t="s">
        <v>5</v>
      </c>
    </row>
    <row r="352" spans="1:10" x14ac:dyDescent="0.25">
      <c r="A352" t="s">
        <v>44</v>
      </c>
      <c r="B352" s="2">
        <v>21</v>
      </c>
      <c r="C352" s="9">
        <f>20000*G352</f>
        <v>376400</v>
      </c>
      <c r="D352" s="10" t="s">
        <v>1853</v>
      </c>
      <c r="E352" s="10" t="s">
        <v>2059</v>
      </c>
      <c r="F352" s="10" t="s">
        <v>191</v>
      </c>
      <c r="G352" s="9">
        <v>18.82</v>
      </c>
      <c r="H352" s="10">
        <v>28</v>
      </c>
      <c r="I352" s="12">
        <v>43180</v>
      </c>
      <c r="J352" s="10" t="s">
        <v>5</v>
      </c>
    </row>
    <row r="353" spans="1:10" x14ac:dyDescent="0.25">
      <c r="A353" t="s">
        <v>44</v>
      </c>
      <c r="B353" s="2">
        <v>21</v>
      </c>
      <c r="C353" s="4">
        <f>675735+16472</f>
        <v>692207</v>
      </c>
      <c r="D353" s="5" t="s">
        <v>1922</v>
      </c>
      <c r="E353" s="5" t="s">
        <v>1910</v>
      </c>
      <c r="F353" s="5" t="s">
        <v>26</v>
      </c>
      <c r="G353" s="7">
        <v>46838</v>
      </c>
      <c r="H353" s="5" t="s">
        <v>27</v>
      </c>
    </row>
    <row r="354" spans="1:10" x14ac:dyDescent="0.25">
      <c r="A354" t="s">
        <v>44</v>
      </c>
      <c r="B354" s="2">
        <v>21</v>
      </c>
      <c r="C354" s="4">
        <f>417667.5+10706.8</f>
        <v>428374.3</v>
      </c>
      <c r="D354" s="5" t="s">
        <v>1923</v>
      </c>
      <c r="E354" s="5" t="s">
        <v>1911</v>
      </c>
      <c r="F354" s="5" t="s">
        <v>26</v>
      </c>
      <c r="G354" s="7">
        <v>43186</v>
      </c>
      <c r="H354" s="5" t="s">
        <v>27</v>
      </c>
    </row>
    <row r="355" spans="1:10" x14ac:dyDescent="0.25">
      <c r="A355" t="s">
        <v>50</v>
      </c>
      <c r="B355" s="2">
        <v>22</v>
      </c>
      <c r="C355" s="9">
        <f>20000*G355</f>
        <v>372780</v>
      </c>
      <c r="D355" s="10" t="s">
        <v>1854</v>
      </c>
      <c r="E355" s="10" t="s">
        <v>2065</v>
      </c>
      <c r="F355" s="10" t="s">
        <v>191</v>
      </c>
      <c r="G355" s="11">
        <v>18.638999999999999</v>
      </c>
      <c r="H355" s="10">
        <v>27.84</v>
      </c>
      <c r="I355" s="12">
        <v>43181</v>
      </c>
      <c r="J355" s="10" t="s">
        <v>5</v>
      </c>
    </row>
    <row r="356" spans="1:10" x14ac:dyDescent="0.25">
      <c r="A356" t="s">
        <v>50</v>
      </c>
      <c r="B356" s="2">
        <v>22</v>
      </c>
      <c r="C356" s="9">
        <f>20000*G356</f>
        <v>372780</v>
      </c>
      <c r="D356" s="10" t="s">
        <v>1855</v>
      </c>
      <c r="E356" s="10" t="s">
        <v>2066</v>
      </c>
      <c r="F356" s="10" t="s">
        <v>191</v>
      </c>
      <c r="G356" s="11">
        <v>18.638999999999999</v>
      </c>
      <c r="H356" s="10">
        <v>27.84</v>
      </c>
      <c r="I356" s="12">
        <v>43181</v>
      </c>
      <c r="J356" s="10" t="s">
        <v>5</v>
      </c>
    </row>
    <row r="357" spans="1:10" x14ac:dyDescent="0.25">
      <c r="A357" t="s">
        <v>50</v>
      </c>
      <c r="B357" s="2">
        <v>22</v>
      </c>
      <c r="C357" s="4">
        <f>644812.5+16389.64</f>
        <v>661202.14</v>
      </c>
      <c r="D357" s="5" t="s">
        <v>1924</v>
      </c>
      <c r="E357" s="5" t="s">
        <v>1912</v>
      </c>
      <c r="F357" s="5" t="s">
        <v>26</v>
      </c>
      <c r="G357" s="7">
        <v>43187</v>
      </c>
      <c r="H357" s="5" t="s">
        <v>27</v>
      </c>
    </row>
    <row r="358" spans="1:10" x14ac:dyDescent="0.25">
      <c r="A358" t="s">
        <v>50</v>
      </c>
      <c r="B358" s="2">
        <v>22</v>
      </c>
      <c r="C358" s="4">
        <f>430350+10706.8</f>
        <v>441056.8</v>
      </c>
      <c r="D358" s="5" t="s">
        <v>1925</v>
      </c>
      <c r="E358" s="5" t="s">
        <v>1913</v>
      </c>
      <c r="F358" s="5" t="s">
        <v>26</v>
      </c>
      <c r="G358" s="7">
        <v>43192</v>
      </c>
      <c r="H358" s="5" t="s">
        <v>27</v>
      </c>
    </row>
    <row r="359" spans="1:10" x14ac:dyDescent="0.25">
      <c r="A359" t="s">
        <v>2084</v>
      </c>
      <c r="B359" s="2">
        <v>23</v>
      </c>
      <c r="C359" s="4">
        <v>34008.1</v>
      </c>
      <c r="D359" s="5" t="s">
        <v>2085</v>
      </c>
      <c r="E359" s="5" t="s">
        <v>2083</v>
      </c>
      <c r="F359" s="5" t="s">
        <v>23</v>
      </c>
      <c r="G359" s="5">
        <v>19</v>
      </c>
      <c r="H359" s="7">
        <v>43192</v>
      </c>
      <c r="I359" s="5" t="s">
        <v>5</v>
      </c>
    </row>
    <row r="360" spans="1:10" x14ac:dyDescent="0.25">
      <c r="A360" t="s">
        <v>1</v>
      </c>
      <c r="B360" s="2">
        <v>23</v>
      </c>
      <c r="C360" s="4">
        <f>28205.36*G360</f>
        <v>520896.58848000003</v>
      </c>
      <c r="D360" s="5" t="s">
        <v>1986</v>
      </c>
      <c r="E360" s="5" t="s">
        <v>1966</v>
      </c>
      <c r="F360" s="5" t="s">
        <v>1967</v>
      </c>
      <c r="G360" s="6">
        <v>18.468</v>
      </c>
      <c r="H360" s="5">
        <v>30.16</v>
      </c>
      <c r="I360" s="7">
        <v>43182</v>
      </c>
      <c r="J360" s="5" t="s">
        <v>5</v>
      </c>
    </row>
    <row r="361" spans="1:10" x14ac:dyDescent="0.25">
      <c r="A361" s="14" t="s">
        <v>13</v>
      </c>
      <c r="B361" s="2">
        <v>24</v>
      </c>
    </row>
    <row r="362" spans="1:10" x14ac:dyDescent="0.25">
      <c r="A362" s="14" t="s">
        <v>14</v>
      </c>
      <c r="B362" s="2">
        <v>25</v>
      </c>
    </row>
    <row r="363" spans="1:10" x14ac:dyDescent="0.25">
      <c r="A363" t="s">
        <v>15</v>
      </c>
      <c r="B363" s="2">
        <v>26</v>
      </c>
      <c r="C363" s="9">
        <f>26001.69*G363</f>
        <v>479991.1974</v>
      </c>
      <c r="D363" s="10" t="s">
        <v>1852</v>
      </c>
      <c r="E363" s="10" t="s">
        <v>2046</v>
      </c>
      <c r="F363" s="10" t="s">
        <v>2047</v>
      </c>
      <c r="G363" s="9">
        <v>18.46</v>
      </c>
      <c r="H363" s="10">
        <v>29.86</v>
      </c>
      <c r="I363" s="12">
        <v>43185</v>
      </c>
      <c r="J363" s="10" t="s">
        <v>5</v>
      </c>
    </row>
    <row r="364" spans="1:10" x14ac:dyDescent="0.25">
      <c r="A364" t="s">
        <v>15</v>
      </c>
      <c r="B364" s="2">
        <v>26</v>
      </c>
      <c r="C364" s="4">
        <f>28603.46*G364</f>
        <v>530079.32071999996</v>
      </c>
      <c r="D364" s="5" t="s">
        <v>1968</v>
      </c>
      <c r="E364" s="5" t="s">
        <v>1969</v>
      </c>
      <c r="F364" s="5" t="s">
        <v>1970</v>
      </c>
      <c r="G364" s="6">
        <v>18.532</v>
      </c>
      <c r="H364" s="5">
        <v>30.24</v>
      </c>
      <c r="I364" s="7">
        <v>43185</v>
      </c>
      <c r="J364" s="5" t="s">
        <v>5</v>
      </c>
    </row>
    <row r="365" spans="1:10" x14ac:dyDescent="0.25">
      <c r="A365" t="s">
        <v>15</v>
      </c>
      <c r="B365" s="2">
        <v>26</v>
      </c>
      <c r="C365" s="4">
        <v>868836.78</v>
      </c>
      <c r="D365" s="5" t="s">
        <v>2049</v>
      </c>
      <c r="E365" s="5" t="s">
        <v>2056</v>
      </c>
      <c r="F365" s="5" t="s">
        <v>1468</v>
      </c>
      <c r="G365" s="7">
        <v>43185</v>
      </c>
      <c r="H365" s="5" t="s">
        <v>27</v>
      </c>
      <c r="I365" s="17"/>
    </row>
    <row r="366" spans="1:10" x14ac:dyDescent="0.25">
      <c r="A366" t="s">
        <v>15</v>
      </c>
      <c r="B366" s="2">
        <v>26</v>
      </c>
      <c r="C366" s="4">
        <f>796290+20590</f>
        <v>816880</v>
      </c>
      <c r="D366" s="5" t="s">
        <v>1992</v>
      </c>
      <c r="E366" s="5" t="s">
        <v>1993</v>
      </c>
      <c r="F366" s="5" t="s">
        <v>26</v>
      </c>
      <c r="G366" s="7">
        <v>43192</v>
      </c>
      <c r="H366" s="5" t="s">
        <v>27</v>
      </c>
    </row>
    <row r="367" spans="1:10" x14ac:dyDescent="0.25">
      <c r="A367" t="s">
        <v>15</v>
      </c>
      <c r="B367" s="2">
        <v>26</v>
      </c>
      <c r="C367" s="4">
        <f>31777.5+823.6</f>
        <v>32601.1</v>
      </c>
      <c r="D367" s="5" t="s">
        <v>1995</v>
      </c>
      <c r="E367" s="5" t="s">
        <v>1994</v>
      </c>
      <c r="F367" s="5" t="s">
        <v>26</v>
      </c>
      <c r="G367" s="7">
        <v>43192</v>
      </c>
      <c r="H367" s="5" t="s">
        <v>27</v>
      </c>
    </row>
    <row r="368" spans="1:10" x14ac:dyDescent="0.25">
      <c r="A368" t="s">
        <v>15</v>
      </c>
      <c r="B368" s="2">
        <v>26</v>
      </c>
      <c r="C368" s="4">
        <f>621585+16472</f>
        <v>638057</v>
      </c>
      <c r="D368" s="5" t="s">
        <v>2002</v>
      </c>
      <c r="E368" s="5" t="s">
        <v>1944</v>
      </c>
      <c r="F368" s="5" t="s">
        <v>26</v>
      </c>
      <c r="G368" s="7">
        <v>43192</v>
      </c>
      <c r="H368" s="5" t="s">
        <v>27</v>
      </c>
    </row>
    <row r="369" spans="1:10" x14ac:dyDescent="0.25">
      <c r="A369" t="s">
        <v>15</v>
      </c>
      <c r="B369" s="2">
        <v>26</v>
      </c>
      <c r="C369" s="4">
        <f>657352.5+16389.64</f>
        <v>673742.14</v>
      </c>
      <c r="D369" s="5" t="s">
        <v>2003</v>
      </c>
      <c r="E369" s="5" t="s">
        <v>1946</v>
      </c>
      <c r="F369" s="5" t="s">
        <v>26</v>
      </c>
      <c r="G369" s="7">
        <v>43193</v>
      </c>
      <c r="H369" s="5" t="s">
        <v>27</v>
      </c>
    </row>
    <row r="370" spans="1:10" x14ac:dyDescent="0.25">
      <c r="A370" t="s">
        <v>34</v>
      </c>
      <c r="B370" s="2">
        <v>27</v>
      </c>
      <c r="C370" s="4">
        <v>694386</v>
      </c>
      <c r="D370" s="5" t="s">
        <v>2050</v>
      </c>
      <c r="E370" s="5" t="s">
        <v>2058</v>
      </c>
      <c r="F370" s="5" t="s">
        <v>1468</v>
      </c>
      <c r="G370" s="7">
        <v>43186</v>
      </c>
      <c r="H370" s="5" t="s">
        <v>27</v>
      </c>
    </row>
    <row r="371" spans="1:10" x14ac:dyDescent="0.25">
      <c r="A371" t="s">
        <v>34</v>
      </c>
      <c r="B371" s="2">
        <v>27</v>
      </c>
      <c r="C371" s="9">
        <f>25000*G371</f>
        <v>477500.00000000006</v>
      </c>
      <c r="D371" s="10" t="s">
        <v>1856</v>
      </c>
      <c r="E371" s="10" t="s">
        <v>2131</v>
      </c>
      <c r="F371" s="10" t="s">
        <v>111</v>
      </c>
      <c r="G371" s="9">
        <v>19.100000000000001</v>
      </c>
      <c r="H371" s="10">
        <v>27.67</v>
      </c>
      <c r="I371" s="12">
        <v>43186</v>
      </c>
      <c r="J371" s="10" t="s">
        <v>5</v>
      </c>
    </row>
    <row r="372" spans="1:10" x14ac:dyDescent="0.25">
      <c r="A372" t="s">
        <v>34</v>
      </c>
      <c r="B372" s="2">
        <v>27</v>
      </c>
      <c r="C372" s="9">
        <f>25000*G372</f>
        <v>477500.00000000006</v>
      </c>
      <c r="D372" s="10" t="s">
        <v>1858</v>
      </c>
      <c r="E372" s="10" t="s">
        <v>2130</v>
      </c>
      <c r="F372" s="10" t="s">
        <v>111</v>
      </c>
      <c r="G372" s="9">
        <v>19.100000000000001</v>
      </c>
      <c r="H372" s="10">
        <v>27.93</v>
      </c>
      <c r="I372" s="12">
        <v>43186</v>
      </c>
      <c r="J372" s="10" t="s">
        <v>5</v>
      </c>
    </row>
    <row r="373" spans="1:10" x14ac:dyDescent="0.25">
      <c r="A373" t="s">
        <v>34</v>
      </c>
      <c r="B373" s="2">
        <v>27</v>
      </c>
      <c r="C373" s="4">
        <f>608047.5+16389.64</f>
        <v>624437.14</v>
      </c>
      <c r="D373" s="5" t="s">
        <v>2004</v>
      </c>
      <c r="E373" s="5" t="s">
        <v>2005</v>
      </c>
      <c r="F373" s="5" t="s">
        <v>26</v>
      </c>
      <c r="G373" s="7">
        <v>43193</v>
      </c>
      <c r="H373" s="5" t="s">
        <v>27</v>
      </c>
    </row>
    <row r="374" spans="1:10" x14ac:dyDescent="0.25">
      <c r="A374" t="s">
        <v>34</v>
      </c>
      <c r="B374" s="2">
        <v>27</v>
      </c>
      <c r="C374" s="4">
        <v>470869.8</v>
      </c>
      <c r="D374" s="5" t="s">
        <v>2078</v>
      </c>
      <c r="E374" s="5" t="s">
        <v>2117</v>
      </c>
      <c r="F374" s="5" t="s">
        <v>1724</v>
      </c>
      <c r="G374" s="4">
        <v>92</v>
      </c>
      <c r="H374" s="7">
        <v>43196</v>
      </c>
      <c r="I374" s="5" t="s">
        <v>5</v>
      </c>
    </row>
    <row r="375" spans="1:10" x14ac:dyDescent="0.25">
      <c r="A375" t="s">
        <v>34</v>
      </c>
      <c r="B375" s="2">
        <v>27</v>
      </c>
      <c r="C375" s="4">
        <v>35093</v>
      </c>
      <c r="D375" s="5" t="s">
        <v>2089</v>
      </c>
      <c r="E375" s="5" t="s">
        <v>2088</v>
      </c>
      <c r="F375" s="5" t="s">
        <v>23</v>
      </c>
      <c r="G375" s="4">
        <v>19</v>
      </c>
      <c r="H375" s="7">
        <v>43192</v>
      </c>
      <c r="I375" s="5" t="s">
        <v>5</v>
      </c>
    </row>
    <row r="376" spans="1:10" x14ac:dyDescent="0.25">
      <c r="A376" t="s">
        <v>44</v>
      </c>
      <c r="B376" s="2">
        <v>28</v>
      </c>
      <c r="C376" s="4">
        <v>779814</v>
      </c>
      <c r="D376" s="5" t="s">
        <v>2051</v>
      </c>
      <c r="E376" s="5" t="s">
        <v>2067</v>
      </c>
      <c r="F376" s="5" t="s">
        <v>1468</v>
      </c>
      <c r="G376" s="143">
        <v>43187</v>
      </c>
      <c r="H376" s="5" t="s">
        <v>27</v>
      </c>
    </row>
    <row r="377" spans="1:10" x14ac:dyDescent="0.25">
      <c r="A377" t="s">
        <v>44</v>
      </c>
      <c r="B377" s="2">
        <v>28</v>
      </c>
      <c r="C377" s="9">
        <f>26000*G377</f>
        <v>479960</v>
      </c>
      <c r="D377" s="10" t="s">
        <v>1857</v>
      </c>
      <c r="E377" s="10" t="s">
        <v>2147</v>
      </c>
      <c r="F377" s="10" t="s">
        <v>2045</v>
      </c>
      <c r="G377" s="9">
        <v>18.46</v>
      </c>
      <c r="H377" s="10">
        <v>28.13</v>
      </c>
      <c r="I377" s="12">
        <v>43187</v>
      </c>
      <c r="J377" s="10" t="s">
        <v>5</v>
      </c>
    </row>
    <row r="378" spans="1:10" x14ac:dyDescent="0.25">
      <c r="A378" t="s">
        <v>44</v>
      </c>
      <c r="B378" s="2">
        <v>28</v>
      </c>
      <c r="C378" s="9">
        <f>26000*G378</f>
        <v>479960</v>
      </c>
      <c r="D378" s="10" t="s">
        <v>1859</v>
      </c>
      <c r="E378" s="10" t="s">
        <v>2160</v>
      </c>
      <c r="F378" s="10" t="s">
        <v>2045</v>
      </c>
      <c r="G378" s="9">
        <v>18.46</v>
      </c>
      <c r="H378" s="10">
        <v>28.02</v>
      </c>
      <c r="I378" s="12">
        <v>43187</v>
      </c>
      <c r="J378" s="10" t="s">
        <v>5</v>
      </c>
    </row>
    <row r="379" spans="1:10" x14ac:dyDescent="0.25">
      <c r="A379" t="s">
        <v>44</v>
      </c>
      <c r="B379" s="2">
        <v>28</v>
      </c>
      <c r="C379" s="4">
        <f>27988.26*G379</f>
        <v>516663.27960000001</v>
      </c>
      <c r="D379" s="5" t="s">
        <v>1971</v>
      </c>
      <c r="E379" s="5" t="s">
        <v>1972</v>
      </c>
      <c r="F379" s="5" t="s">
        <v>1973</v>
      </c>
      <c r="G379" s="4">
        <v>18.46</v>
      </c>
      <c r="H379" s="5">
        <v>29.69</v>
      </c>
      <c r="I379" s="7">
        <v>43187</v>
      </c>
      <c r="J379" s="5" t="s">
        <v>5</v>
      </c>
    </row>
    <row r="380" spans="1:10" x14ac:dyDescent="0.25">
      <c r="A380" t="s">
        <v>44</v>
      </c>
      <c r="B380" s="2">
        <v>28</v>
      </c>
      <c r="C380" s="4">
        <f>403275+10706.8</f>
        <v>413981.8</v>
      </c>
      <c r="D380" s="5" t="s">
        <v>2006</v>
      </c>
      <c r="E380" s="5" t="s">
        <v>1956</v>
      </c>
      <c r="F380" s="5" t="s">
        <v>26</v>
      </c>
      <c r="G380" s="7">
        <v>43195</v>
      </c>
      <c r="H380" s="5" t="s">
        <v>27</v>
      </c>
    </row>
    <row r="381" spans="1:10" x14ac:dyDescent="0.25">
      <c r="A381" t="s">
        <v>44</v>
      </c>
      <c r="B381" s="2">
        <v>28</v>
      </c>
      <c r="C381" s="4">
        <f>656212.5+16389.64</f>
        <v>672602.14</v>
      </c>
      <c r="D381" s="5" t="s">
        <v>2007</v>
      </c>
      <c r="E381" s="5" t="s">
        <v>1955</v>
      </c>
      <c r="F381" s="5" t="s">
        <v>26</v>
      </c>
      <c r="G381" s="143">
        <v>43196</v>
      </c>
      <c r="H381" s="5" t="s">
        <v>27</v>
      </c>
    </row>
    <row r="382" spans="1:10" x14ac:dyDescent="0.25">
      <c r="A382" t="s">
        <v>50</v>
      </c>
      <c r="B382" s="2">
        <v>29</v>
      </c>
      <c r="C382" s="4">
        <f>604485+16472</f>
        <v>620957</v>
      </c>
      <c r="D382" s="5" t="s">
        <v>2008</v>
      </c>
      <c r="E382" s="5" t="s">
        <v>1974</v>
      </c>
      <c r="F382" s="5" t="s">
        <v>26</v>
      </c>
      <c r="G382" s="7">
        <v>43199</v>
      </c>
      <c r="H382" s="5" t="s">
        <v>27</v>
      </c>
    </row>
    <row r="383" spans="1:10" x14ac:dyDescent="0.25">
      <c r="A383" t="s">
        <v>50</v>
      </c>
      <c r="B383" s="2">
        <v>29</v>
      </c>
      <c r="C383" s="4">
        <f>451155+10706.8</f>
        <v>461861.8</v>
      </c>
      <c r="D383" s="5" t="s">
        <v>2009</v>
      </c>
      <c r="E383" s="5" t="s">
        <v>1975</v>
      </c>
      <c r="F383" s="5" t="s">
        <v>26</v>
      </c>
      <c r="G383" s="7">
        <v>43199</v>
      </c>
      <c r="H383" s="5" t="s">
        <v>27</v>
      </c>
    </row>
    <row r="384" spans="1:10" x14ac:dyDescent="0.25">
      <c r="A384" t="s">
        <v>1</v>
      </c>
      <c r="B384" s="2">
        <v>30</v>
      </c>
    </row>
    <row r="385" spans="1:14" x14ac:dyDescent="0.25">
      <c r="A385" s="14" t="s">
        <v>13</v>
      </c>
      <c r="B385" s="2">
        <v>31</v>
      </c>
    </row>
    <row r="386" spans="1:14" x14ac:dyDescent="0.25">
      <c r="A386" s="1" t="s">
        <v>1997</v>
      </c>
    </row>
    <row r="387" spans="1:14" x14ac:dyDescent="0.25">
      <c r="A387" s="14" t="s">
        <v>14</v>
      </c>
      <c r="B387" s="2">
        <v>1</v>
      </c>
    </row>
    <row r="388" spans="1:14" x14ac:dyDescent="0.25">
      <c r="A388" t="s">
        <v>15</v>
      </c>
      <c r="B388" s="2">
        <v>2</v>
      </c>
      <c r="C388" s="4">
        <f>786030+20590</f>
        <v>806620</v>
      </c>
      <c r="D388" s="5" t="s">
        <v>2031</v>
      </c>
      <c r="E388" s="5" t="s">
        <v>2032</v>
      </c>
      <c r="F388" s="5" t="s">
        <v>26</v>
      </c>
      <c r="G388" s="7">
        <v>43200</v>
      </c>
      <c r="H388" s="5" t="s">
        <v>27</v>
      </c>
    </row>
    <row r="389" spans="1:14" x14ac:dyDescent="0.25">
      <c r="A389" t="s">
        <v>15</v>
      </c>
      <c r="B389" s="2">
        <v>2</v>
      </c>
      <c r="C389" s="4">
        <f>30637.5+823.6</f>
        <v>31461.1</v>
      </c>
      <c r="D389" s="5" t="s">
        <v>2034</v>
      </c>
      <c r="E389" s="5" t="s">
        <v>2033</v>
      </c>
      <c r="F389" s="5" t="s">
        <v>26</v>
      </c>
      <c r="G389" s="7">
        <v>43200</v>
      </c>
      <c r="H389" s="5" t="s">
        <v>27</v>
      </c>
    </row>
    <row r="390" spans="1:14" x14ac:dyDescent="0.25">
      <c r="A390" t="s">
        <v>15</v>
      </c>
      <c r="B390" s="2">
        <v>2</v>
      </c>
      <c r="C390" s="4">
        <f>577410+16389.64</f>
        <v>593799.64</v>
      </c>
      <c r="D390" s="5" t="s">
        <v>2035</v>
      </c>
      <c r="E390" s="5" t="s">
        <v>1982</v>
      </c>
      <c r="F390" s="5" t="s">
        <v>26</v>
      </c>
      <c r="G390" s="7">
        <v>43200</v>
      </c>
      <c r="H390" s="5" t="s">
        <v>27</v>
      </c>
      <c r="I390" s="15" t="s">
        <v>2215</v>
      </c>
      <c r="J390" s="15"/>
      <c r="K390" s="15"/>
      <c r="L390" s="15"/>
      <c r="M390" s="15"/>
      <c r="N390" s="15"/>
    </row>
    <row r="391" spans="1:14" x14ac:dyDescent="0.25">
      <c r="A391" t="s">
        <v>15</v>
      </c>
      <c r="B391" s="2">
        <v>2</v>
      </c>
      <c r="C391" s="4">
        <f>682290+16472</f>
        <v>698762</v>
      </c>
      <c r="D391" s="5" t="s">
        <v>2036</v>
      </c>
      <c r="E391" s="5" t="s">
        <v>1985</v>
      </c>
      <c r="F391" s="5" t="s">
        <v>26</v>
      </c>
      <c r="G391" s="7">
        <v>43201</v>
      </c>
      <c r="H391" s="5" t="s">
        <v>27</v>
      </c>
    </row>
    <row r="392" spans="1:14" x14ac:dyDescent="0.25">
      <c r="A392" t="s">
        <v>34</v>
      </c>
      <c r="B392" s="2">
        <v>3</v>
      </c>
      <c r="C392" s="4">
        <v>52449.5</v>
      </c>
      <c r="D392" s="5" t="s">
        <v>2094</v>
      </c>
      <c r="E392" s="5" t="s">
        <v>2093</v>
      </c>
      <c r="F392" s="5" t="s">
        <v>23</v>
      </c>
      <c r="G392" s="5">
        <v>19</v>
      </c>
      <c r="H392" s="7">
        <v>43196</v>
      </c>
      <c r="I392" s="5" t="s">
        <v>5</v>
      </c>
    </row>
    <row r="393" spans="1:14" x14ac:dyDescent="0.25">
      <c r="A393" t="s">
        <v>34</v>
      </c>
      <c r="B393" s="2">
        <v>3</v>
      </c>
      <c r="C393" s="9">
        <f>25000*G393</f>
        <v>457500</v>
      </c>
      <c r="D393" s="10" t="s">
        <v>2061</v>
      </c>
      <c r="E393" s="10" t="s">
        <v>2241</v>
      </c>
      <c r="F393" s="10" t="s">
        <v>111</v>
      </c>
      <c r="G393" s="9">
        <v>18.3</v>
      </c>
      <c r="H393" s="10">
        <v>28.33</v>
      </c>
      <c r="I393" s="12">
        <v>43193</v>
      </c>
      <c r="J393" s="10" t="s">
        <v>5</v>
      </c>
    </row>
    <row r="394" spans="1:14" x14ac:dyDescent="0.25">
      <c r="A394" t="s">
        <v>34</v>
      </c>
      <c r="B394" s="2">
        <v>3</v>
      </c>
      <c r="C394" s="4">
        <f>26156.96*G394</f>
        <v>479457.07679999992</v>
      </c>
      <c r="D394" s="5" t="s">
        <v>1998</v>
      </c>
      <c r="E394" s="5" t="s">
        <v>1999</v>
      </c>
      <c r="F394" s="5" t="s">
        <v>2000</v>
      </c>
      <c r="G394" s="4">
        <v>18.329999999999998</v>
      </c>
      <c r="H394" s="5">
        <v>27.56</v>
      </c>
      <c r="I394" s="7">
        <v>43193</v>
      </c>
      <c r="J394" s="5" t="s">
        <v>5</v>
      </c>
    </row>
    <row r="395" spans="1:14" x14ac:dyDescent="0.25">
      <c r="A395" t="s">
        <v>34</v>
      </c>
      <c r="B395" s="2">
        <v>3</v>
      </c>
      <c r="C395" s="9">
        <f>26199.35*G395</f>
        <v>477797.54594999994</v>
      </c>
      <c r="D395" s="10" t="s">
        <v>2121</v>
      </c>
      <c r="E395" s="10" t="s">
        <v>2122</v>
      </c>
      <c r="F395" s="10" t="s">
        <v>2123</v>
      </c>
      <c r="G395" s="11">
        <v>18.236999999999998</v>
      </c>
      <c r="H395" s="10">
        <v>27.87</v>
      </c>
      <c r="I395" s="12">
        <v>43193</v>
      </c>
      <c r="J395" s="10" t="s">
        <v>5</v>
      </c>
    </row>
    <row r="396" spans="1:14" x14ac:dyDescent="0.25">
      <c r="A396" t="s">
        <v>34</v>
      </c>
      <c r="B396" s="2">
        <v>3</v>
      </c>
      <c r="C396" s="4">
        <f>622297.5+16307.28</f>
        <v>638604.78</v>
      </c>
      <c r="D396" s="5" t="s">
        <v>2037</v>
      </c>
      <c r="E396" s="5" t="s">
        <v>1996</v>
      </c>
      <c r="F396" s="5" t="s">
        <v>26</v>
      </c>
      <c r="G396" s="143">
        <v>43202</v>
      </c>
      <c r="H396" s="5" t="s">
        <v>27</v>
      </c>
      <c r="K396" s="15" t="s">
        <v>2216</v>
      </c>
      <c r="L396" s="15"/>
    </row>
    <row r="397" spans="1:14" x14ac:dyDescent="0.25">
      <c r="A397" t="s">
        <v>44</v>
      </c>
      <c r="B397" s="2">
        <v>4</v>
      </c>
      <c r="C397" s="9">
        <f>27000*G397</f>
        <v>495207.00000000006</v>
      </c>
      <c r="D397" s="10" t="s">
        <v>2138</v>
      </c>
      <c r="E397" s="10" t="s">
        <v>2240</v>
      </c>
      <c r="F397" s="10" t="s">
        <v>2100</v>
      </c>
      <c r="G397" s="11">
        <v>18.341000000000001</v>
      </c>
      <c r="H397" s="10">
        <v>28.07</v>
      </c>
      <c r="I397" s="12">
        <v>43163</v>
      </c>
      <c r="J397" s="10" t="s">
        <v>5</v>
      </c>
    </row>
    <row r="398" spans="1:14" x14ac:dyDescent="0.25">
      <c r="A398" t="s">
        <v>44</v>
      </c>
      <c r="B398" s="2">
        <v>4</v>
      </c>
      <c r="C398" s="4">
        <v>840909.3</v>
      </c>
      <c r="D398" s="5" t="s">
        <v>2081</v>
      </c>
      <c r="E398" s="5" t="s">
        <v>2118</v>
      </c>
      <c r="F398" s="5" t="s">
        <v>2082</v>
      </c>
      <c r="G398" s="5">
        <v>88.5</v>
      </c>
      <c r="H398" s="7">
        <v>43199</v>
      </c>
      <c r="I398" s="5" t="s">
        <v>5</v>
      </c>
    </row>
    <row r="399" spans="1:14" x14ac:dyDescent="0.25">
      <c r="A399" t="s">
        <v>44</v>
      </c>
      <c r="B399" s="2">
        <v>4</v>
      </c>
      <c r="C399" s="4">
        <v>34714.9</v>
      </c>
      <c r="D399" s="5" t="s">
        <v>2095</v>
      </c>
      <c r="E399" s="5" t="s">
        <v>2140</v>
      </c>
      <c r="F399" s="5" t="s">
        <v>23</v>
      </c>
      <c r="G399" s="5">
        <v>19</v>
      </c>
      <c r="H399" s="7">
        <v>43200</v>
      </c>
      <c r="I399" s="5" t="s">
        <v>5</v>
      </c>
    </row>
    <row r="400" spans="1:14" x14ac:dyDescent="0.25">
      <c r="A400" t="s">
        <v>44</v>
      </c>
      <c r="B400" s="2">
        <v>4</v>
      </c>
      <c r="C400" s="4">
        <f>608190+17295.6</f>
        <v>625485.6</v>
      </c>
      <c r="D400" s="5" t="s">
        <v>2096</v>
      </c>
      <c r="E400" s="5" t="s">
        <v>2029</v>
      </c>
      <c r="F400" s="5" t="s">
        <v>26</v>
      </c>
      <c r="G400" s="7">
        <v>43203</v>
      </c>
      <c r="H400" s="5" t="s">
        <v>27</v>
      </c>
    </row>
    <row r="401" spans="1:10" x14ac:dyDescent="0.25">
      <c r="A401" t="s">
        <v>44</v>
      </c>
      <c r="B401" s="2">
        <v>4</v>
      </c>
      <c r="C401" s="4">
        <f>388740+9800.84</f>
        <v>398540.84</v>
      </c>
      <c r="D401" s="5" t="s">
        <v>2097</v>
      </c>
      <c r="E401" s="5" t="s">
        <v>2030</v>
      </c>
      <c r="F401" s="5" t="s">
        <v>26</v>
      </c>
      <c r="G401" s="143">
        <v>43202</v>
      </c>
      <c r="H401" s="5" t="s">
        <v>27</v>
      </c>
    </row>
    <row r="402" spans="1:10" x14ac:dyDescent="0.25">
      <c r="A402" t="s">
        <v>44</v>
      </c>
      <c r="B402" s="2">
        <v>4</v>
      </c>
      <c r="C402" s="4">
        <v>900396</v>
      </c>
      <c r="D402" s="5" t="s">
        <v>2052</v>
      </c>
      <c r="E402" s="5" t="s">
        <v>2148</v>
      </c>
      <c r="F402" s="5" t="s">
        <v>1468</v>
      </c>
      <c r="G402" s="7">
        <v>43195</v>
      </c>
      <c r="H402" s="5" t="s">
        <v>27</v>
      </c>
    </row>
    <row r="403" spans="1:10" x14ac:dyDescent="0.25">
      <c r="A403" t="s">
        <v>50</v>
      </c>
      <c r="B403" s="2">
        <v>5</v>
      </c>
      <c r="C403" s="9">
        <f>28000*G403</f>
        <v>509852</v>
      </c>
      <c r="D403" s="10" t="s">
        <v>2062</v>
      </c>
      <c r="E403" s="10" t="s">
        <v>2242</v>
      </c>
      <c r="F403" s="10" t="s">
        <v>268</v>
      </c>
      <c r="G403" s="11">
        <v>18.209</v>
      </c>
      <c r="H403" s="10">
        <v>28.35</v>
      </c>
      <c r="I403" s="12">
        <v>43195</v>
      </c>
      <c r="J403" s="10" t="s">
        <v>5</v>
      </c>
    </row>
    <row r="404" spans="1:10" x14ac:dyDescent="0.25">
      <c r="A404" t="s">
        <v>50</v>
      </c>
      <c r="B404" s="2">
        <v>5</v>
      </c>
      <c r="C404" s="4">
        <f>635550+16472</f>
        <v>652022</v>
      </c>
      <c r="D404" s="5" t="s">
        <v>2098</v>
      </c>
      <c r="E404" s="5" t="s">
        <v>2038</v>
      </c>
      <c r="F404" s="5" t="s">
        <v>26</v>
      </c>
      <c r="G404" s="7">
        <v>43206</v>
      </c>
      <c r="H404" s="5" t="s">
        <v>27</v>
      </c>
    </row>
    <row r="405" spans="1:10" x14ac:dyDescent="0.25">
      <c r="A405" t="s">
        <v>50</v>
      </c>
      <c r="B405" s="2">
        <v>5</v>
      </c>
      <c r="C405" s="4">
        <f>430635+10706.8</f>
        <v>441341.8</v>
      </c>
      <c r="D405" s="5" t="s">
        <v>2099</v>
      </c>
      <c r="E405" s="5" t="s">
        <v>2039</v>
      </c>
      <c r="F405" s="5" t="s">
        <v>26</v>
      </c>
      <c r="G405" s="7">
        <v>43203</v>
      </c>
      <c r="H405" s="5" t="s">
        <v>27</v>
      </c>
    </row>
    <row r="406" spans="1:10" x14ac:dyDescent="0.25">
      <c r="A406" t="s">
        <v>1</v>
      </c>
      <c r="B406" s="2">
        <v>6</v>
      </c>
      <c r="C406" s="4">
        <v>903904</v>
      </c>
      <c r="D406" s="5" t="s">
        <v>2053</v>
      </c>
      <c r="E406" s="5" t="s">
        <v>2139</v>
      </c>
      <c r="F406" s="5" t="s">
        <v>1468</v>
      </c>
      <c r="G406" s="143">
        <v>43196</v>
      </c>
      <c r="H406" s="5" t="s">
        <v>27</v>
      </c>
    </row>
    <row r="407" spans="1:10" x14ac:dyDescent="0.25">
      <c r="A407" t="s">
        <v>1</v>
      </c>
      <c r="B407" s="2">
        <v>6</v>
      </c>
      <c r="C407" s="4">
        <f>25071.68*G407</f>
        <v>456931.36800000002</v>
      </c>
      <c r="D407" s="5" t="s">
        <v>2101</v>
      </c>
      <c r="E407" s="5" t="s">
        <v>2102</v>
      </c>
      <c r="F407" s="5" t="s">
        <v>2103</v>
      </c>
      <c r="G407" s="6">
        <v>18.225000000000001</v>
      </c>
      <c r="H407" s="5">
        <v>27.24</v>
      </c>
      <c r="I407" s="7">
        <v>43196</v>
      </c>
      <c r="J407" s="5" t="s">
        <v>5</v>
      </c>
    </row>
    <row r="408" spans="1:10" x14ac:dyDescent="0.25">
      <c r="A408" t="s">
        <v>1</v>
      </c>
      <c r="B408" s="2">
        <v>6</v>
      </c>
      <c r="C408" s="4">
        <f>25252.11*G408</f>
        <v>459815.67099000001</v>
      </c>
      <c r="D408" s="5" t="s">
        <v>2106</v>
      </c>
      <c r="E408" s="5" t="s">
        <v>2105</v>
      </c>
      <c r="F408" s="5" t="s">
        <v>2104</v>
      </c>
      <c r="G408" s="6">
        <v>18.209</v>
      </c>
      <c r="H408" s="5">
        <v>27.19</v>
      </c>
      <c r="I408" s="7">
        <v>43196</v>
      </c>
      <c r="J408" s="5" t="s">
        <v>5</v>
      </c>
    </row>
    <row r="409" spans="1:10" x14ac:dyDescent="0.25">
      <c r="A409" s="14" t="s">
        <v>13</v>
      </c>
      <c r="B409" s="2">
        <v>7</v>
      </c>
    </row>
    <row r="410" spans="1:10" x14ac:dyDescent="0.25">
      <c r="A410" s="14" t="s">
        <v>14</v>
      </c>
      <c r="B410" s="2">
        <v>8</v>
      </c>
    </row>
    <row r="411" spans="1:10" x14ac:dyDescent="0.25">
      <c r="A411" t="s">
        <v>15</v>
      </c>
      <c r="B411" s="2">
        <v>9</v>
      </c>
      <c r="C411" s="9">
        <f>28000*G411</f>
        <v>512820.00000000006</v>
      </c>
      <c r="D411" s="10" t="s">
        <v>2063</v>
      </c>
      <c r="E411" s="10" t="s">
        <v>2243</v>
      </c>
      <c r="F411" s="10" t="s">
        <v>268</v>
      </c>
      <c r="G411" s="11">
        <v>18.315000000000001</v>
      </c>
      <c r="H411" s="10">
        <v>28.34</v>
      </c>
      <c r="I411" s="12">
        <v>43199</v>
      </c>
      <c r="J411" s="10" t="s">
        <v>5</v>
      </c>
    </row>
    <row r="412" spans="1:10" x14ac:dyDescent="0.25">
      <c r="A412" t="s">
        <v>15</v>
      </c>
      <c r="B412" s="2">
        <v>9</v>
      </c>
      <c r="C412" s="4">
        <v>906536</v>
      </c>
      <c r="D412" s="5" t="s">
        <v>2054</v>
      </c>
      <c r="E412" s="5" t="s">
        <v>2142</v>
      </c>
      <c r="F412" s="5" t="s">
        <v>1468</v>
      </c>
      <c r="G412" s="7">
        <v>43199</v>
      </c>
      <c r="H412" s="5" t="s">
        <v>27</v>
      </c>
    </row>
    <row r="413" spans="1:10" x14ac:dyDescent="0.25">
      <c r="A413" t="s">
        <v>15</v>
      </c>
      <c r="B413" s="2">
        <v>9</v>
      </c>
      <c r="C413" s="4">
        <v>400000</v>
      </c>
      <c r="D413" s="5" t="s">
        <v>2204</v>
      </c>
      <c r="E413" s="5" t="s">
        <v>2217</v>
      </c>
      <c r="F413" s="5" t="s">
        <v>2203</v>
      </c>
      <c r="G413" s="5">
        <v>72</v>
      </c>
      <c r="H413" s="7">
        <v>43199</v>
      </c>
      <c r="I413" s="5" t="s">
        <v>5</v>
      </c>
    </row>
    <row r="414" spans="1:10" x14ac:dyDescent="0.25">
      <c r="A414" t="s">
        <v>15</v>
      </c>
      <c r="B414" s="2">
        <v>10</v>
      </c>
      <c r="C414" s="4">
        <v>115332.77</v>
      </c>
      <c r="D414" s="5" t="s">
        <v>2204</v>
      </c>
      <c r="E414" s="5" t="s">
        <v>2218</v>
      </c>
      <c r="F414" s="5" t="s">
        <v>2203</v>
      </c>
      <c r="G414" s="5">
        <v>72</v>
      </c>
      <c r="H414" s="7">
        <v>43200</v>
      </c>
      <c r="I414" s="5" t="s">
        <v>5</v>
      </c>
    </row>
    <row r="415" spans="1:10" x14ac:dyDescent="0.25">
      <c r="A415" t="s">
        <v>34</v>
      </c>
      <c r="B415">
        <v>10</v>
      </c>
      <c r="C415" s="4">
        <v>54180.36</v>
      </c>
      <c r="D415" s="5" t="s">
        <v>2210</v>
      </c>
      <c r="E415" s="5" t="s">
        <v>2211</v>
      </c>
      <c r="F415" s="5" t="s">
        <v>2212</v>
      </c>
      <c r="G415" s="5">
        <v>54</v>
      </c>
      <c r="H415" s="7">
        <v>43200</v>
      </c>
      <c r="I415" s="5" t="s">
        <v>5</v>
      </c>
    </row>
    <row r="416" spans="1:10" x14ac:dyDescent="0.25">
      <c r="A416" t="s">
        <v>44</v>
      </c>
      <c r="B416" s="2">
        <v>11</v>
      </c>
      <c r="C416" s="9">
        <f>27000*G416</f>
        <v>493830</v>
      </c>
      <c r="D416" s="10" t="s">
        <v>2196</v>
      </c>
      <c r="E416" s="10" t="s">
        <v>2306</v>
      </c>
      <c r="F416" s="10" t="s">
        <v>2100</v>
      </c>
      <c r="G416" s="9">
        <v>18.29</v>
      </c>
      <c r="H416" s="10">
        <v>28.37</v>
      </c>
      <c r="I416" s="12">
        <v>43201</v>
      </c>
      <c r="J416" s="10" t="s">
        <v>5</v>
      </c>
    </row>
    <row r="417" spans="1:11" x14ac:dyDescent="0.25">
      <c r="A417" t="s">
        <v>44</v>
      </c>
      <c r="B417" s="2">
        <v>11</v>
      </c>
      <c r="C417" s="9">
        <f>27000*G417</f>
        <v>493830</v>
      </c>
      <c r="D417" s="10" t="s">
        <v>2197</v>
      </c>
      <c r="E417" s="10" t="s">
        <v>2305</v>
      </c>
      <c r="F417" s="10" t="s">
        <v>2100</v>
      </c>
      <c r="G417" s="9">
        <v>18.29</v>
      </c>
      <c r="H417" s="10">
        <v>28.38</v>
      </c>
      <c r="I417" s="12">
        <v>43201</v>
      </c>
      <c r="J417" s="10" t="s">
        <v>5</v>
      </c>
    </row>
    <row r="418" spans="1:11" x14ac:dyDescent="0.25">
      <c r="A418" t="s">
        <v>50</v>
      </c>
      <c r="B418" s="2">
        <v>12</v>
      </c>
      <c r="C418" s="9">
        <f>28000*G418</f>
        <v>512679.99999999994</v>
      </c>
      <c r="D418" s="10" t="s">
        <v>2199</v>
      </c>
      <c r="E418" s="10" t="s">
        <v>2313</v>
      </c>
      <c r="F418" s="10" t="s">
        <v>268</v>
      </c>
      <c r="G418" s="9">
        <v>18.309999999999999</v>
      </c>
      <c r="H418" s="10">
        <v>29.5</v>
      </c>
      <c r="I418" s="12">
        <v>43202</v>
      </c>
      <c r="J418" s="10" t="s">
        <v>5</v>
      </c>
    </row>
    <row r="419" spans="1:11" x14ac:dyDescent="0.25">
      <c r="A419" t="s">
        <v>1</v>
      </c>
      <c r="B419" s="2">
        <v>13</v>
      </c>
      <c r="C419" s="4">
        <f>(26383.61-1632)*G419</f>
        <v>450974.33419999998</v>
      </c>
      <c r="D419" s="5" t="s">
        <v>2171</v>
      </c>
      <c r="E419" s="5" t="s">
        <v>2169</v>
      </c>
      <c r="F419" s="5" t="s">
        <v>2202</v>
      </c>
      <c r="G419" s="4">
        <v>18.22</v>
      </c>
      <c r="H419" s="5">
        <v>27.61</v>
      </c>
      <c r="I419" s="7">
        <v>43203</v>
      </c>
      <c r="J419" s="5" t="s">
        <v>5</v>
      </c>
      <c r="K419" t="s">
        <v>2201</v>
      </c>
    </row>
    <row r="420" spans="1:11" x14ac:dyDescent="0.25">
      <c r="A420" s="14" t="s">
        <v>13</v>
      </c>
      <c r="B420" s="2">
        <v>14</v>
      </c>
    </row>
    <row r="421" spans="1:11" x14ac:dyDescent="0.25">
      <c r="A421" s="14" t="s">
        <v>14</v>
      </c>
      <c r="B421" s="2">
        <v>15</v>
      </c>
    </row>
    <row r="422" spans="1:11" x14ac:dyDescent="0.25">
      <c r="A422" t="s">
        <v>15</v>
      </c>
      <c r="B422" s="2">
        <v>16</v>
      </c>
      <c r="C422" s="9">
        <f>27500*G422</f>
        <v>498712.50000000006</v>
      </c>
      <c r="D422" s="10" t="s">
        <v>2200</v>
      </c>
      <c r="E422" s="10" t="s">
        <v>2347</v>
      </c>
      <c r="F422" s="10" t="s">
        <v>1926</v>
      </c>
      <c r="G422" s="11">
        <v>18.135000000000002</v>
      </c>
      <c r="H422" s="10">
        <v>29.19</v>
      </c>
      <c r="I422" s="12">
        <v>43206</v>
      </c>
      <c r="J422" s="10" t="s">
        <v>5</v>
      </c>
    </row>
    <row r="423" spans="1:11" x14ac:dyDescent="0.25">
      <c r="A423" t="s">
        <v>15</v>
      </c>
      <c r="B423" s="2">
        <v>16</v>
      </c>
      <c r="C423" s="4">
        <f>25420.25*G423</f>
        <v>462292.66649999999</v>
      </c>
      <c r="D423" s="5" t="s">
        <v>2170</v>
      </c>
      <c r="E423" s="5" t="s">
        <v>2172</v>
      </c>
      <c r="F423" s="5" t="s">
        <v>2219</v>
      </c>
      <c r="G423" s="6">
        <v>18.186</v>
      </c>
      <c r="H423" s="5">
        <v>27.29</v>
      </c>
      <c r="I423" s="7">
        <v>43206</v>
      </c>
      <c r="J423" s="5" t="s">
        <v>5</v>
      </c>
    </row>
    <row r="424" spans="1:11" x14ac:dyDescent="0.25">
      <c r="A424" t="s">
        <v>15</v>
      </c>
      <c r="B424" s="2">
        <v>16</v>
      </c>
      <c r="C424" s="4">
        <f>748980+20590</f>
        <v>769570</v>
      </c>
      <c r="D424" s="5" t="s">
        <v>2177</v>
      </c>
      <c r="E424" s="5" t="s">
        <v>2178</v>
      </c>
      <c r="F424" s="5" t="s">
        <v>26</v>
      </c>
      <c r="G424" s="7">
        <v>43206</v>
      </c>
      <c r="H424" s="5" t="s">
        <v>27</v>
      </c>
    </row>
    <row r="425" spans="1:11" x14ac:dyDescent="0.25">
      <c r="A425" t="s">
        <v>15</v>
      </c>
      <c r="B425" s="2">
        <v>16</v>
      </c>
      <c r="C425" s="4">
        <f>32775+823.6</f>
        <v>33598.6</v>
      </c>
      <c r="D425" s="5" t="s">
        <v>2179</v>
      </c>
      <c r="E425" s="5" t="s">
        <v>2180</v>
      </c>
      <c r="F425" s="5" t="s">
        <v>26</v>
      </c>
      <c r="G425" s="7">
        <v>43207</v>
      </c>
      <c r="H425" s="5" t="s">
        <v>27</v>
      </c>
    </row>
    <row r="426" spans="1:11" x14ac:dyDescent="0.25">
      <c r="A426" t="s">
        <v>15</v>
      </c>
      <c r="B426" s="2">
        <v>16</v>
      </c>
      <c r="C426" s="4">
        <f>598215+16472</f>
        <v>614687</v>
      </c>
      <c r="D426" s="5" t="s">
        <v>2181</v>
      </c>
      <c r="E426" s="5" t="s">
        <v>2176</v>
      </c>
      <c r="F426" s="5" t="s">
        <v>26</v>
      </c>
      <c r="G426" s="7">
        <v>43207</v>
      </c>
      <c r="H426" s="5" t="s">
        <v>27</v>
      </c>
    </row>
    <row r="427" spans="1:11" x14ac:dyDescent="0.25">
      <c r="A427" t="s">
        <v>15</v>
      </c>
      <c r="B427" s="2">
        <v>16</v>
      </c>
      <c r="C427" s="4">
        <f>620302.5+16389.64</f>
        <v>636692.14</v>
      </c>
      <c r="D427" s="5" t="s">
        <v>2182</v>
      </c>
      <c r="E427" s="5" t="s">
        <v>2183</v>
      </c>
      <c r="F427" s="5" t="s">
        <v>26</v>
      </c>
      <c r="G427" s="7">
        <v>43207</v>
      </c>
      <c r="H427" s="5" t="s">
        <v>27</v>
      </c>
    </row>
    <row r="428" spans="1:11" x14ac:dyDescent="0.25">
      <c r="A428" t="s">
        <v>34</v>
      </c>
      <c r="B428" s="2">
        <v>17</v>
      </c>
      <c r="C428" s="9">
        <f>27025.66*G428</f>
        <v>488218.54790000001</v>
      </c>
      <c r="D428" s="10" t="s">
        <v>2198</v>
      </c>
      <c r="E428" s="10" t="s">
        <v>2299</v>
      </c>
      <c r="F428" s="10" t="s">
        <v>2300</v>
      </c>
      <c r="G428" s="11">
        <v>18.065000000000001</v>
      </c>
      <c r="H428" s="10">
        <v>27.95</v>
      </c>
      <c r="I428" s="12">
        <v>43207</v>
      </c>
      <c r="J428" s="10" t="s">
        <v>5</v>
      </c>
    </row>
    <row r="429" spans="1:11" x14ac:dyDescent="0.25">
      <c r="A429" t="s">
        <v>34</v>
      </c>
      <c r="B429" s="2">
        <v>17</v>
      </c>
      <c r="C429" s="9">
        <f>28000*G429</f>
        <v>506716.00000000006</v>
      </c>
      <c r="D429" s="10" t="s">
        <v>2257</v>
      </c>
      <c r="E429" s="10" t="s">
        <v>2346</v>
      </c>
      <c r="F429" s="10" t="s">
        <v>268</v>
      </c>
      <c r="G429" s="11">
        <v>18.097000000000001</v>
      </c>
      <c r="H429" s="10">
        <v>28.81</v>
      </c>
      <c r="I429" s="12">
        <v>43207</v>
      </c>
      <c r="J429" s="10" t="s">
        <v>5</v>
      </c>
    </row>
    <row r="430" spans="1:11" x14ac:dyDescent="0.25">
      <c r="A430" t="s">
        <v>34</v>
      </c>
      <c r="B430" s="2">
        <v>17</v>
      </c>
      <c r="C430" s="4">
        <f>609330+16554.36</f>
        <v>625884.36</v>
      </c>
      <c r="D430" s="5" t="s">
        <v>2184</v>
      </c>
      <c r="E430" s="5" t="s">
        <v>2161</v>
      </c>
      <c r="F430" s="5" t="s">
        <v>26</v>
      </c>
      <c r="G430" s="7">
        <v>43209</v>
      </c>
      <c r="H430" s="5" t="s">
        <v>27</v>
      </c>
    </row>
    <row r="431" spans="1:11" x14ac:dyDescent="0.25">
      <c r="A431" t="s">
        <v>34</v>
      </c>
      <c r="B431" s="2">
        <v>17</v>
      </c>
      <c r="C431" s="4">
        <v>662791.25</v>
      </c>
      <c r="D431" s="5" t="s">
        <v>2317</v>
      </c>
      <c r="E431" s="5" t="s">
        <v>2318</v>
      </c>
      <c r="F431" s="5" t="s">
        <v>1345</v>
      </c>
      <c r="G431" s="7">
        <v>43210</v>
      </c>
      <c r="H431" s="5" t="s">
        <v>5</v>
      </c>
    </row>
    <row r="432" spans="1:11" x14ac:dyDescent="0.25">
      <c r="A432" t="s">
        <v>44</v>
      </c>
      <c r="B432" s="2">
        <v>18</v>
      </c>
      <c r="C432" s="9">
        <f>28000*G432</f>
        <v>504420</v>
      </c>
      <c r="D432" s="10" t="s">
        <v>2258</v>
      </c>
      <c r="E432" s="10" t="s">
        <v>2366</v>
      </c>
      <c r="F432" s="10" t="s">
        <v>268</v>
      </c>
      <c r="G432" s="11">
        <v>18.015000000000001</v>
      </c>
      <c r="H432" s="10">
        <v>29.4</v>
      </c>
      <c r="I432" s="12">
        <v>43208</v>
      </c>
      <c r="J432" s="10" t="s">
        <v>5</v>
      </c>
    </row>
    <row r="433" spans="1:10" x14ac:dyDescent="0.25">
      <c r="A433" t="s">
        <v>44</v>
      </c>
      <c r="B433" s="2">
        <v>18</v>
      </c>
      <c r="C433" s="4">
        <v>904668.6</v>
      </c>
      <c r="D433" s="5" t="s">
        <v>2291</v>
      </c>
      <c r="E433" s="5" t="s">
        <v>2290</v>
      </c>
      <c r="F433" s="5" t="s">
        <v>1468</v>
      </c>
      <c r="G433" s="7">
        <v>43208</v>
      </c>
      <c r="H433" s="5" t="s">
        <v>27</v>
      </c>
    </row>
    <row r="434" spans="1:10" x14ac:dyDescent="0.25">
      <c r="A434" t="s">
        <v>44</v>
      </c>
      <c r="B434" s="2">
        <v>18</v>
      </c>
      <c r="C434" s="4">
        <f>776055+17625.04+2964.96</f>
        <v>796645</v>
      </c>
      <c r="D434" s="5" t="s">
        <v>2185</v>
      </c>
      <c r="E434" s="5" t="s">
        <v>2186</v>
      </c>
      <c r="F434" s="5" t="s">
        <v>26</v>
      </c>
      <c r="G434" s="7">
        <v>43210</v>
      </c>
      <c r="H434" s="5" t="s">
        <v>27</v>
      </c>
    </row>
    <row r="435" spans="1:10" x14ac:dyDescent="0.25">
      <c r="A435" t="s">
        <v>44</v>
      </c>
      <c r="B435" s="2">
        <v>18</v>
      </c>
      <c r="C435" s="4">
        <f>396435+10624.44</f>
        <v>407059.44</v>
      </c>
      <c r="D435" s="5" t="s">
        <v>2187</v>
      </c>
      <c r="E435" s="5" t="s">
        <v>2152</v>
      </c>
      <c r="F435" s="5" t="s">
        <v>26</v>
      </c>
      <c r="G435" s="7">
        <v>43208</v>
      </c>
      <c r="H435" s="5" t="s">
        <v>27</v>
      </c>
    </row>
    <row r="436" spans="1:10" x14ac:dyDescent="0.25">
      <c r="A436" t="s">
        <v>50</v>
      </c>
      <c r="B436" s="2">
        <v>19</v>
      </c>
      <c r="C436" s="9">
        <f>29000*G436</f>
        <v>522493</v>
      </c>
      <c r="D436" s="10" t="s">
        <v>2259</v>
      </c>
      <c r="E436" s="10" t="s">
        <v>2400</v>
      </c>
      <c r="F436" s="10" t="s">
        <v>2287</v>
      </c>
      <c r="G436" s="11">
        <v>18.016999999999999</v>
      </c>
      <c r="H436" s="10">
        <v>29.54</v>
      </c>
      <c r="I436" s="12">
        <v>43209</v>
      </c>
      <c r="J436" s="10" t="s">
        <v>5</v>
      </c>
    </row>
    <row r="437" spans="1:10" x14ac:dyDescent="0.25">
      <c r="A437" t="s">
        <v>50</v>
      </c>
      <c r="B437" s="2">
        <v>19</v>
      </c>
    </row>
    <row r="438" spans="1:10" x14ac:dyDescent="0.25">
      <c r="A438" t="s">
        <v>50</v>
      </c>
      <c r="B438" s="2">
        <v>19</v>
      </c>
      <c r="C438" s="4">
        <f>65981.57+915</f>
        <v>66896.570000000007</v>
      </c>
      <c r="D438" s="5" t="s">
        <v>2362</v>
      </c>
      <c r="E438" s="5" t="s">
        <v>2363</v>
      </c>
      <c r="F438" s="5" t="s">
        <v>23</v>
      </c>
      <c r="G438" s="7">
        <v>43214</v>
      </c>
      <c r="H438" s="5">
        <v>18.3</v>
      </c>
      <c r="I438" s="5" t="s">
        <v>5</v>
      </c>
    </row>
    <row r="439" spans="1:10" x14ac:dyDescent="0.25">
      <c r="A439" t="s">
        <v>50</v>
      </c>
      <c r="B439" s="2">
        <v>19</v>
      </c>
      <c r="C439" s="4">
        <f>855285+20507.64</f>
        <v>875792.64</v>
      </c>
      <c r="D439" s="5" t="s">
        <v>2188</v>
      </c>
      <c r="E439" s="5" t="s">
        <v>2166</v>
      </c>
      <c r="F439" s="5" t="s">
        <v>26</v>
      </c>
      <c r="G439" s="7">
        <v>43213</v>
      </c>
      <c r="H439" s="5" t="s">
        <v>27</v>
      </c>
    </row>
    <row r="440" spans="1:10" x14ac:dyDescent="0.25">
      <c r="A440" t="s">
        <v>50</v>
      </c>
      <c r="B440" s="2">
        <v>19</v>
      </c>
      <c r="C440" s="4">
        <f>437047.5+10624.44</f>
        <v>447671.94</v>
      </c>
      <c r="D440" s="5" t="s">
        <v>2189</v>
      </c>
      <c r="E440" s="5" t="s">
        <v>2173</v>
      </c>
      <c r="F440" s="5" t="s">
        <v>26</v>
      </c>
      <c r="G440" s="7">
        <v>43213</v>
      </c>
      <c r="H440" s="5" t="s">
        <v>27</v>
      </c>
    </row>
    <row r="441" spans="1:10" x14ac:dyDescent="0.25">
      <c r="A441" t="s">
        <v>1</v>
      </c>
      <c r="B441" s="2">
        <v>20</v>
      </c>
      <c r="C441" s="4">
        <f>26582.88*G441</f>
        <v>495318.80303999997</v>
      </c>
      <c r="D441" s="5" t="s">
        <v>2282</v>
      </c>
      <c r="E441" s="5" t="s">
        <v>2288</v>
      </c>
      <c r="F441" s="5" t="s">
        <v>2283</v>
      </c>
      <c r="G441" s="6">
        <v>18.632999999999999</v>
      </c>
      <c r="H441" s="5">
        <v>28.48</v>
      </c>
      <c r="I441" s="7">
        <v>43210</v>
      </c>
      <c r="J441" s="5" t="s">
        <v>5</v>
      </c>
    </row>
    <row r="442" spans="1:10" x14ac:dyDescent="0.25">
      <c r="A442" t="s">
        <v>1</v>
      </c>
      <c r="B442" s="2">
        <v>20</v>
      </c>
      <c r="C442" s="4">
        <v>68396.25</v>
      </c>
      <c r="D442" s="5" t="s">
        <v>2365</v>
      </c>
      <c r="E442" s="5" t="s">
        <v>2364</v>
      </c>
      <c r="F442" s="5" t="s">
        <v>23</v>
      </c>
      <c r="G442" s="7">
        <v>43209</v>
      </c>
      <c r="H442" s="5" t="s">
        <v>5</v>
      </c>
      <c r="I442" s="17"/>
    </row>
    <row r="443" spans="1:10" x14ac:dyDescent="0.25">
      <c r="A443" s="14" t="s">
        <v>13</v>
      </c>
      <c r="B443" s="2">
        <v>21</v>
      </c>
    </row>
    <row r="444" spans="1:10" x14ac:dyDescent="0.25">
      <c r="A444" s="14" t="s">
        <v>14</v>
      </c>
      <c r="B444" s="2">
        <v>22</v>
      </c>
    </row>
    <row r="445" spans="1:10" x14ac:dyDescent="0.25">
      <c r="A445" t="s">
        <v>15</v>
      </c>
      <c r="B445" s="2">
        <v>23</v>
      </c>
      <c r="C445" s="9">
        <f>29500*G445</f>
        <v>554039.5</v>
      </c>
      <c r="D445" s="10" t="s">
        <v>2260</v>
      </c>
      <c r="E445" s="10" t="s">
        <v>2418</v>
      </c>
      <c r="F445" s="10" t="s">
        <v>1033</v>
      </c>
      <c r="G445" s="11">
        <v>18.780999999999999</v>
      </c>
      <c r="H445" s="10">
        <v>29.47</v>
      </c>
      <c r="I445" s="12">
        <v>43213</v>
      </c>
      <c r="J445" s="10" t="s">
        <v>5</v>
      </c>
    </row>
    <row r="446" spans="1:10" x14ac:dyDescent="0.25">
      <c r="A446" t="s">
        <v>15</v>
      </c>
      <c r="B446" s="2">
        <v>23</v>
      </c>
      <c r="C446" s="9">
        <f>24994.44*G446</f>
        <v>497364.36155999999</v>
      </c>
      <c r="D446" s="10" t="s">
        <v>2341</v>
      </c>
      <c r="E446" s="10" t="s">
        <v>2342</v>
      </c>
      <c r="F446" s="10" t="s">
        <v>2343</v>
      </c>
      <c r="G446" s="11">
        <v>19.899000000000001</v>
      </c>
      <c r="H446" s="10">
        <v>31.02</v>
      </c>
      <c r="I446" s="12">
        <v>43213</v>
      </c>
      <c r="J446" s="10" t="s">
        <v>5</v>
      </c>
    </row>
    <row r="447" spans="1:10" x14ac:dyDescent="0.25">
      <c r="A447" t="s">
        <v>15</v>
      </c>
      <c r="B447" s="2">
        <v>23</v>
      </c>
      <c r="C447" s="4">
        <f>742000+33320+21331.324</f>
        <v>796651.32400000002</v>
      </c>
      <c r="D447" s="5" t="s">
        <v>2289</v>
      </c>
      <c r="E447" s="5" t="s">
        <v>2205</v>
      </c>
      <c r="F447" s="5" t="s">
        <v>26</v>
      </c>
      <c r="G447" s="7">
        <v>43213</v>
      </c>
      <c r="H447" s="5" t="s">
        <v>27</v>
      </c>
    </row>
    <row r="448" spans="1:10" x14ac:dyDescent="0.25">
      <c r="A448" t="s">
        <v>15</v>
      </c>
      <c r="B448" s="2">
        <v>23</v>
      </c>
      <c r="C448" s="4">
        <v>132779.70000000001</v>
      </c>
      <c r="D448" s="5" t="s">
        <v>2352</v>
      </c>
      <c r="E448" s="5" t="s">
        <v>2353</v>
      </c>
      <c r="F448" s="5" t="s">
        <v>2203</v>
      </c>
      <c r="G448" s="6">
        <v>70.5</v>
      </c>
      <c r="H448" s="7">
        <v>43213</v>
      </c>
      <c r="I448" s="5" t="s">
        <v>27</v>
      </c>
    </row>
    <row r="449" spans="1:10" x14ac:dyDescent="0.25">
      <c r="A449" t="s">
        <v>15</v>
      </c>
      <c r="B449" s="2">
        <v>23</v>
      </c>
      <c r="C449" s="4">
        <f>654920+16472</f>
        <v>671392</v>
      </c>
      <c r="D449" s="5" t="s">
        <v>2292</v>
      </c>
      <c r="E449" s="5" t="s">
        <v>2223</v>
      </c>
      <c r="F449" s="5" t="s">
        <v>26</v>
      </c>
      <c r="G449" s="7">
        <v>43214</v>
      </c>
      <c r="H449" s="5" t="s">
        <v>27</v>
      </c>
    </row>
    <row r="450" spans="1:10" x14ac:dyDescent="0.25">
      <c r="A450" t="s">
        <v>15</v>
      </c>
      <c r="B450" s="2">
        <v>23</v>
      </c>
      <c r="C450" s="4">
        <v>524809.34</v>
      </c>
      <c r="D450" s="5" t="s">
        <v>2351</v>
      </c>
      <c r="E450" s="5" t="s">
        <v>2359</v>
      </c>
      <c r="F450" s="5" t="s">
        <v>2360</v>
      </c>
      <c r="G450" s="5">
        <v>27.5</v>
      </c>
      <c r="H450" s="7">
        <v>43217</v>
      </c>
      <c r="I450" s="5" t="s">
        <v>5</v>
      </c>
    </row>
    <row r="451" spans="1:10" x14ac:dyDescent="0.25">
      <c r="A451" t="s">
        <v>34</v>
      </c>
      <c r="B451" s="2">
        <v>24</v>
      </c>
      <c r="C451" s="9">
        <f>28000*G451</f>
        <v>528360</v>
      </c>
      <c r="D451" s="10" t="s">
        <v>2261</v>
      </c>
      <c r="E451" s="10" t="s">
        <v>2469</v>
      </c>
      <c r="F451" s="10" t="s">
        <v>268</v>
      </c>
      <c r="G451" s="9">
        <v>18.87</v>
      </c>
      <c r="H451" s="10">
        <v>29.41</v>
      </c>
      <c r="I451" s="12">
        <v>43214</v>
      </c>
      <c r="J451" s="10" t="s">
        <v>5</v>
      </c>
    </row>
    <row r="452" spans="1:10" x14ac:dyDescent="0.25">
      <c r="A452" t="s">
        <v>34</v>
      </c>
      <c r="B452" s="2">
        <v>24</v>
      </c>
      <c r="C452" s="4">
        <f>26783.42*G452</f>
        <v>503019.41101999994</v>
      </c>
      <c r="D452" s="5" t="s">
        <v>2284</v>
      </c>
      <c r="E452" s="5" t="s">
        <v>2286</v>
      </c>
      <c r="F452" s="5" t="s">
        <v>2285</v>
      </c>
      <c r="G452" s="6">
        <v>18.780999999999999</v>
      </c>
      <c r="H452" s="5">
        <v>28.79</v>
      </c>
      <c r="I452" s="7">
        <v>43214</v>
      </c>
      <c r="J452" s="5" t="s">
        <v>5</v>
      </c>
    </row>
    <row r="453" spans="1:10" x14ac:dyDescent="0.25">
      <c r="A453" t="s">
        <v>34</v>
      </c>
      <c r="B453" s="2">
        <v>24</v>
      </c>
      <c r="C453" s="4">
        <f>781760+61460+22237.2-3080</f>
        <v>862377.2</v>
      </c>
      <c r="D453" s="5" t="s">
        <v>2293</v>
      </c>
      <c r="E453" s="5" t="s">
        <v>2294</v>
      </c>
      <c r="F453" s="5" t="s">
        <v>26</v>
      </c>
      <c r="G453" s="5"/>
      <c r="H453" s="7">
        <v>43217</v>
      </c>
      <c r="I453" s="5" t="s">
        <v>27</v>
      </c>
    </row>
    <row r="454" spans="1:10" x14ac:dyDescent="0.25">
      <c r="A454" t="s">
        <v>44</v>
      </c>
      <c r="B454" s="2">
        <v>25</v>
      </c>
      <c r="C454" s="9">
        <f>29000*G454</f>
        <v>549463</v>
      </c>
      <c r="D454" s="10" t="s">
        <v>2262</v>
      </c>
      <c r="E454" s="10" t="s">
        <v>2501</v>
      </c>
      <c r="F454" s="10" t="s">
        <v>2287</v>
      </c>
      <c r="G454" s="11">
        <v>18.946999999999999</v>
      </c>
      <c r="H454" s="10">
        <v>28.17</v>
      </c>
      <c r="I454" s="12">
        <v>43215</v>
      </c>
      <c r="J454" s="10" t="s">
        <v>5</v>
      </c>
    </row>
    <row r="455" spans="1:10" x14ac:dyDescent="0.25">
      <c r="A455" t="s">
        <v>44</v>
      </c>
      <c r="B455" s="2">
        <v>25</v>
      </c>
      <c r="C455" s="4">
        <f>839440+20178.2-3416</f>
        <v>856202.2</v>
      </c>
      <c r="D455" s="5" t="s">
        <v>2295</v>
      </c>
      <c r="E455" s="5" t="s">
        <v>2244</v>
      </c>
      <c r="F455" s="5" t="s">
        <v>26</v>
      </c>
      <c r="G455" s="7">
        <v>43220</v>
      </c>
      <c r="H455" s="5" t="s">
        <v>27</v>
      </c>
    </row>
    <row r="456" spans="1:10" x14ac:dyDescent="0.25">
      <c r="A456" t="s">
        <v>44</v>
      </c>
      <c r="B456" s="2">
        <v>25</v>
      </c>
      <c r="C456" s="4">
        <f>412860+10706.8-3164</f>
        <v>420402.8</v>
      </c>
      <c r="D456" s="5" t="s">
        <v>2296</v>
      </c>
      <c r="E456" s="5" t="s">
        <v>2245</v>
      </c>
      <c r="F456" s="5" t="s">
        <v>26</v>
      </c>
      <c r="G456" s="7">
        <v>43217</v>
      </c>
      <c r="H456" s="5" t="s">
        <v>27</v>
      </c>
    </row>
    <row r="457" spans="1:10" x14ac:dyDescent="0.25">
      <c r="A457" t="s">
        <v>2256</v>
      </c>
      <c r="B457" s="2">
        <v>26</v>
      </c>
      <c r="C457" s="9">
        <f>34500*G457</f>
        <v>651670.5</v>
      </c>
      <c r="D457" s="10" t="s">
        <v>2263</v>
      </c>
      <c r="E457" s="10" t="s">
        <v>2470</v>
      </c>
      <c r="F457" s="10" t="s">
        <v>1322</v>
      </c>
      <c r="G457" s="11">
        <v>18.888999999999999</v>
      </c>
      <c r="H457" s="10">
        <v>28.45</v>
      </c>
      <c r="I457" s="12">
        <v>43216</v>
      </c>
      <c r="J457" s="10" t="s">
        <v>5</v>
      </c>
    </row>
    <row r="458" spans="1:10" x14ac:dyDescent="0.25">
      <c r="A458" t="s">
        <v>50</v>
      </c>
      <c r="B458" s="2">
        <v>26</v>
      </c>
      <c r="C458" s="4">
        <v>821216.2</v>
      </c>
      <c r="D458" s="5" t="s">
        <v>2386</v>
      </c>
      <c r="E458" s="5" t="s">
        <v>2385</v>
      </c>
      <c r="F458" s="5" t="s">
        <v>1468</v>
      </c>
      <c r="G458" s="143">
        <v>43215</v>
      </c>
      <c r="H458" s="5" t="s">
        <v>27</v>
      </c>
    </row>
    <row r="459" spans="1:10" x14ac:dyDescent="0.25">
      <c r="A459" t="s">
        <v>50</v>
      </c>
      <c r="B459" s="2">
        <v>26</v>
      </c>
      <c r="C459" s="4">
        <f>796040+20590</f>
        <v>816630</v>
      </c>
      <c r="D459" s="5" t="s">
        <v>2297</v>
      </c>
      <c r="E459" s="5" t="s">
        <v>2247</v>
      </c>
      <c r="F459" s="5" t="s">
        <v>26</v>
      </c>
      <c r="G459" s="7">
        <v>43220</v>
      </c>
      <c r="H459" s="5" t="s">
        <v>27</v>
      </c>
    </row>
    <row r="460" spans="1:10" x14ac:dyDescent="0.25">
      <c r="A460" t="s">
        <v>50</v>
      </c>
      <c r="B460" s="2">
        <v>26</v>
      </c>
      <c r="C460" s="4">
        <f>422940+10706.8</f>
        <v>433646.8</v>
      </c>
      <c r="D460" s="5" t="s">
        <v>2298</v>
      </c>
      <c r="E460" s="5" t="s">
        <v>2248</v>
      </c>
      <c r="F460" s="5" t="s">
        <v>26</v>
      </c>
      <c r="G460" s="143">
        <v>43215</v>
      </c>
      <c r="H460" s="5" t="s">
        <v>27</v>
      </c>
    </row>
    <row r="461" spans="1:10" x14ac:dyDescent="0.25">
      <c r="A461" t="s">
        <v>50</v>
      </c>
      <c r="B461" s="2">
        <v>26</v>
      </c>
      <c r="C461" s="4">
        <v>66036.11</v>
      </c>
      <c r="D461" s="5" t="s">
        <v>2372</v>
      </c>
      <c r="E461" s="5" t="s">
        <v>2371</v>
      </c>
      <c r="F461" s="5" t="s">
        <v>2373</v>
      </c>
      <c r="G461" s="5" t="s">
        <v>2374</v>
      </c>
      <c r="H461" s="7">
        <v>43220</v>
      </c>
      <c r="I461" s="5" t="s">
        <v>5</v>
      </c>
    </row>
    <row r="462" spans="1:10" x14ac:dyDescent="0.25">
      <c r="A462" t="s">
        <v>1</v>
      </c>
      <c r="B462" s="2">
        <v>27</v>
      </c>
      <c r="C462" s="9">
        <f>31000*G462</f>
        <v>584505</v>
      </c>
      <c r="D462" s="10" t="s">
        <v>2264</v>
      </c>
      <c r="E462" s="10" t="s">
        <v>2472</v>
      </c>
      <c r="F462" s="10" t="s">
        <v>1860</v>
      </c>
      <c r="G462" s="11">
        <v>18.855</v>
      </c>
      <c r="H462" s="10">
        <v>28.63</v>
      </c>
      <c r="I462" s="12">
        <v>43217</v>
      </c>
      <c r="J462" s="10" t="s">
        <v>5</v>
      </c>
    </row>
    <row r="463" spans="1:10" x14ac:dyDescent="0.25">
      <c r="A463" t="s">
        <v>1</v>
      </c>
      <c r="B463" s="2">
        <v>27</v>
      </c>
      <c r="C463" s="4">
        <f>26780.33*G463</f>
        <v>504541.41720000003</v>
      </c>
      <c r="D463" s="5" t="s">
        <v>2335</v>
      </c>
      <c r="E463" s="5" t="s">
        <v>2336</v>
      </c>
      <c r="F463" s="5" t="s">
        <v>2337</v>
      </c>
      <c r="G463" s="4">
        <v>18.84</v>
      </c>
      <c r="H463" s="5">
        <v>29.15</v>
      </c>
      <c r="I463" s="7">
        <v>43216</v>
      </c>
      <c r="J463" s="5" t="s">
        <v>5</v>
      </c>
    </row>
    <row r="464" spans="1:10" x14ac:dyDescent="0.25">
      <c r="A464" s="14" t="s">
        <v>13</v>
      </c>
      <c r="B464" s="2">
        <v>28</v>
      </c>
    </row>
    <row r="465" spans="1:10" x14ac:dyDescent="0.25">
      <c r="A465" s="14" t="s">
        <v>14</v>
      </c>
      <c r="B465" s="2">
        <v>29</v>
      </c>
    </row>
    <row r="466" spans="1:10" x14ac:dyDescent="0.25">
      <c r="A466" t="s">
        <v>15</v>
      </c>
      <c r="B466" s="2">
        <v>30</v>
      </c>
      <c r="C466" s="9">
        <f>26988.74*G466</f>
        <v>506173.8187</v>
      </c>
      <c r="D466" s="10" t="s">
        <v>2452</v>
      </c>
      <c r="E466" s="10" t="s">
        <v>2459</v>
      </c>
      <c r="F466" s="10" t="s">
        <v>2460</v>
      </c>
      <c r="G466" s="11">
        <v>18.754999999999999</v>
      </c>
      <c r="H466" s="10">
        <v>29.65</v>
      </c>
      <c r="I466" s="12">
        <v>43220</v>
      </c>
      <c r="J466" s="10" t="s">
        <v>5</v>
      </c>
    </row>
    <row r="467" spans="1:10" x14ac:dyDescent="0.25">
      <c r="A467" t="s">
        <v>15</v>
      </c>
      <c r="B467" s="2">
        <v>30</v>
      </c>
      <c r="C467" s="9">
        <f>23000*G467</f>
        <v>431940</v>
      </c>
      <c r="D467" s="10" t="s">
        <v>2442</v>
      </c>
      <c r="E467" s="10" t="s">
        <v>2568</v>
      </c>
      <c r="F467" s="10" t="s">
        <v>2458</v>
      </c>
      <c r="G467" s="9">
        <v>18.78</v>
      </c>
      <c r="H467" s="10">
        <v>26.86</v>
      </c>
      <c r="I467" s="12">
        <v>43220</v>
      </c>
      <c r="J467" s="10" t="s">
        <v>5</v>
      </c>
    </row>
    <row r="468" spans="1:10" x14ac:dyDescent="0.25">
      <c r="A468" t="s">
        <v>15</v>
      </c>
      <c r="B468" s="2">
        <v>30</v>
      </c>
      <c r="C468" s="4">
        <f>28061.86*G468</f>
        <v>526159.875</v>
      </c>
      <c r="D468" s="5" t="s">
        <v>2332</v>
      </c>
      <c r="E468" s="5" t="s">
        <v>2333</v>
      </c>
      <c r="F468" s="5" t="s">
        <v>2334</v>
      </c>
      <c r="G468" s="4">
        <v>18.75</v>
      </c>
      <c r="H468" s="5">
        <v>29.73</v>
      </c>
      <c r="I468" s="7">
        <v>43220</v>
      </c>
      <c r="J468" s="5" t="s">
        <v>5</v>
      </c>
    </row>
    <row r="469" spans="1:10" x14ac:dyDescent="0.25">
      <c r="A469" t="s">
        <v>15</v>
      </c>
      <c r="B469" s="2">
        <v>30</v>
      </c>
      <c r="C469" s="4">
        <v>1162.83</v>
      </c>
      <c r="D469" s="5" t="s">
        <v>2454</v>
      </c>
      <c r="E469" s="5" t="s">
        <v>2455</v>
      </c>
      <c r="F469" s="5" t="s">
        <v>2456</v>
      </c>
      <c r="G469" s="4"/>
      <c r="H469" s="7">
        <v>43220</v>
      </c>
      <c r="I469" s="5" t="s">
        <v>5</v>
      </c>
    </row>
    <row r="470" spans="1:10" x14ac:dyDescent="0.25">
      <c r="A470" t="s">
        <v>15</v>
      </c>
      <c r="B470" s="2">
        <v>30</v>
      </c>
      <c r="C470" s="4">
        <f>732146.76</f>
        <v>732146.76</v>
      </c>
      <c r="D470" s="5" t="s">
        <v>2351</v>
      </c>
      <c r="E470" s="5" t="s">
        <v>2350</v>
      </c>
      <c r="F470" s="5" t="s">
        <v>1724</v>
      </c>
      <c r="G470" s="4">
        <v>87</v>
      </c>
      <c r="H470" s="7">
        <v>43220</v>
      </c>
      <c r="I470" s="5" t="s">
        <v>5</v>
      </c>
    </row>
    <row r="471" spans="1:10" x14ac:dyDescent="0.25">
      <c r="A471" t="s">
        <v>15</v>
      </c>
      <c r="B471">
        <v>30</v>
      </c>
      <c r="C471" s="4">
        <v>33492.660000000003</v>
      </c>
      <c r="D471" s="5" t="s">
        <v>2376</v>
      </c>
      <c r="E471" s="5" t="s">
        <v>2377</v>
      </c>
      <c r="F471" s="5" t="s">
        <v>23</v>
      </c>
      <c r="G471" s="7">
        <v>43224</v>
      </c>
      <c r="H471" s="5" t="s">
        <v>5</v>
      </c>
    </row>
    <row r="472" spans="1:10" x14ac:dyDescent="0.25">
      <c r="A472" t="s">
        <v>15</v>
      </c>
      <c r="B472" s="2">
        <v>30</v>
      </c>
      <c r="C472" s="4">
        <v>38650.57</v>
      </c>
      <c r="D472" s="5" t="s">
        <v>2380</v>
      </c>
      <c r="E472" s="5" t="s">
        <v>2379</v>
      </c>
      <c r="F472" s="5" t="s">
        <v>2373</v>
      </c>
      <c r="G472" s="7">
        <v>43224</v>
      </c>
      <c r="H472" s="5" t="s">
        <v>5</v>
      </c>
    </row>
    <row r="473" spans="1:10" x14ac:dyDescent="0.25">
      <c r="A473" t="s">
        <v>15</v>
      </c>
      <c r="B473" s="2">
        <v>30</v>
      </c>
      <c r="C473" s="4">
        <f>829400+20590</f>
        <v>849990</v>
      </c>
      <c r="D473" s="5" t="s">
        <v>2381</v>
      </c>
      <c r="E473" s="5" t="s">
        <v>2382</v>
      </c>
      <c r="F473" s="5" t="s">
        <v>26</v>
      </c>
      <c r="G473" s="143">
        <v>43222</v>
      </c>
      <c r="H473" s="5" t="s">
        <v>27</v>
      </c>
    </row>
    <row r="474" spans="1:10" x14ac:dyDescent="0.25">
      <c r="A474" t="s">
        <v>15</v>
      </c>
      <c r="B474" s="2">
        <v>30</v>
      </c>
      <c r="C474" s="4">
        <f>32175+823.6</f>
        <v>32998.6</v>
      </c>
      <c r="D474" s="5" t="s">
        <v>2384</v>
      </c>
      <c r="E474" s="5" t="s">
        <v>2383</v>
      </c>
      <c r="F474" s="5" t="s">
        <v>26</v>
      </c>
      <c r="G474" s="7">
        <v>43220</v>
      </c>
      <c r="H474" s="5" t="s">
        <v>27</v>
      </c>
    </row>
    <row r="475" spans="1:10" x14ac:dyDescent="0.25">
      <c r="A475" t="s">
        <v>15</v>
      </c>
      <c r="B475" s="2">
        <v>30</v>
      </c>
      <c r="C475" s="4">
        <f>600050+16472</f>
        <v>616522</v>
      </c>
      <c r="D475" s="5" t="s">
        <v>2387</v>
      </c>
      <c r="E475" s="5" t="s">
        <v>2388</v>
      </c>
      <c r="F475" s="5" t="s">
        <v>26</v>
      </c>
      <c r="G475" s="143">
        <v>43222</v>
      </c>
      <c r="H475" s="5" t="s">
        <v>27</v>
      </c>
    </row>
    <row r="476" spans="1:10" x14ac:dyDescent="0.25">
      <c r="A476" s="1" t="s">
        <v>2331</v>
      </c>
    </row>
    <row r="477" spans="1:10" x14ac:dyDescent="0.25">
      <c r="A477" t="s">
        <v>34</v>
      </c>
      <c r="B477" s="2">
        <v>1</v>
      </c>
      <c r="C477" s="3" t="s">
        <v>1369</v>
      </c>
    </row>
    <row r="478" spans="1:10" x14ac:dyDescent="0.25">
      <c r="A478" t="s">
        <v>44</v>
      </c>
      <c r="B478" s="2">
        <v>2</v>
      </c>
      <c r="C478" s="9">
        <f>23000*G478</f>
        <v>439070</v>
      </c>
      <c r="D478" s="10" t="s">
        <v>2443</v>
      </c>
      <c r="E478" s="10" t="s">
        <v>2594</v>
      </c>
      <c r="F478" s="10" t="s">
        <v>2458</v>
      </c>
      <c r="G478" s="9">
        <v>19.09</v>
      </c>
      <c r="H478" s="10">
        <v>26.99</v>
      </c>
      <c r="I478" s="12">
        <v>43222</v>
      </c>
      <c r="J478" s="10" t="s">
        <v>5</v>
      </c>
    </row>
    <row r="479" spans="1:10" x14ac:dyDescent="0.25">
      <c r="A479" t="s">
        <v>44</v>
      </c>
      <c r="B479" s="2">
        <v>2</v>
      </c>
      <c r="C479" s="4">
        <v>1510338.65</v>
      </c>
      <c r="D479" s="5" t="s">
        <v>2356</v>
      </c>
      <c r="E479" s="5" t="s">
        <v>2357</v>
      </c>
      <c r="F479" s="5" t="s">
        <v>1573</v>
      </c>
      <c r="G479" s="5">
        <v>83.5</v>
      </c>
      <c r="H479" s="5" t="s">
        <v>2610</v>
      </c>
      <c r="I479" s="5"/>
      <c r="J479" s="5" t="s">
        <v>5</v>
      </c>
    </row>
    <row r="480" spans="1:10" x14ac:dyDescent="0.25">
      <c r="A480" t="s">
        <v>44</v>
      </c>
      <c r="B480" s="2">
        <v>2</v>
      </c>
      <c r="C480" s="4">
        <f>622600+16472</f>
        <v>639072</v>
      </c>
      <c r="D480" s="5" t="s">
        <v>2389</v>
      </c>
      <c r="E480" s="5" t="s">
        <v>2390</v>
      </c>
      <c r="F480" s="5" t="s">
        <v>26</v>
      </c>
      <c r="G480" s="143">
        <v>43224</v>
      </c>
      <c r="H480" s="5" t="s">
        <v>27</v>
      </c>
    </row>
    <row r="481" spans="1:10" x14ac:dyDescent="0.25">
      <c r="A481" t="s">
        <v>44</v>
      </c>
      <c r="B481" s="2">
        <v>2</v>
      </c>
      <c r="C481" s="4">
        <f>795300+20178.2</f>
        <v>815478.2</v>
      </c>
      <c r="D481" s="5" t="s">
        <v>2391</v>
      </c>
      <c r="E481" s="5" t="s">
        <v>2319</v>
      </c>
      <c r="F481" s="5" t="s">
        <v>26</v>
      </c>
      <c r="G481" s="7">
        <v>43227</v>
      </c>
      <c r="H481" s="5" t="s">
        <v>27</v>
      </c>
    </row>
    <row r="482" spans="1:10" x14ac:dyDescent="0.25">
      <c r="A482" t="s">
        <v>44</v>
      </c>
      <c r="B482" s="2">
        <v>2</v>
      </c>
      <c r="C482" s="4">
        <f>258087.5+6588.8</f>
        <v>264676.3</v>
      </c>
      <c r="D482" s="5" t="s">
        <v>2392</v>
      </c>
      <c r="E482" s="5" t="s">
        <v>2320</v>
      </c>
      <c r="F482" s="5" t="s">
        <v>26</v>
      </c>
      <c r="G482" s="143">
        <v>43223</v>
      </c>
      <c r="H482" s="5" t="s">
        <v>27</v>
      </c>
    </row>
    <row r="483" spans="1:10" x14ac:dyDescent="0.25">
      <c r="A483" t="s">
        <v>50</v>
      </c>
      <c r="B483" s="2">
        <v>3</v>
      </c>
      <c r="C483" s="9">
        <f>25000*G483</f>
        <v>477375</v>
      </c>
      <c r="D483" s="10" t="s">
        <v>2433</v>
      </c>
      <c r="E483" s="10" t="s">
        <v>2593</v>
      </c>
      <c r="F483" s="10" t="s">
        <v>111</v>
      </c>
      <c r="G483" s="11">
        <v>19.094999999999999</v>
      </c>
      <c r="H483" s="10">
        <v>27.8</v>
      </c>
      <c r="I483" s="12">
        <v>43223</v>
      </c>
      <c r="J483" s="10" t="s">
        <v>5</v>
      </c>
    </row>
    <row r="484" spans="1:10" x14ac:dyDescent="0.25">
      <c r="A484" t="s">
        <v>50</v>
      </c>
      <c r="B484" s="2">
        <v>3</v>
      </c>
      <c r="C484" s="4">
        <f>27666.11*G484</f>
        <v>530635.98979999998</v>
      </c>
      <c r="D484" s="5" t="s">
        <v>2404</v>
      </c>
      <c r="E484" s="5" t="s">
        <v>2405</v>
      </c>
      <c r="F484" s="5" t="s">
        <v>2406</v>
      </c>
      <c r="G484" s="4">
        <v>19.18</v>
      </c>
      <c r="H484" s="5">
        <v>30.34</v>
      </c>
      <c r="I484" s="7">
        <v>43224</v>
      </c>
      <c r="J484" s="5" t="s">
        <v>5</v>
      </c>
    </row>
    <row r="485" spans="1:10" x14ac:dyDescent="0.25">
      <c r="A485" t="s">
        <v>50</v>
      </c>
      <c r="B485" s="2">
        <v>3</v>
      </c>
      <c r="C485" s="4">
        <v>855300.6</v>
      </c>
      <c r="D485" s="5" t="s">
        <v>2465</v>
      </c>
      <c r="E485" s="5" t="s">
        <v>2464</v>
      </c>
      <c r="F485" s="5" t="s">
        <v>1468</v>
      </c>
      <c r="G485" s="143">
        <v>43223</v>
      </c>
      <c r="H485" s="5" t="s">
        <v>27</v>
      </c>
    </row>
    <row r="486" spans="1:10" x14ac:dyDescent="0.25">
      <c r="A486" t="s">
        <v>50</v>
      </c>
      <c r="B486" s="2">
        <v>3</v>
      </c>
      <c r="C486" s="4">
        <f>644600+16307.28</f>
        <v>660907.28</v>
      </c>
      <c r="D486" s="5" t="s">
        <v>2393</v>
      </c>
      <c r="E486" s="5" t="s">
        <v>2394</v>
      </c>
      <c r="F486" s="5" t="s">
        <v>26</v>
      </c>
      <c r="G486" s="7">
        <v>43227</v>
      </c>
      <c r="H486" s="5" t="s">
        <v>27</v>
      </c>
    </row>
    <row r="487" spans="1:10" x14ac:dyDescent="0.25">
      <c r="A487" t="s">
        <v>50</v>
      </c>
      <c r="B487" s="2">
        <v>3</v>
      </c>
      <c r="C487" s="4">
        <f>423775+10706.8</f>
        <v>434481.8</v>
      </c>
      <c r="D487" s="5" t="s">
        <v>2396</v>
      </c>
      <c r="E487" s="5" t="s">
        <v>2395</v>
      </c>
      <c r="F487" s="5" t="s">
        <v>26</v>
      </c>
      <c r="G487" s="7">
        <v>43227</v>
      </c>
      <c r="H487" s="5" t="s">
        <v>27</v>
      </c>
    </row>
    <row r="488" spans="1:10" x14ac:dyDescent="0.25">
      <c r="A488" t="s">
        <v>50</v>
      </c>
      <c r="B488" s="2">
        <v>3</v>
      </c>
      <c r="C488" s="4">
        <v>33129.800000000003</v>
      </c>
      <c r="D488" s="5" t="s">
        <v>2542</v>
      </c>
      <c r="E488" s="5" t="s">
        <v>2541</v>
      </c>
      <c r="F488" s="5" t="s">
        <v>23</v>
      </c>
      <c r="G488" s="4">
        <v>18.5</v>
      </c>
      <c r="H488" s="7">
        <v>43230</v>
      </c>
      <c r="I488" s="5" t="s">
        <v>5</v>
      </c>
    </row>
    <row r="489" spans="1:10" x14ac:dyDescent="0.25">
      <c r="A489" t="s">
        <v>1</v>
      </c>
      <c r="B489" s="2">
        <v>4</v>
      </c>
    </row>
    <row r="490" spans="1:10" x14ac:dyDescent="0.25">
      <c r="A490" s="14" t="s">
        <v>13</v>
      </c>
      <c r="B490" s="2">
        <v>5</v>
      </c>
    </row>
    <row r="491" spans="1:10" x14ac:dyDescent="0.25">
      <c r="A491" s="14" t="s">
        <v>14</v>
      </c>
      <c r="B491" s="2">
        <v>6</v>
      </c>
    </row>
    <row r="492" spans="1:10" x14ac:dyDescent="0.25">
      <c r="A492" t="s">
        <v>15</v>
      </c>
      <c r="B492" s="2">
        <v>7</v>
      </c>
      <c r="C492" s="184">
        <f>25000*G492</f>
        <v>488250</v>
      </c>
      <c r="D492" s="185" t="s">
        <v>2437</v>
      </c>
      <c r="E492" s="185" t="s">
        <v>2592</v>
      </c>
      <c r="F492" s="10" t="s">
        <v>111</v>
      </c>
      <c r="G492" s="9">
        <v>19.53</v>
      </c>
      <c r="H492" s="185">
        <v>28.37</v>
      </c>
      <c r="I492" s="186">
        <v>43227</v>
      </c>
      <c r="J492" s="10" t="s">
        <v>5</v>
      </c>
    </row>
    <row r="493" spans="1:10" x14ac:dyDescent="0.25">
      <c r="A493" t="s">
        <v>15</v>
      </c>
      <c r="B493" s="2">
        <v>7</v>
      </c>
      <c r="C493" s="4">
        <f>28850.34*G493</f>
        <v>563014.38510000007</v>
      </c>
      <c r="D493" s="5" t="s">
        <v>2401</v>
      </c>
      <c r="E493" s="5" t="s">
        <v>2402</v>
      </c>
      <c r="F493" s="5" t="s">
        <v>2403</v>
      </c>
      <c r="G493" s="6">
        <v>19.515000000000001</v>
      </c>
      <c r="H493" s="5">
        <v>31.34</v>
      </c>
      <c r="I493" s="7">
        <v>43227</v>
      </c>
      <c r="J493" s="5" t="s">
        <v>5</v>
      </c>
    </row>
    <row r="494" spans="1:10" x14ac:dyDescent="0.25">
      <c r="A494" t="s">
        <v>15</v>
      </c>
      <c r="B494" s="2">
        <v>7</v>
      </c>
      <c r="C494" s="4">
        <v>68836.649999999994</v>
      </c>
      <c r="D494" s="5" t="s">
        <v>2544</v>
      </c>
      <c r="E494" s="5" t="s">
        <v>2543</v>
      </c>
      <c r="F494" s="5" t="s">
        <v>23</v>
      </c>
      <c r="G494" s="4">
        <v>18.5</v>
      </c>
      <c r="H494" s="7">
        <v>43230</v>
      </c>
      <c r="I494" s="5" t="s">
        <v>5</v>
      </c>
    </row>
    <row r="495" spans="1:10" x14ac:dyDescent="0.25">
      <c r="A495" t="s">
        <v>15</v>
      </c>
      <c r="B495" s="2">
        <v>7</v>
      </c>
      <c r="C495" s="4">
        <f>832005+20342.92</f>
        <v>852347.92</v>
      </c>
      <c r="D495" s="5" t="s">
        <v>2525</v>
      </c>
      <c r="E495" s="5" t="s">
        <v>2526</v>
      </c>
      <c r="F495" s="5" t="s">
        <v>26</v>
      </c>
      <c r="G495" s="143">
        <v>43228</v>
      </c>
      <c r="H495" s="5" t="s">
        <v>27</v>
      </c>
    </row>
    <row r="496" spans="1:10" x14ac:dyDescent="0.25">
      <c r="A496" t="s">
        <v>15</v>
      </c>
      <c r="B496" s="2">
        <v>7</v>
      </c>
      <c r="C496" s="4">
        <f>33750+823.6</f>
        <v>34573.599999999999</v>
      </c>
      <c r="D496" s="5" t="s">
        <v>2528</v>
      </c>
      <c r="E496" s="5" t="s">
        <v>2527</v>
      </c>
      <c r="F496" s="5" t="s">
        <v>26</v>
      </c>
      <c r="G496" s="143">
        <v>43229</v>
      </c>
      <c r="H496" s="5" t="s">
        <v>27</v>
      </c>
    </row>
    <row r="497" spans="1:11" x14ac:dyDescent="0.25">
      <c r="A497" t="s">
        <v>15</v>
      </c>
      <c r="B497" s="2">
        <v>7</v>
      </c>
      <c r="C497" s="4">
        <f>616005+16472</f>
        <v>632477</v>
      </c>
      <c r="D497" s="5" t="s">
        <v>2529</v>
      </c>
      <c r="E497" s="5" t="s">
        <v>2397</v>
      </c>
      <c r="F497" s="5" t="s">
        <v>26</v>
      </c>
      <c r="G497" s="143">
        <v>43229</v>
      </c>
      <c r="H497" s="5" t="s">
        <v>27</v>
      </c>
    </row>
    <row r="498" spans="1:11" x14ac:dyDescent="0.25">
      <c r="A498" t="s">
        <v>34</v>
      </c>
      <c r="B498" s="2">
        <v>8</v>
      </c>
      <c r="C498" s="9">
        <f>25120.74*G498</f>
        <v>493371.33360000007</v>
      </c>
      <c r="D498" s="10" t="s">
        <v>2509</v>
      </c>
      <c r="E498" s="10" t="s">
        <v>2550</v>
      </c>
      <c r="F498" s="10" t="s">
        <v>2551</v>
      </c>
      <c r="G498" s="9">
        <v>19.64</v>
      </c>
      <c r="H498" s="10">
        <v>28.42</v>
      </c>
      <c r="I498" s="12">
        <v>43228</v>
      </c>
      <c r="J498" s="10" t="s">
        <v>5</v>
      </c>
    </row>
    <row r="499" spans="1:11" x14ac:dyDescent="0.25">
      <c r="A499" t="s">
        <v>34</v>
      </c>
      <c r="B499" s="2">
        <v>8</v>
      </c>
      <c r="C499" s="184">
        <f>25000*G499</f>
        <v>491225</v>
      </c>
      <c r="D499" s="10" t="s">
        <v>2444</v>
      </c>
      <c r="E499" s="10" t="s">
        <v>2615</v>
      </c>
      <c r="F499" s="10" t="s">
        <v>111</v>
      </c>
      <c r="G499" s="11">
        <v>19.649000000000001</v>
      </c>
      <c r="H499" s="10">
        <v>28.75</v>
      </c>
      <c r="I499" s="12">
        <v>43229</v>
      </c>
      <c r="J499" s="10" t="s">
        <v>5</v>
      </c>
      <c r="K499" t="s">
        <v>775</v>
      </c>
    </row>
    <row r="500" spans="1:11" x14ac:dyDescent="0.25">
      <c r="A500" t="s">
        <v>34</v>
      </c>
      <c r="B500" s="2">
        <v>8</v>
      </c>
      <c r="C500" s="4">
        <f>609255+16307.28</f>
        <v>625562.28</v>
      </c>
      <c r="D500" s="5" t="s">
        <v>2531</v>
      </c>
      <c r="E500" s="5" t="s">
        <v>2530</v>
      </c>
      <c r="F500" s="5" t="s">
        <v>26</v>
      </c>
      <c r="G500" s="7">
        <v>43230</v>
      </c>
      <c r="H500" s="5" t="s">
        <v>27</v>
      </c>
    </row>
    <row r="501" spans="1:11" x14ac:dyDescent="0.25">
      <c r="A501" t="s">
        <v>44</v>
      </c>
      <c r="B501" s="2">
        <v>9</v>
      </c>
      <c r="C501" s="4">
        <f>800820+20590-3186</f>
        <v>818224</v>
      </c>
      <c r="D501" s="5" t="s">
        <v>2532</v>
      </c>
      <c r="E501" s="5" t="s">
        <v>2415</v>
      </c>
      <c r="F501" s="5" t="s">
        <v>26</v>
      </c>
      <c r="G501" s="7">
        <v>43231</v>
      </c>
      <c r="H501" s="5" t="s">
        <v>27</v>
      </c>
    </row>
    <row r="502" spans="1:11" x14ac:dyDescent="0.25">
      <c r="A502" t="s">
        <v>44</v>
      </c>
      <c r="B502" s="2">
        <v>9</v>
      </c>
      <c r="C502" s="4">
        <f>240840+6506.44</f>
        <v>247346.44</v>
      </c>
      <c r="D502" s="5" t="s">
        <v>2533</v>
      </c>
      <c r="E502" s="5" t="s">
        <v>2416</v>
      </c>
      <c r="F502" s="5" t="s">
        <v>26</v>
      </c>
      <c r="G502" s="7">
        <v>43234</v>
      </c>
      <c r="H502" s="5" t="s">
        <v>27</v>
      </c>
    </row>
    <row r="503" spans="1:11" x14ac:dyDescent="0.25">
      <c r="A503" t="s">
        <v>50</v>
      </c>
      <c r="B503" s="2">
        <v>10</v>
      </c>
      <c r="C503" s="184">
        <f>25000*G503</f>
        <v>491225</v>
      </c>
      <c r="D503" s="10" t="s">
        <v>2434</v>
      </c>
      <c r="E503" s="185" t="s">
        <v>2657</v>
      </c>
      <c r="F503" s="10" t="s">
        <v>111</v>
      </c>
      <c r="G503" s="11">
        <v>19.649000000000001</v>
      </c>
      <c r="H503" s="185">
        <v>28.5</v>
      </c>
      <c r="I503" s="186">
        <v>43230</v>
      </c>
      <c r="J503" s="10" t="s">
        <v>5</v>
      </c>
    </row>
    <row r="504" spans="1:11" x14ac:dyDescent="0.25">
      <c r="A504" t="s">
        <v>50</v>
      </c>
      <c r="B504" s="2">
        <v>10</v>
      </c>
      <c r="C504" s="187">
        <v>670230.5</v>
      </c>
      <c r="D504" s="5" t="s">
        <v>2538</v>
      </c>
      <c r="E504" s="188" t="s">
        <v>2552</v>
      </c>
      <c r="F504" s="5" t="s">
        <v>1468</v>
      </c>
      <c r="G504" s="143">
        <v>43229</v>
      </c>
      <c r="H504" s="5" t="s">
        <v>27</v>
      </c>
      <c r="I504" s="35"/>
      <c r="J504" s="35"/>
    </row>
    <row r="505" spans="1:11" x14ac:dyDescent="0.25">
      <c r="A505" t="s">
        <v>50</v>
      </c>
      <c r="B505" s="2">
        <v>10</v>
      </c>
      <c r="C505" s="4">
        <f>827010+20590</f>
        <v>847600</v>
      </c>
      <c r="D505" s="5" t="s">
        <v>2534</v>
      </c>
      <c r="E505" s="5" t="s">
        <v>2535</v>
      </c>
      <c r="F505" s="5" t="s">
        <v>26</v>
      </c>
      <c r="G505" s="7">
        <v>43234</v>
      </c>
      <c r="H505" s="5" t="s">
        <v>27</v>
      </c>
    </row>
    <row r="506" spans="1:11" x14ac:dyDescent="0.25">
      <c r="A506" t="s">
        <v>50</v>
      </c>
      <c r="B506" s="2">
        <v>10</v>
      </c>
      <c r="C506" s="4">
        <f>244080+6506.44-3078</f>
        <v>247508.44</v>
      </c>
      <c r="D506" s="5" t="s">
        <v>2537</v>
      </c>
      <c r="E506" s="5" t="s">
        <v>2536</v>
      </c>
      <c r="F506" s="5" t="s">
        <v>26</v>
      </c>
      <c r="G506" s="7">
        <v>43234</v>
      </c>
      <c r="H506" s="5" t="s">
        <v>27</v>
      </c>
    </row>
    <row r="507" spans="1:11" x14ac:dyDescent="0.25">
      <c r="A507" t="s">
        <v>50</v>
      </c>
      <c r="B507" s="2">
        <v>10</v>
      </c>
      <c r="C507" s="4">
        <f>27318.65*G507</f>
        <v>536674.87925</v>
      </c>
      <c r="D507" s="5" t="s">
        <v>2521</v>
      </c>
      <c r="E507" s="5" t="s">
        <v>2520</v>
      </c>
      <c r="F507" s="5" t="s">
        <v>2519</v>
      </c>
      <c r="G507" s="6">
        <v>19.645</v>
      </c>
      <c r="H507" s="5">
        <v>34.549999999999997</v>
      </c>
      <c r="I507" s="7">
        <v>43230</v>
      </c>
      <c r="J507" s="5" t="s">
        <v>5</v>
      </c>
    </row>
    <row r="508" spans="1:11" x14ac:dyDescent="0.25">
      <c r="A508" t="s">
        <v>1</v>
      </c>
      <c r="B508" s="2">
        <v>11</v>
      </c>
      <c r="C508" s="184">
        <f>25000*G508</f>
        <v>490475</v>
      </c>
      <c r="D508" s="10" t="s">
        <v>2445</v>
      </c>
      <c r="E508" s="10" t="s">
        <v>2663</v>
      </c>
      <c r="F508" s="10" t="s">
        <v>111</v>
      </c>
      <c r="G508" s="11">
        <v>19.619</v>
      </c>
      <c r="H508" s="10">
        <v>27.94</v>
      </c>
      <c r="I508" s="12">
        <v>43231</v>
      </c>
      <c r="J508" s="10" t="s">
        <v>5</v>
      </c>
    </row>
    <row r="509" spans="1:11" x14ac:dyDescent="0.25">
      <c r="A509" t="s">
        <v>1</v>
      </c>
      <c r="B509" s="2">
        <v>11</v>
      </c>
      <c r="C509" s="4">
        <v>66846.05</v>
      </c>
      <c r="D509" s="5" t="s">
        <v>2692</v>
      </c>
      <c r="E509" s="5" t="s">
        <v>2688</v>
      </c>
      <c r="F509" s="5" t="s">
        <v>23</v>
      </c>
      <c r="G509" s="4">
        <v>18.5</v>
      </c>
      <c r="H509" s="7">
        <v>43241</v>
      </c>
      <c r="I509" s="5" t="s">
        <v>5</v>
      </c>
    </row>
    <row r="510" spans="1:11" x14ac:dyDescent="0.25">
      <c r="A510" t="s">
        <v>1</v>
      </c>
      <c r="B510" s="2">
        <v>11</v>
      </c>
      <c r="C510" s="4">
        <v>51204.3</v>
      </c>
      <c r="D510" s="5" t="s">
        <v>2693</v>
      </c>
      <c r="E510" s="5" t="s">
        <v>2730</v>
      </c>
      <c r="F510" s="5" t="s">
        <v>23</v>
      </c>
      <c r="G510" s="4">
        <v>18.5</v>
      </c>
      <c r="H510" s="7">
        <v>43248</v>
      </c>
      <c r="I510" s="5" t="s">
        <v>5</v>
      </c>
    </row>
    <row r="511" spans="1:11" x14ac:dyDescent="0.25">
      <c r="A511" s="14" t="s">
        <v>13</v>
      </c>
      <c r="B511" s="2">
        <v>12</v>
      </c>
    </row>
    <row r="512" spans="1:11" x14ac:dyDescent="0.25">
      <c r="A512" s="14" t="s">
        <v>14</v>
      </c>
      <c r="B512" s="2">
        <v>13</v>
      </c>
    </row>
    <row r="513" spans="1:13" x14ac:dyDescent="0.25">
      <c r="A513" t="s">
        <v>15</v>
      </c>
      <c r="B513" s="2">
        <v>14</v>
      </c>
      <c r="C513" s="184">
        <f>25000*G513</f>
        <v>482250</v>
      </c>
      <c r="D513" s="185" t="s">
        <v>2438</v>
      </c>
      <c r="E513" s="185" t="s">
        <v>2724</v>
      </c>
      <c r="F513" s="10" t="s">
        <v>111</v>
      </c>
      <c r="G513" s="9">
        <v>19.29</v>
      </c>
      <c r="H513" s="185">
        <v>27.69</v>
      </c>
      <c r="I513" s="186">
        <v>43234</v>
      </c>
      <c r="J513" s="10" t="s">
        <v>5</v>
      </c>
    </row>
    <row r="514" spans="1:13" x14ac:dyDescent="0.25">
      <c r="A514" t="s">
        <v>15</v>
      </c>
      <c r="B514" s="2">
        <v>14</v>
      </c>
      <c r="C514" s="4">
        <f>26622.64*G514</f>
        <v>513550.72559999995</v>
      </c>
      <c r="D514" s="5" t="s">
        <v>2522</v>
      </c>
      <c r="E514" s="5" t="s">
        <v>2523</v>
      </c>
      <c r="F514" s="5" t="s">
        <v>2524</v>
      </c>
      <c r="G514" s="4">
        <v>19.29</v>
      </c>
      <c r="H514" s="5">
        <v>28.82</v>
      </c>
      <c r="I514" s="7">
        <v>43234</v>
      </c>
      <c r="J514" s="5" t="s">
        <v>5</v>
      </c>
    </row>
    <row r="515" spans="1:13" x14ac:dyDescent="0.25">
      <c r="A515" t="s">
        <v>15</v>
      </c>
      <c r="B515" s="2">
        <v>14</v>
      </c>
      <c r="C515" s="4">
        <v>114945</v>
      </c>
      <c r="D515" s="5" t="s">
        <v>2611</v>
      </c>
      <c r="E515" s="5" t="s">
        <v>2612</v>
      </c>
      <c r="F515" s="5" t="s">
        <v>2613</v>
      </c>
      <c r="G515" s="4" t="s">
        <v>2614</v>
      </c>
      <c r="H515" s="7">
        <v>43234</v>
      </c>
      <c r="I515" s="5" t="s">
        <v>5</v>
      </c>
    </row>
    <row r="516" spans="1:13" x14ac:dyDescent="0.25">
      <c r="A516" t="s">
        <v>15</v>
      </c>
      <c r="B516" s="2">
        <v>14</v>
      </c>
      <c r="C516" s="4">
        <f>812755+33920+21413.6</f>
        <v>868088.6</v>
      </c>
      <c r="D516" s="5" t="s">
        <v>2539</v>
      </c>
      <c r="E516" s="5" t="s">
        <v>2633</v>
      </c>
      <c r="F516" s="5" t="s">
        <v>26</v>
      </c>
      <c r="G516" s="7">
        <v>43235</v>
      </c>
      <c r="H516" s="5" t="s">
        <v>27</v>
      </c>
    </row>
    <row r="517" spans="1:13" x14ac:dyDescent="0.25">
      <c r="A517" t="s">
        <v>15</v>
      </c>
      <c r="B517" s="2">
        <v>14</v>
      </c>
      <c r="C517" s="4">
        <f>544840+16224.92</f>
        <v>561064.92000000004</v>
      </c>
      <c r="D517" s="5" t="s">
        <v>2624</v>
      </c>
      <c r="E517" s="5" t="s">
        <v>2466</v>
      </c>
      <c r="F517" s="5" t="s">
        <v>26</v>
      </c>
      <c r="G517" s="7">
        <v>43235</v>
      </c>
      <c r="H517" s="5" t="s">
        <v>27</v>
      </c>
    </row>
    <row r="518" spans="1:13" x14ac:dyDescent="0.25">
      <c r="A518" t="s">
        <v>15</v>
      </c>
      <c r="B518" s="2">
        <v>14</v>
      </c>
      <c r="C518" s="4">
        <v>69221.789999999994</v>
      </c>
      <c r="D518" s="5" t="s">
        <v>2694</v>
      </c>
      <c r="E518" s="5" t="s">
        <v>2689</v>
      </c>
      <c r="F518" s="5" t="s">
        <v>26</v>
      </c>
      <c r="G518" s="4">
        <v>18.7</v>
      </c>
      <c r="H518" s="7">
        <v>43241</v>
      </c>
      <c r="I518" s="5" t="s">
        <v>5</v>
      </c>
    </row>
    <row r="519" spans="1:13" x14ac:dyDescent="0.25">
      <c r="A519" t="s">
        <v>34</v>
      </c>
      <c r="B519" s="2">
        <v>15</v>
      </c>
      <c r="C519" s="4">
        <f>632290+16472</f>
        <v>648762</v>
      </c>
      <c r="D519" s="5" t="s">
        <v>2629</v>
      </c>
      <c r="E519" s="5" t="s">
        <v>2630</v>
      </c>
      <c r="F519" s="5" t="s">
        <v>26</v>
      </c>
      <c r="G519" s="7">
        <v>43236</v>
      </c>
      <c r="H519" s="5" t="s">
        <v>27</v>
      </c>
    </row>
    <row r="520" spans="1:13" x14ac:dyDescent="0.25">
      <c r="A520" t="s">
        <v>44</v>
      </c>
      <c r="B520" s="2">
        <v>16</v>
      </c>
      <c r="C520" s="9">
        <f>25000*G520</f>
        <v>494675</v>
      </c>
      <c r="D520" s="10" t="s">
        <v>2446</v>
      </c>
      <c r="E520" s="10" t="s">
        <v>2723</v>
      </c>
      <c r="F520" s="10" t="s">
        <v>111</v>
      </c>
      <c r="G520" s="11">
        <v>19.786999999999999</v>
      </c>
      <c r="H520" s="10">
        <v>28.14</v>
      </c>
      <c r="I520" s="12">
        <v>43236</v>
      </c>
      <c r="J520" s="10" t="s">
        <v>5</v>
      </c>
    </row>
    <row r="521" spans="1:13" x14ac:dyDescent="0.25">
      <c r="A521" t="s">
        <v>44</v>
      </c>
      <c r="B521" s="2">
        <v>16</v>
      </c>
      <c r="C521" s="9">
        <f>25000*G521</f>
        <v>494200</v>
      </c>
      <c r="D521" s="185" t="s">
        <v>2441</v>
      </c>
      <c r="E521" s="185" t="s">
        <v>2725</v>
      </c>
      <c r="F521" s="10" t="s">
        <v>111</v>
      </c>
      <c r="G521" s="11">
        <v>19.768000000000001</v>
      </c>
      <c r="H521" s="185">
        <v>28.68</v>
      </c>
      <c r="I521" s="186">
        <v>43236</v>
      </c>
      <c r="J521" s="10" t="s">
        <v>5</v>
      </c>
    </row>
    <row r="522" spans="1:13" x14ac:dyDescent="0.25">
      <c r="A522" t="s">
        <v>44</v>
      </c>
      <c r="B522" s="2">
        <v>16</v>
      </c>
      <c r="C522" s="4">
        <f>691120+18942.8</f>
        <v>710062.8</v>
      </c>
      <c r="D522" s="5" t="s">
        <v>2631</v>
      </c>
      <c r="E522" s="5" t="s">
        <v>2476</v>
      </c>
      <c r="F522" s="5" t="s">
        <v>26</v>
      </c>
      <c r="G522" s="7">
        <v>43237</v>
      </c>
      <c r="H522" s="5" t="s">
        <v>27</v>
      </c>
    </row>
    <row r="523" spans="1:13" x14ac:dyDescent="0.25">
      <c r="A523" t="s">
        <v>44</v>
      </c>
      <c r="B523" s="2">
        <v>16</v>
      </c>
      <c r="C523" s="4">
        <f>305015+8236</f>
        <v>313251</v>
      </c>
      <c r="D523" s="5" t="s">
        <v>2632</v>
      </c>
      <c r="E523" s="5" t="s">
        <v>2475</v>
      </c>
      <c r="F523" s="5" t="s">
        <v>26</v>
      </c>
      <c r="G523" s="7">
        <v>43237</v>
      </c>
      <c r="H523" s="5" t="s">
        <v>27</v>
      </c>
    </row>
    <row r="524" spans="1:13" x14ac:dyDescent="0.25">
      <c r="A524" t="s">
        <v>50</v>
      </c>
      <c r="B524" s="2">
        <v>17</v>
      </c>
      <c r="C524" s="9">
        <f>26000*G524</f>
        <v>512902</v>
      </c>
      <c r="D524" s="10" t="s">
        <v>2435</v>
      </c>
      <c r="E524" s="185" t="s">
        <v>2726</v>
      </c>
      <c r="F524" s="10" t="s">
        <v>1623</v>
      </c>
      <c r="G524" s="11">
        <v>19.727</v>
      </c>
      <c r="H524" s="185">
        <v>29.99</v>
      </c>
      <c r="I524" s="186">
        <v>43237</v>
      </c>
      <c r="J524" s="10" t="s">
        <v>5</v>
      </c>
    </row>
    <row r="525" spans="1:13" x14ac:dyDescent="0.25">
      <c r="A525" t="s">
        <v>50</v>
      </c>
      <c r="B525" s="2">
        <v>17</v>
      </c>
      <c r="C525" s="9">
        <f>24618.13*G525</f>
        <v>483475.45507000003</v>
      </c>
      <c r="D525" s="10" t="s">
        <v>2623</v>
      </c>
      <c r="E525" s="10" t="s">
        <v>2654</v>
      </c>
      <c r="F525" s="10" t="s">
        <v>2655</v>
      </c>
      <c r="G525" s="11">
        <v>19.638999999999999</v>
      </c>
      <c r="H525" s="185">
        <v>28.33</v>
      </c>
      <c r="I525" s="186">
        <v>43237</v>
      </c>
      <c r="J525" s="10" t="s">
        <v>5</v>
      </c>
    </row>
    <row r="526" spans="1:13" x14ac:dyDescent="0.25">
      <c r="A526" t="s">
        <v>50</v>
      </c>
      <c r="B526" s="2">
        <v>17</v>
      </c>
      <c r="C526" s="4">
        <v>171762.05</v>
      </c>
      <c r="D526" s="5" t="s">
        <v>2685</v>
      </c>
      <c r="E526" s="5" t="s">
        <v>2701</v>
      </c>
      <c r="F526" s="5" t="s">
        <v>1573</v>
      </c>
      <c r="G526" s="6">
        <v>85</v>
      </c>
      <c r="H526" s="7">
        <v>43241</v>
      </c>
      <c r="I526" s="5" t="s">
        <v>5</v>
      </c>
    </row>
    <row r="527" spans="1:13" x14ac:dyDescent="0.25">
      <c r="A527" t="s">
        <v>50</v>
      </c>
      <c r="B527" s="2">
        <v>17</v>
      </c>
      <c r="C527" s="4">
        <f>588830+16472</f>
        <v>605302</v>
      </c>
      <c r="D527" s="5" t="s">
        <v>2634</v>
      </c>
      <c r="E527" s="5" t="s">
        <v>2497</v>
      </c>
      <c r="F527" s="5" t="s">
        <v>26</v>
      </c>
      <c r="G527" s="7">
        <v>43238</v>
      </c>
      <c r="H527" s="5" t="s">
        <v>27</v>
      </c>
    </row>
    <row r="528" spans="1:13" x14ac:dyDescent="0.25">
      <c r="A528" t="s">
        <v>50</v>
      </c>
      <c r="B528" s="2">
        <v>17</v>
      </c>
      <c r="C528" s="4">
        <f>429962.5+10706.8</f>
        <v>440669.3</v>
      </c>
      <c r="D528" s="5" t="s">
        <v>2635</v>
      </c>
      <c r="E528" s="5" t="s">
        <v>2498</v>
      </c>
      <c r="F528" s="5" t="s">
        <v>26</v>
      </c>
      <c r="G528" s="7">
        <v>43238</v>
      </c>
      <c r="H528" s="5" t="s">
        <v>27</v>
      </c>
      <c r="I528" s="15" t="s">
        <v>2668</v>
      </c>
      <c r="J528" s="15"/>
      <c r="K528" s="15"/>
      <c r="L528" s="15"/>
      <c r="M528" s="15"/>
    </row>
    <row r="529" spans="1:11" x14ac:dyDescent="0.25">
      <c r="A529" t="s">
        <v>1</v>
      </c>
      <c r="B529" s="2">
        <v>18</v>
      </c>
      <c r="C529" s="4">
        <f>24626.07*G529</f>
        <v>483286.62374999997</v>
      </c>
      <c r="D529" s="5" t="s">
        <v>2620</v>
      </c>
      <c r="E529" s="5" t="s">
        <v>2621</v>
      </c>
      <c r="F529" s="5" t="s">
        <v>2622</v>
      </c>
      <c r="G529" s="6">
        <v>19.625</v>
      </c>
      <c r="H529" s="5">
        <v>28.08</v>
      </c>
      <c r="I529" s="7">
        <v>43238</v>
      </c>
      <c r="J529" s="5" t="s">
        <v>5</v>
      </c>
    </row>
    <row r="530" spans="1:11" x14ac:dyDescent="0.25">
      <c r="A530" t="s">
        <v>1</v>
      </c>
      <c r="B530" s="2">
        <v>18</v>
      </c>
      <c r="C530" s="4">
        <v>75697.600000000006</v>
      </c>
      <c r="D530" s="5" t="s">
        <v>2696</v>
      </c>
      <c r="E530" s="5" t="s">
        <v>2691</v>
      </c>
      <c r="F530" s="5" t="s">
        <v>2373</v>
      </c>
      <c r="G530" s="4" t="s">
        <v>2695</v>
      </c>
      <c r="H530" s="7">
        <v>43241</v>
      </c>
      <c r="I530" s="5" t="s">
        <v>5</v>
      </c>
    </row>
    <row r="531" spans="1:11" x14ac:dyDescent="0.25">
      <c r="A531" s="14" t="s">
        <v>13</v>
      </c>
      <c r="B531" s="2">
        <v>19</v>
      </c>
    </row>
    <row r="532" spans="1:11" x14ac:dyDescent="0.25">
      <c r="A532" s="14" t="s">
        <v>14</v>
      </c>
      <c r="B532" s="2">
        <v>20</v>
      </c>
    </row>
    <row r="533" spans="1:11" x14ac:dyDescent="0.25">
      <c r="A533" t="s">
        <v>15</v>
      </c>
      <c r="B533" s="2">
        <v>21</v>
      </c>
      <c r="C533" s="184">
        <f>28000*G533</f>
        <v>558600</v>
      </c>
      <c r="D533" s="185" t="s">
        <v>2439</v>
      </c>
      <c r="E533" s="185" t="s">
        <v>2754</v>
      </c>
      <c r="F533" s="185" t="s">
        <v>268</v>
      </c>
      <c r="G533" s="9">
        <v>19.95</v>
      </c>
      <c r="H533" s="185">
        <v>30.47</v>
      </c>
      <c r="I533" s="186">
        <v>43241</v>
      </c>
      <c r="J533" s="10" t="s">
        <v>5</v>
      </c>
    </row>
    <row r="534" spans="1:11" x14ac:dyDescent="0.25">
      <c r="A534" t="s">
        <v>15</v>
      </c>
      <c r="B534" s="2">
        <v>21</v>
      </c>
      <c r="C534" s="4">
        <f>24936.93*G534</f>
        <v>496993.01490000001</v>
      </c>
      <c r="D534" s="5" t="s">
        <v>2617</v>
      </c>
      <c r="E534" s="5" t="s">
        <v>2618</v>
      </c>
      <c r="F534" s="5" t="s">
        <v>2619</v>
      </c>
      <c r="G534" s="4">
        <v>19.93</v>
      </c>
      <c r="H534" s="5">
        <v>28.08</v>
      </c>
      <c r="I534" s="7">
        <v>43241</v>
      </c>
      <c r="J534" s="5" t="s">
        <v>5</v>
      </c>
    </row>
    <row r="535" spans="1:11" x14ac:dyDescent="0.25">
      <c r="A535" t="s">
        <v>15</v>
      </c>
      <c r="B535" s="2">
        <v>21</v>
      </c>
      <c r="C535" s="4">
        <f>712140+20590</f>
        <v>732730</v>
      </c>
      <c r="D535" s="5" t="s">
        <v>2636</v>
      </c>
      <c r="E535" s="5" t="s">
        <v>2546</v>
      </c>
      <c r="F535" s="5" t="s">
        <v>26</v>
      </c>
      <c r="G535" s="143">
        <v>43241</v>
      </c>
      <c r="H535" s="5" t="s">
        <v>27</v>
      </c>
    </row>
    <row r="536" spans="1:11" x14ac:dyDescent="0.25">
      <c r="A536" t="s">
        <v>15</v>
      </c>
      <c r="B536" s="2">
        <v>21</v>
      </c>
      <c r="C536" s="4">
        <f>237640+6588.8</f>
        <v>244228.8</v>
      </c>
      <c r="D536" s="5" t="s">
        <v>2637</v>
      </c>
      <c r="E536" s="5" t="s">
        <v>2547</v>
      </c>
      <c r="F536" s="5" t="s">
        <v>26</v>
      </c>
      <c r="G536" s="143">
        <v>43241</v>
      </c>
      <c r="H536" s="5" t="s">
        <v>27</v>
      </c>
    </row>
    <row r="537" spans="1:11" x14ac:dyDescent="0.25">
      <c r="A537" t="s">
        <v>15</v>
      </c>
      <c r="B537" s="2">
        <v>21</v>
      </c>
      <c r="C537" s="4">
        <f>569790+16307.28</f>
        <v>586097.28</v>
      </c>
      <c r="D537" s="5" t="s">
        <v>2638</v>
      </c>
      <c r="E537" s="5" t="s">
        <v>2549</v>
      </c>
      <c r="F537" s="5" t="s">
        <v>26</v>
      </c>
      <c r="G537" s="143">
        <v>43241</v>
      </c>
      <c r="H537" s="5" t="s">
        <v>27</v>
      </c>
    </row>
    <row r="538" spans="1:11" x14ac:dyDescent="0.25">
      <c r="A538" t="s">
        <v>15</v>
      </c>
      <c r="B538" s="2">
        <v>21</v>
      </c>
      <c r="C538" s="4">
        <f>690300+20590</f>
        <v>710890</v>
      </c>
      <c r="D538" s="5" t="s">
        <v>2640</v>
      </c>
      <c r="E538" s="5" t="s">
        <v>2639</v>
      </c>
      <c r="F538" s="5" t="s">
        <v>26</v>
      </c>
      <c r="G538" s="143">
        <v>43242</v>
      </c>
      <c r="H538" s="5" t="s">
        <v>27</v>
      </c>
    </row>
    <row r="539" spans="1:11" x14ac:dyDescent="0.25">
      <c r="A539" t="s">
        <v>34</v>
      </c>
      <c r="B539" s="2">
        <v>22</v>
      </c>
      <c r="C539" s="9">
        <f>25500*G539</f>
        <v>507169.5</v>
      </c>
      <c r="D539" s="10" t="s">
        <v>2447</v>
      </c>
      <c r="E539" s="10" t="s">
        <v>2765</v>
      </c>
      <c r="F539" s="10" t="s">
        <v>2671</v>
      </c>
      <c r="G539" s="11">
        <v>19.888999999999999</v>
      </c>
      <c r="H539" s="10">
        <v>30.15</v>
      </c>
      <c r="I539" s="12">
        <v>43242</v>
      </c>
      <c r="J539" s="10" t="s">
        <v>5</v>
      </c>
    </row>
    <row r="540" spans="1:11" x14ac:dyDescent="0.25">
      <c r="A540" t="s">
        <v>34</v>
      </c>
      <c r="B540" s="2">
        <v>22</v>
      </c>
      <c r="C540" s="9">
        <f>25285.77*G540</f>
        <v>500911.10369999998</v>
      </c>
      <c r="D540" s="10" t="s">
        <v>2451</v>
      </c>
      <c r="E540" s="10" t="s">
        <v>2703</v>
      </c>
      <c r="F540" s="10" t="s">
        <v>2704</v>
      </c>
      <c r="G540" s="11">
        <v>19.809999999999999</v>
      </c>
      <c r="H540" s="10">
        <v>28.61</v>
      </c>
      <c r="I540" s="12">
        <v>43242</v>
      </c>
      <c r="J540" s="10" t="s">
        <v>5</v>
      </c>
    </row>
    <row r="541" spans="1:11" x14ac:dyDescent="0.25">
      <c r="A541" t="s">
        <v>34</v>
      </c>
      <c r="B541" s="2">
        <v>22</v>
      </c>
      <c r="C541" s="4">
        <f>799500+20590-33132.37</f>
        <v>786957.63</v>
      </c>
      <c r="D541" s="5" t="s">
        <v>2641</v>
      </c>
      <c r="E541" s="5" t="s">
        <v>2642</v>
      </c>
      <c r="F541" s="5" t="s">
        <v>26</v>
      </c>
      <c r="G541" s="7">
        <v>43243</v>
      </c>
      <c r="H541" s="5" t="s">
        <v>27</v>
      </c>
      <c r="I541" s="15" t="s">
        <v>2721</v>
      </c>
    </row>
    <row r="542" spans="1:11" x14ac:dyDescent="0.25">
      <c r="A542" t="s">
        <v>44</v>
      </c>
      <c r="B542" s="2">
        <v>23</v>
      </c>
      <c r="C542" s="84">
        <f>26000*G542</f>
        <v>514020</v>
      </c>
      <c r="D542" s="106" t="s">
        <v>2448</v>
      </c>
      <c r="E542" s="106"/>
      <c r="F542" s="106" t="s">
        <v>1623</v>
      </c>
      <c r="G542" s="84">
        <v>19.77</v>
      </c>
      <c r="H542" s="106"/>
      <c r="I542" s="192">
        <v>43243</v>
      </c>
      <c r="J542" s="106" t="s">
        <v>5</v>
      </c>
      <c r="K542" t="s">
        <v>2735</v>
      </c>
    </row>
    <row r="543" spans="1:11" x14ac:dyDescent="0.25">
      <c r="A543" t="s">
        <v>44</v>
      </c>
      <c r="B543" s="2">
        <v>23</v>
      </c>
      <c r="C543" s="4">
        <f>599560+16389.64</f>
        <v>615949.64</v>
      </c>
      <c r="D543" s="5" t="s">
        <v>2643</v>
      </c>
      <c r="E543" s="5" t="s">
        <v>2569</v>
      </c>
      <c r="F543" s="5" t="s">
        <v>26</v>
      </c>
      <c r="G543" s="7">
        <v>43244</v>
      </c>
      <c r="H543" s="5" t="s">
        <v>27</v>
      </c>
    </row>
    <row r="544" spans="1:11" x14ac:dyDescent="0.25">
      <c r="A544" t="s">
        <v>44</v>
      </c>
      <c r="B544" s="2">
        <v>23</v>
      </c>
      <c r="C544" s="4">
        <f>380120+10706.8</f>
        <v>390826.8</v>
      </c>
      <c r="D544" s="5" t="s">
        <v>2644</v>
      </c>
      <c r="E544" s="5" t="s">
        <v>2570</v>
      </c>
      <c r="F544" s="5" t="s">
        <v>26</v>
      </c>
      <c r="G544" s="7">
        <v>43244</v>
      </c>
      <c r="H544" s="5" t="s">
        <v>27</v>
      </c>
    </row>
    <row r="545" spans="1:10" x14ac:dyDescent="0.25">
      <c r="A545" t="s">
        <v>44</v>
      </c>
      <c r="B545" s="2">
        <v>23</v>
      </c>
      <c r="C545" s="4">
        <v>66444.899999999994</v>
      </c>
      <c r="D545" s="5" t="s">
        <v>2699</v>
      </c>
      <c r="E545" s="5" t="s">
        <v>2697</v>
      </c>
      <c r="F545" s="5" t="s">
        <v>23</v>
      </c>
      <c r="G545" s="5">
        <v>19</v>
      </c>
      <c r="H545" s="7">
        <v>43248</v>
      </c>
      <c r="I545" s="5" t="s">
        <v>5</v>
      </c>
    </row>
    <row r="546" spans="1:10" x14ac:dyDescent="0.25">
      <c r="A546" t="s">
        <v>44</v>
      </c>
      <c r="B546" s="2">
        <v>23</v>
      </c>
      <c r="C546" s="4">
        <v>865865.2</v>
      </c>
      <c r="D546" s="5" t="s">
        <v>2687</v>
      </c>
      <c r="E546" s="5" t="s">
        <v>2686</v>
      </c>
      <c r="F546" s="5" t="s">
        <v>2082</v>
      </c>
      <c r="G546" s="4">
        <v>86</v>
      </c>
      <c r="H546" s="7">
        <v>43245</v>
      </c>
      <c r="I546" s="5" t="s">
        <v>5</v>
      </c>
    </row>
    <row r="547" spans="1:10" x14ac:dyDescent="0.25">
      <c r="A547" t="s">
        <v>50</v>
      </c>
      <c r="B547" s="2">
        <v>24</v>
      </c>
      <c r="C547" s="184">
        <f>28000*G547</f>
        <v>551432</v>
      </c>
      <c r="D547" s="10" t="s">
        <v>2436</v>
      </c>
      <c r="E547" s="185" t="s">
        <v>2806</v>
      </c>
      <c r="F547" s="185" t="s">
        <v>268</v>
      </c>
      <c r="G547" s="11">
        <v>19.693999999999999</v>
      </c>
      <c r="H547" s="185">
        <v>32.020000000000003</v>
      </c>
      <c r="I547" s="186">
        <v>43244</v>
      </c>
      <c r="J547" s="10" t="s">
        <v>5</v>
      </c>
    </row>
    <row r="548" spans="1:10" x14ac:dyDescent="0.25">
      <c r="A548" t="s">
        <v>50</v>
      </c>
      <c r="B548" s="2">
        <v>24</v>
      </c>
      <c r="C548" s="4">
        <f>634270+27014.08</f>
        <v>661284.07999999996</v>
      </c>
      <c r="D548" s="5" t="s">
        <v>2645</v>
      </c>
      <c r="E548" s="5" t="s">
        <v>2597</v>
      </c>
      <c r="F548" s="5" t="s">
        <v>26</v>
      </c>
      <c r="G548" s="7">
        <v>43245</v>
      </c>
      <c r="H548" s="5" t="s">
        <v>27</v>
      </c>
    </row>
    <row r="549" spans="1:10" x14ac:dyDescent="0.25">
      <c r="A549" t="s">
        <v>50</v>
      </c>
      <c r="B549" s="2">
        <v>24</v>
      </c>
      <c r="C549" s="4">
        <v>299000</v>
      </c>
      <c r="D549" s="5" t="s">
        <v>2645</v>
      </c>
      <c r="E549" s="5" t="s">
        <v>2596</v>
      </c>
      <c r="F549" s="5" t="s">
        <v>26</v>
      </c>
      <c r="G549" s="7">
        <v>43248</v>
      </c>
      <c r="H549" s="5" t="s">
        <v>27</v>
      </c>
    </row>
    <row r="550" spans="1:10" x14ac:dyDescent="0.25">
      <c r="A550" t="s">
        <v>50</v>
      </c>
      <c r="B550" s="2">
        <v>24</v>
      </c>
      <c r="C550" s="4">
        <f>25731.07*G550</f>
        <v>508188.63250000001</v>
      </c>
      <c r="D550" s="5" t="s">
        <v>2676</v>
      </c>
      <c r="E550" s="5" t="s">
        <v>2673</v>
      </c>
      <c r="F550" s="5" t="s">
        <v>2674</v>
      </c>
      <c r="G550" s="4">
        <v>19.75</v>
      </c>
      <c r="H550" s="5">
        <v>28.71</v>
      </c>
      <c r="I550" s="7">
        <v>43244</v>
      </c>
      <c r="J550" s="5" t="s">
        <v>5</v>
      </c>
    </row>
    <row r="551" spans="1:10" x14ac:dyDescent="0.25">
      <c r="A551" t="s">
        <v>1</v>
      </c>
      <c r="B551" s="2">
        <v>25</v>
      </c>
      <c r="G551" s="3"/>
    </row>
    <row r="552" spans="1:10" x14ac:dyDescent="0.25">
      <c r="A552" s="14" t="s">
        <v>13</v>
      </c>
      <c r="B552" s="2">
        <v>26</v>
      </c>
    </row>
    <row r="553" spans="1:10" x14ac:dyDescent="0.25">
      <c r="A553" s="14" t="s">
        <v>14</v>
      </c>
      <c r="B553" s="2">
        <v>27</v>
      </c>
    </row>
    <row r="554" spans="1:10" x14ac:dyDescent="0.25">
      <c r="A554" t="s">
        <v>15</v>
      </c>
      <c r="B554" s="2">
        <v>28</v>
      </c>
      <c r="C554" s="184">
        <f>29500*G554</f>
        <v>578288.5</v>
      </c>
      <c r="D554" s="185" t="s">
        <v>2440</v>
      </c>
      <c r="E554" s="185" t="s">
        <v>2807</v>
      </c>
      <c r="F554" s="185" t="s">
        <v>1033</v>
      </c>
      <c r="G554" s="11">
        <v>19.603000000000002</v>
      </c>
      <c r="H554" s="185">
        <v>33.1</v>
      </c>
      <c r="I554" s="12">
        <v>43249</v>
      </c>
      <c r="J554" s="10" t="s">
        <v>5</v>
      </c>
    </row>
    <row r="555" spans="1:10" x14ac:dyDescent="0.25">
      <c r="A555" t="s">
        <v>15</v>
      </c>
      <c r="B555" s="2">
        <v>28</v>
      </c>
      <c r="C555" s="4">
        <v>69186.600000000006</v>
      </c>
      <c r="D555" s="5" t="s">
        <v>2700</v>
      </c>
      <c r="E555" s="5" t="s">
        <v>2698</v>
      </c>
      <c r="F555" s="5" t="s">
        <v>23</v>
      </c>
      <c r="G555" s="5">
        <v>19</v>
      </c>
      <c r="H555" s="7">
        <v>43248</v>
      </c>
      <c r="I555" s="5" t="s">
        <v>5</v>
      </c>
    </row>
    <row r="556" spans="1:10" x14ac:dyDescent="0.25">
      <c r="A556" t="s">
        <v>15</v>
      </c>
      <c r="B556" s="2">
        <v>28</v>
      </c>
      <c r="C556" s="4">
        <f>24320.9*G556</f>
        <v>476762.60270000005</v>
      </c>
      <c r="D556" s="5" t="s">
        <v>2675</v>
      </c>
      <c r="E556" s="5" t="s">
        <v>2677</v>
      </c>
      <c r="F556" s="5" t="s">
        <v>2678</v>
      </c>
      <c r="G556" s="6">
        <v>19.603000000000002</v>
      </c>
      <c r="H556" s="5">
        <v>28.04</v>
      </c>
      <c r="I556" s="7">
        <v>43249</v>
      </c>
      <c r="J556" s="5" t="s">
        <v>5</v>
      </c>
    </row>
    <row r="557" spans="1:10" x14ac:dyDescent="0.25">
      <c r="A557" t="s">
        <v>15</v>
      </c>
      <c r="B557" s="2">
        <v>28</v>
      </c>
      <c r="C557" s="4">
        <f>725530+20590</f>
        <v>746120</v>
      </c>
      <c r="D557" s="5" t="s">
        <v>2744</v>
      </c>
      <c r="E557" s="5" t="s">
        <v>2608</v>
      </c>
      <c r="F557" s="5" t="s">
        <v>26</v>
      </c>
      <c r="G557" s="7">
        <v>43248</v>
      </c>
      <c r="H557" s="5" t="s">
        <v>27</v>
      </c>
    </row>
    <row r="558" spans="1:10" x14ac:dyDescent="0.25">
      <c r="A558" t="s">
        <v>15</v>
      </c>
      <c r="B558" s="2">
        <v>28</v>
      </c>
      <c r="C558" s="4">
        <f>222300+6588.8</f>
        <v>228888.8</v>
      </c>
      <c r="D558" s="5" t="s">
        <v>2743</v>
      </c>
      <c r="E558" s="5" t="s">
        <v>2609</v>
      </c>
      <c r="F558" s="5" t="s">
        <v>26</v>
      </c>
      <c r="G558" s="7">
        <v>43248</v>
      </c>
      <c r="H558" s="5" t="s">
        <v>27</v>
      </c>
    </row>
    <row r="559" spans="1:10" x14ac:dyDescent="0.25">
      <c r="A559" t="s">
        <v>15</v>
      </c>
      <c r="B559" s="2">
        <v>28</v>
      </c>
      <c r="C559" s="4">
        <f>520520+16472</f>
        <v>536992</v>
      </c>
      <c r="D559" s="5" t="s">
        <v>2757</v>
      </c>
      <c r="E559" s="5" t="s">
        <v>2625</v>
      </c>
      <c r="F559" s="5" t="s">
        <v>26</v>
      </c>
      <c r="G559" s="7">
        <v>43249</v>
      </c>
      <c r="H559" s="5" t="s">
        <v>27</v>
      </c>
    </row>
    <row r="560" spans="1:10" x14ac:dyDescent="0.25">
      <c r="A560" t="s">
        <v>15</v>
      </c>
      <c r="B560" s="2">
        <v>28</v>
      </c>
      <c r="C560" s="4">
        <f>659880+20507.64</f>
        <v>680387.64</v>
      </c>
      <c r="D560" s="5" t="s">
        <v>2758</v>
      </c>
      <c r="E560" s="5" t="s">
        <v>2646</v>
      </c>
      <c r="F560" s="5" t="s">
        <v>26</v>
      </c>
      <c r="G560" s="7">
        <v>43249</v>
      </c>
      <c r="H560" s="5" t="s">
        <v>27</v>
      </c>
    </row>
    <row r="561" spans="1:10" x14ac:dyDescent="0.25">
      <c r="A561" t="s">
        <v>34</v>
      </c>
      <c r="B561" s="2">
        <v>29</v>
      </c>
      <c r="C561" s="4">
        <f>692900+20590</f>
        <v>713490</v>
      </c>
      <c r="D561" s="5" t="s">
        <v>2762</v>
      </c>
      <c r="E561" s="5" t="s">
        <v>2658</v>
      </c>
      <c r="F561" s="5" t="s">
        <v>26</v>
      </c>
      <c r="G561" s="7">
        <v>43250</v>
      </c>
      <c r="H561" s="5" t="s">
        <v>27</v>
      </c>
    </row>
    <row r="562" spans="1:10" x14ac:dyDescent="0.25">
      <c r="A562" t="s">
        <v>34</v>
      </c>
      <c r="B562" s="2">
        <v>29</v>
      </c>
      <c r="C562" s="4">
        <f>242320+6588.8</f>
        <v>248908.79999999999</v>
      </c>
      <c r="D562" s="5" t="s">
        <v>2763</v>
      </c>
      <c r="E562" s="5" t="s">
        <v>2659</v>
      </c>
      <c r="F562" s="5" t="s">
        <v>26</v>
      </c>
      <c r="G562" s="7">
        <v>43250</v>
      </c>
      <c r="H562" s="5" t="s">
        <v>27</v>
      </c>
    </row>
    <row r="563" spans="1:10" x14ac:dyDescent="0.25">
      <c r="A563" t="s">
        <v>44</v>
      </c>
      <c r="B563" s="2">
        <v>30</v>
      </c>
      <c r="C563" s="9">
        <f>26000*G563</f>
        <v>514020</v>
      </c>
      <c r="D563" s="10" t="s">
        <v>2449</v>
      </c>
      <c r="E563" s="10" t="s">
        <v>2892</v>
      </c>
      <c r="F563" s="10" t="s">
        <v>1623</v>
      </c>
      <c r="G563" s="9">
        <v>19.77</v>
      </c>
      <c r="H563" s="10">
        <v>38.08</v>
      </c>
      <c r="I563" s="12">
        <v>43243</v>
      </c>
      <c r="J563" s="10" t="s">
        <v>5</v>
      </c>
    </row>
    <row r="564" spans="1:10" x14ac:dyDescent="0.25">
      <c r="A564" t="s">
        <v>44</v>
      </c>
      <c r="B564" s="2">
        <v>30</v>
      </c>
      <c r="C564" s="9">
        <f>29000*G564</f>
        <v>574635</v>
      </c>
      <c r="D564" s="10" t="s">
        <v>2450</v>
      </c>
      <c r="E564" s="10" t="s">
        <v>2893</v>
      </c>
      <c r="F564" s="10" t="s">
        <v>2287</v>
      </c>
      <c r="G564" s="11">
        <v>19.815000000000001</v>
      </c>
      <c r="H564" s="10">
        <v>38.18</v>
      </c>
      <c r="I564" s="12">
        <v>43249</v>
      </c>
      <c r="J564" s="10" t="s">
        <v>5</v>
      </c>
    </row>
    <row r="565" spans="1:10" x14ac:dyDescent="0.25">
      <c r="A565" t="s">
        <v>44</v>
      </c>
      <c r="B565" s="2">
        <v>30</v>
      </c>
      <c r="C565" s="4">
        <f>690430+20590</f>
        <v>711020</v>
      </c>
      <c r="D565" s="5" t="s">
        <v>2774</v>
      </c>
      <c r="E565" s="5" t="s">
        <v>2665</v>
      </c>
      <c r="F565" s="5" t="s">
        <v>26</v>
      </c>
      <c r="G565" s="7">
        <v>43251</v>
      </c>
      <c r="H565" s="5" t="s">
        <v>27</v>
      </c>
    </row>
    <row r="566" spans="1:10" x14ac:dyDescent="0.25">
      <c r="A566" t="s">
        <v>44</v>
      </c>
      <c r="B566" s="2">
        <v>30</v>
      </c>
      <c r="C566" s="4">
        <f>395850+10706.8</f>
        <v>406556.8</v>
      </c>
      <c r="D566" s="5" t="s">
        <v>2775</v>
      </c>
      <c r="E566" s="5" t="s">
        <v>2666</v>
      </c>
      <c r="F566" s="5" t="s">
        <v>26</v>
      </c>
      <c r="G566" s="7">
        <v>43251</v>
      </c>
      <c r="H566" s="5" t="s">
        <v>27</v>
      </c>
    </row>
    <row r="567" spans="1:10" x14ac:dyDescent="0.25">
      <c r="A567" t="s">
        <v>50</v>
      </c>
      <c r="B567" s="2">
        <v>31</v>
      </c>
      <c r="C567" s="9">
        <f>32000*G567</f>
        <v>633248</v>
      </c>
      <c r="D567" s="10" t="s">
        <v>2752</v>
      </c>
      <c r="E567" s="10" t="s">
        <v>2894</v>
      </c>
      <c r="F567" s="10" t="s">
        <v>99</v>
      </c>
      <c r="G567" s="11">
        <v>19.789000000000001</v>
      </c>
      <c r="H567" s="10">
        <v>37.57</v>
      </c>
      <c r="I567" s="12">
        <v>43251</v>
      </c>
      <c r="J567" s="10" t="s">
        <v>5</v>
      </c>
    </row>
    <row r="568" spans="1:10" x14ac:dyDescent="0.25">
      <c r="A568" t="s">
        <v>50</v>
      </c>
      <c r="B568" s="2">
        <v>31</v>
      </c>
      <c r="C568" s="4">
        <f>23485.84*G568</f>
        <v>464761.28776000004</v>
      </c>
      <c r="D568" s="5" t="s">
        <v>2746</v>
      </c>
      <c r="E568" s="5" t="s">
        <v>2747</v>
      </c>
      <c r="F568" s="5" t="s">
        <v>2748</v>
      </c>
      <c r="G568" s="6">
        <v>19.789000000000001</v>
      </c>
      <c r="H568" s="5"/>
      <c r="I568" s="7">
        <v>43251</v>
      </c>
      <c r="J568" s="5" t="s">
        <v>5</v>
      </c>
    </row>
    <row r="569" spans="1:10" x14ac:dyDescent="0.25">
      <c r="A569" t="s">
        <v>50</v>
      </c>
      <c r="B569" s="2">
        <v>31</v>
      </c>
      <c r="C569" s="4">
        <f>604630+20425.28</f>
        <v>625055.28</v>
      </c>
      <c r="D569" s="5" t="s">
        <v>2776</v>
      </c>
      <c r="E569" s="5" t="s">
        <v>2669</v>
      </c>
      <c r="F569" s="5" t="s">
        <v>26</v>
      </c>
      <c r="G569" s="7">
        <v>43252</v>
      </c>
      <c r="H569" s="5" t="s">
        <v>27</v>
      </c>
    </row>
    <row r="570" spans="1:10" x14ac:dyDescent="0.25">
      <c r="A570" t="s">
        <v>50</v>
      </c>
      <c r="B570" s="2">
        <v>31</v>
      </c>
      <c r="C570" s="4">
        <f>402610+10459.72</f>
        <v>413069.72</v>
      </c>
      <c r="D570" s="5" t="s">
        <v>2777</v>
      </c>
      <c r="E570" s="5" t="s">
        <v>2670</v>
      </c>
      <c r="F570" s="5" t="s">
        <v>26</v>
      </c>
      <c r="G570" s="7">
        <v>43251</v>
      </c>
      <c r="H570" s="5" t="s">
        <v>27</v>
      </c>
    </row>
    <row r="571" spans="1:10" x14ac:dyDescent="0.25">
      <c r="A571" t="s">
        <v>50</v>
      </c>
      <c r="B571" s="2">
        <v>31</v>
      </c>
      <c r="C571" s="4">
        <v>360501.68</v>
      </c>
      <c r="D571" s="5" t="s">
        <v>2797</v>
      </c>
      <c r="E571" s="5" t="s">
        <v>2798</v>
      </c>
      <c r="F571" s="5" t="s">
        <v>1345</v>
      </c>
      <c r="G571" s="5">
        <v>38.5</v>
      </c>
      <c r="H571" s="7">
        <v>43251</v>
      </c>
      <c r="I571" s="5" t="s">
        <v>5</v>
      </c>
    </row>
    <row r="572" spans="1:10" x14ac:dyDescent="0.25">
      <c r="A572" t="s">
        <v>50</v>
      </c>
      <c r="B572" s="2">
        <v>31</v>
      </c>
      <c r="C572" s="4">
        <v>94480.2</v>
      </c>
      <c r="D572" s="5" t="s">
        <v>2799</v>
      </c>
      <c r="E572" s="5" t="s">
        <v>2800</v>
      </c>
      <c r="F572" s="5" t="s">
        <v>2373</v>
      </c>
      <c r="G572" s="5" t="s">
        <v>2801</v>
      </c>
      <c r="H572" s="7">
        <v>39599</v>
      </c>
      <c r="I572" s="5" t="s">
        <v>5</v>
      </c>
    </row>
    <row r="573" spans="1:10" x14ac:dyDescent="0.25">
      <c r="A573" s="1" t="s">
        <v>2672</v>
      </c>
    </row>
    <row r="574" spans="1:10" x14ac:dyDescent="0.25">
      <c r="A574" t="s">
        <v>1</v>
      </c>
      <c r="B574" s="2">
        <v>1</v>
      </c>
      <c r="G574" s="13"/>
    </row>
    <row r="575" spans="1:10" x14ac:dyDescent="0.25">
      <c r="A575" s="14" t="s">
        <v>13</v>
      </c>
      <c r="B575" s="2">
        <v>2</v>
      </c>
    </row>
    <row r="576" spans="1:10" x14ac:dyDescent="0.25">
      <c r="A576" s="14" t="s">
        <v>14</v>
      </c>
      <c r="B576" s="2">
        <v>3</v>
      </c>
    </row>
    <row r="577" spans="1:12" x14ac:dyDescent="0.25">
      <c r="A577" t="s">
        <v>15</v>
      </c>
      <c r="B577" s="2">
        <v>4</v>
      </c>
      <c r="C577" s="9">
        <f>34000*G577</f>
        <v>680680</v>
      </c>
      <c r="D577" s="10" t="s">
        <v>2855</v>
      </c>
      <c r="E577" s="10" t="s">
        <v>2925</v>
      </c>
      <c r="F577" s="10" t="s">
        <v>1295</v>
      </c>
      <c r="G577" s="9">
        <v>20.02</v>
      </c>
      <c r="H577" s="10">
        <v>38.229999999999997</v>
      </c>
      <c r="I577" s="12">
        <v>43255</v>
      </c>
      <c r="J577" s="10" t="s">
        <v>5</v>
      </c>
    </row>
    <row r="578" spans="1:12" x14ac:dyDescent="0.25">
      <c r="A578" t="s">
        <v>15</v>
      </c>
      <c r="B578" s="2">
        <v>4</v>
      </c>
      <c r="C578" s="84">
        <f>34000*G578</f>
        <v>680680</v>
      </c>
      <c r="D578" s="106" t="s">
        <v>2856</v>
      </c>
      <c r="E578" s="106"/>
      <c r="F578" s="106" t="s">
        <v>1295</v>
      </c>
      <c r="G578" s="84">
        <v>20.02</v>
      </c>
      <c r="H578" s="106"/>
      <c r="I578" s="192">
        <v>43255</v>
      </c>
      <c r="J578" s="106" t="s">
        <v>5</v>
      </c>
      <c r="K578" t="s">
        <v>2951</v>
      </c>
    </row>
    <row r="579" spans="1:12" x14ac:dyDescent="0.25">
      <c r="A579" t="s">
        <v>15</v>
      </c>
      <c r="B579" s="2">
        <v>4</v>
      </c>
      <c r="C579" s="4">
        <f>26528.25*G579</f>
        <v>527514.25125000009</v>
      </c>
      <c r="D579" s="5" t="s">
        <v>2749</v>
      </c>
      <c r="E579" s="5" t="s">
        <v>2750</v>
      </c>
      <c r="F579" s="5" t="s">
        <v>2751</v>
      </c>
      <c r="G579" s="6">
        <v>19.885000000000002</v>
      </c>
      <c r="H579" s="5">
        <v>29.8</v>
      </c>
      <c r="I579" s="7">
        <v>43255</v>
      </c>
      <c r="J579" s="5" t="s">
        <v>5</v>
      </c>
    </row>
    <row r="580" spans="1:12" x14ac:dyDescent="0.25">
      <c r="A580" t="s">
        <v>15</v>
      </c>
      <c r="B580" s="2">
        <v>4</v>
      </c>
      <c r="C580" s="4">
        <f>692580+20880</f>
        <v>713460</v>
      </c>
      <c r="D580" s="5" t="s">
        <v>2778</v>
      </c>
      <c r="E580" s="5" t="s">
        <v>2705</v>
      </c>
      <c r="F580" s="5" t="s">
        <v>26</v>
      </c>
      <c r="G580" s="7">
        <v>43255</v>
      </c>
      <c r="H580" s="5" t="s">
        <v>27</v>
      </c>
    </row>
    <row r="581" spans="1:12" x14ac:dyDescent="0.25">
      <c r="A581" t="s">
        <v>15</v>
      </c>
      <c r="B581" s="2">
        <v>4</v>
      </c>
      <c r="C581" s="4">
        <f>236257.5+6681.6</f>
        <v>242939.1</v>
      </c>
      <c r="D581" s="5" t="s">
        <v>2779</v>
      </c>
      <c r="E581" s="5" t="s">
        <v>2706</v>
      </c>
      <c r="F581" s="5" t="s">
        <v>26</v>
      </c>
      <c r="G581" s="7">
        <v>43255</v>
      </c>
      <c r="H581" s="5" t="s">
        <v>27</v>
      </c>
    </row>
    <row r="582" spans="1:12" x14ac:dyDescent="0.25">
      <c r="A582" t="s">
        <v>15</v>
      </c>
      <c r="B582" s="2">
        <v>4</v>
      </c>
      <c r="C582" s="4">
        <f>529125+16704</f>
        <v>545829</v>
      </c>
      <c r="D582" s="5" t="s">
        <v>2780</v>
      </c>
      <c r="E582" s="5" t="s">
        <v>2707</v>
      </c>
      <c r="F582" s="5" t="s">
        <v>26</v>
      </c>
      <c r="G582" s="7">
        <v>43256</v>
      </c>
      <c r="H582" s="5" t="s">
        <v>27</v>
      </c>
    </row>
    <row r="583" spans="1:12" x14ac:dyDescent="0.25">
      <c r="A583" t="s">
        <v>15</v>
      </c>
      <c r="B583" s="2">
        <v>4</v>
      </c>
      <c r="C583" s="4">
        <f>622072.5+17789.76</f>
        <v>639862.26</v>
      </c>
      <c r="D583" s="5" t="s">
        <v>2781</v>
      </c>
      <c r="E583" s="5" t="s">
        <v>2782</v>
      </c>
      <c r="F583" s="5" t="s">
        <v>26</v>
      </c>
      <c r="G583" s="7">
        <v>43256</v>
      </c>
      <c r="H583" s="5" t="s">
        <v>27</v>
      </c>
    </row>
    <row r="584" spans="1:12" x14ac:dyDescent="0.25">
      <c r="A584" t="s">
        <v>15</v>
      </c>
      <c r="B584" s="2">
        <v>4</v>
      </c>
      <c r="C584" s="4">
        <f>95242.5+2839.68</f>
        <v>98082.18</v>
      </c>
      <c r="D584" s="5" t="s">
        <v>2784</v>
      </c>
      <c r="E584" s="5" t="s">
        <v>2783</v>
      </c>
      <c r="F584" s="5" t="s">
        <v>26</v>
      </c>
      <c r="G584" s="7">
        <v>43256</v>
      </c>
      <c r="H584" s="5" t="s">
        <v>27</v>
      </c>
      <c r="L584" t="s">
        <v>775</v>
      </c>
    </row>
    <row r="585" spans="1:12" x14ac:dyDescent="0.25">
      <c r="A585" t="s">
        <v>15</v>
      </c>
      <c r="B585" s="2">
        <v>4</v>
      </c>
      <c r="C585" s="4">
        <v>173775.92</v>
      </c>
      <c r="D585" s="5" t="s">
        <v>2823</v>
      </c>
      <c r="E585" s="5" t="s">
        <v>2876</v>
      </c>
      <c r="F585" s="5" t="s">
        <v>23</v>
      </c>
      <c r="G585" s="5">
        <v>18.8</v>
      </c>
      <c r="H585" s="7">
        <v>43257</v>
      </c>
      <c r="I585" s="5" t="s">
        <v>5</v>
      </c>
    </row>
    <row r="586" spans="1:12" x14ac:dyDescent="0.25">
      <c r="A586" t="s">
        <v>34</v>
      </c>
      <c r="B586" s="2">
        <v>5</v>
      </c>
      <c r="C586" s="9">
        <f>29654.65*G586</f>
        <v>604065.22050000005</v>
      </c>
      <c r="D586" s="10" t="s">
        <v>2854</v>
      </c>
      <c r="E586" s="10"/>
      <c r="F586" s="10" t="s">
        <v>2877</v>
      </c>
      <c r="G586" s="9">
        <v>20.37</v>
      </c>
      <c r="H586" s="10">
        <v>34.909999999999997</v>
      </c>
      <c r="I586" s="12">
        <v>43256</v>
      </c>
      <c r="J586" s="10" t="s">
        <v>5</v>
      </c>
    </row>
    <row r="587" spans="1:12" x14ac:dyDescent="0.25">
      <c r="A587" t="s">
        <v>34</v>
      </c>
      <c r="B587" s="2">
        <v>5</v>
      </c>
      <c r="C587" s="9">
        <f>32500*G587</f>
        <v>662350</v>
      </c>
      <c r="D587" s="10" t="s">
        <v>2753</v>
      </c>
      <c r="E587" s="10" t="s">
        <v>2926</v>
      </c>
      <c r="F587" s="10" t="s">
        <v>1870</v>
      </c>
      <c r="G587" s="9">
        <v>20.38</v>
      </c>
      <c r="H587" s="10">
        <v>39.53</v>
      </c>
      <c r="I587" s="12">
        <v>43256</v>
      </c>
      <c r="J587" s="10" t="s">
        <v>5</v>
      </c>
    </row>
    <row r="588" spans="1:12" x14ac:dyDescent="0.25">
      <c r="A588" t="s">
        <v>34</v>
      </c>
      <c r="B588" s="2">
        <v>5</v>
      </c>
      <c r="C588" s="4">
        <f>630360+16704-3151.8</f>
        <v>643912.19999999995</v>
      </c>
      <c r="D588" s="5" t="s">
        <v>2785</v>
      </c>
      <c r="E588" s="5" t="s">
        <v>2728</v>
      </c>
      <c r="F588" s="5" t="s">
        <v>26</v>
      </c>
      <c r="G588" s="143">
        <v>43258</v>
      </c>
      <c r="H588" s="5" t="s">
        <v>27</v>
      </c>
    </row>
    <row r="589" spans="1:12" x14ac:dyDescent="0.25">
      <c r="A589" t="s">
        <v>44</v>
      </c>
      <c r="B589" s="2">
        <v>6</v>
      </c>
      <c r="C589" s="4">
        <f>633165+19543.68</f>
        <v>652708.68000000005</v>
      </c>
      <c r="D589" s="5" t="s">
        <v>2786</v>
      </c>
      <c r="E589" s="5" t="s">
        <v>2787</v>
      </c>
      <c r="F589" s="5" t="s">
        <v>26</v>
      </c>
      <c r="G589" s="143">
        <v>43257</v>
      </c>
      <c r="H589" s="5" t="s">
        <v>27</v>
      </c>
    </row>
    <row r="590" spans="1:12" x14ac:dyDescent="0.25">
      <c r="A590" t="s">
        <v>44</v>
      </c>
      <c r="B590" s="2">
        <v>6</v>
      </c>
      <c r="C590" s="4">
        <f>646935+18040.32</f>
        <v>664975.31999999995</v>
      </c>
      <c r="D590" s="5" t="s">
        <v>2788</v>
      </c>
      <c r="E590" s="5" t="s">
        <v>2732</v>
      </c>
      <c r="F590" s="5" t="s">
        <v>26</v>
      </c>
      <c r="G590" s="143">
        <v>43258</v>
      </c>
      <c r="H590" s="5" t="s">
        <v>27</v>
      </c>
    </row>
    <row r="591" spans="1:12" x14ac:dyDescent="0.25">
      <c r="A591" t="s">
        <v>50</v>
      </c>
      <c r="B591" s="2">
        <v>7</v>
      </c>
      <c r="C591" s="9">
        <f>32000*G591</f>
        <v>650336</v>
      </c>
      <c r="D591" s="10" t="s">
        <v>2872</v>
      </c>
      <c r="E591" s="10" t="s">
        <v>3027</v>
      </c>
      <c r="F591" s="10" t="s">
        <v>99</v>
      </c>
      <c r="G591" s="11">
        <v>20.323</v>
      </c>
      <c r="H591" s="10">
        <v>38.11</v>
      </c>
      <c r="I591" s="12">
        <v>43350</v>
      </c>
      <c r="J591" s="10" t="s">
        <v>5</v>
      </c>
    </row>
    <row r="592" spans="1:12" x14ac:dyDescent="0.25">
      <c r="A592" t="s">
        <v>50</v>
      </c>
      <c r="B592" s="2">
        <v>7</v>
      </c>
      <c r="C592" s="4">
        <f>707752.5+20963.52</f>
        <v>728716.02</v>
      </c>
      <c r="D592" s="5" t="s">
        <v>2789</v>
      </c>
      <c r="E592" s="5" t="s">
        <v>2738</v>
      </c>
      <c r="F592" s="5" t="s">
        <v>26</v>
      </c>
      <c r="G592" s="7">
        <v>43262</v>
      </c>
      <c r="H592" s="5" t="s">
        <v>27</v>
      </c>
    </row>
    <row r="593" spans="1:14" x14ac:dyDescent="0.25">
      <c r="A593" t="s">
        <v>50</v>
      </c>
      <c r="B593" s="2">
        <v>7</v>
      </c>
      <c r="C593" s="4">
        <f>354832.5+10857.6</f>
        <v>365690.1</v>
      </c>
      <c r="D593" s="5" t="s">
        <v>2790</v>
      </c>
      <c r="E593" s="5" t="s">
        <v>2737</v>
      </c>
      <c r="F593" s="5" t="s">
        <v>26</v>
      </c>
      <c r="G593" s="7">
        <v>43262</v>
      </c>
      <c r="H593" s="5" t="s">
        <v>27</v>
      </c>
    </row>
    <row r="594" spans="1:14" x14ac:dyDescent="0.25">
      <c r="A594" t="s">
        <v>1</v>
      </c>
      <c r="B594" s="2">
        <v>8</v>
      </c>
      <c r="C594" s="4">
        <f>(26457.62-1950)*G594</f>
        <v>501916.0576</v>
      </c>
      <c r="D594" s="5" t="s">
        <v>2767</v>
      </c>
      <c r="E594" s="5" t="s">
        <v>2768</v>
      </c>
      <c r="F594" s="5" t="s">
        <v>2770</v>
      </c>
      <c r="G594" s="4">
        <v>20.48</v>
      </c>
      <c r="H594" s="5">
        <v>31.98</v>
      </c>
      <c r="I594" s="7">
        <v>43259</v>
      </c>
      <c r="J594" s="5" t="s">
        <v>5</v>
      </c>
      <c r="K594" s="15" t="s">
        <v>2769</v>
      </c>
      <c r="L594" s="15"/>
      <c r="M594" s="15"/>
      <c r="N594" s="15"/>
    </row>
    <row r="595" spans="1:14" x14ac:dyDescent="0.25">
      <c r="A595" t="s">
        <v>1</v>
      </c>
      <c r="B595" s="2">
        <v>8</v>
      </c>
      <c r="C595" s="4">
        <f>27943.56*G595</f>
        <v>572284.10880000005</v>
      </c>
      <c r="D595" s="5" t="s">
        <v>2771</v>
      </c>
      <c r="E595" s="5" t="s">
        <v>2772</v>
      </c>
      <c r="F595" s="5" t="s">
        <v>2773</v>
      </c>
      <c r="G595" s="4">
        <v>20.48</v>
      </c>
      <c r="H595" s="5">
        <v>32.07</v>
      </c>
      <c r="I595" s="7">
        <v>43259</v>
      </c>
      <c r="J595" s="5" t="s">
        <v>5</v>
      </c>
    </row>
    <row r="596" spans="1:14" x14ac:dyDescent="0.25">
      <c r="A596" t="s">
        <v>1</v>
      </c>
      <c r="B596" s="2">
        <v>8</v>
      </c>
      <c r="C596" s="4">
        <v>356309.8</v>
      </c>
      <c r="D596" s="5" t="s">
        <v>2826</v>
      </c>
      <c r="E596" s="5" t="s">
        <v>2825</v>
      </c>
      <c r="F596" s="5" t="s">
        <v>1345</v>
      </c>
      <c r="G596" s="4">
        <v>38.5</v>
      </c>
      <c r="H596" s="7">
        <v>43259</v>
      </c>
      <c r="I596" s="5" t="s">
        <v>5</v>
      </c>
    </row>
    <row r="597" spans="1:14" x14ac:dyDescent="0.25">
      <c r="A597" t="s">
        <v>1</v>
      </c>
      <c r="B597" s="2">
        <v>8</v>
      </c>
      <c r="C597" s="4">
        <v>293353</v>
      </c>
      <c r="D597" s="5" t="s">
        <v>2826</v>
      </c>
      <c r="E597" s="5" t="s">
        <v>2828</v>
      </c>
      <c r="F597" s="5" t="s">
        <v>2827</v>
      </c>
      <c r="G597" s="4">
        <v>31</v>
      </c>
      <c r="H597" s="7">
        <v>43263</v>
      </c>
      <c r="I597" s="5" t="s">
        <v>5</v>
      </c>
    </row>
    <row r="598" spans="1:14" x14ac:dyDescent="0.25">
      <c r="A598" s="14" t="s">
        <v>13</v>
      </c>
      <c r="B598" s="2">
        <v>9</v>
      </c>
    </row>
    <row r="599" spans="1:14" x14ac:dyDescent="0.25">
      <c r="A599" s="14" t="s">
        <v>14</v>
      </c>
      <c r="B599" s="2">
        <v>10</v>
      </c>
    </row>
    <row r="600" spans="1:14" x14ac:dyDescent="0.25">
      <c r="A600" t="s">
        <v>15</v>
      </c>
      <c r="B600" s="2">
        <v>11</v>
      </c>
      <c r="C600" s="9">
        <f>31000*G600</f>
        <v>635469</v>
      </c>
      <c r="D600" s="10" t="s">
        <v>2873</v>
      </c>
      <c r="E600" s="10" t="s">
        <v>3026</v>
      </c>
      <c r="F600" s="10" t="s">
        <v>1860</v>
      </c>
      <c r="G600" s="11">
        <v>20.498999999999999</v>
      </c>
      <c r="H600" s="10">
        <v>38.69</v>
      </c>
      <c r="I600" s="12">
        <v>43262</v>
      </c>
      <c r="J600" s="10" t="s">
        <v>5</v>
      </c>
    </row>
    <row r="601" spans="1:14" x14ac:dyDescent="0.25">
      <c r="A601" t="s">
        <v>15</v>
      </c>
      <c r="B601" s="2">
        <v>11</v>
      </c>
      <c r="C601" s="84">
        <f>34000*G601</f>
        <v>680680</v>
      </c>
      <c r="D601" s="106" t="s">
        <v>2875</v>
      </c>
      <c r="E601" s="106"/>
      <c r="F601" s="106" t="s">
        <v>1295</v>
      </c>
      <c r="G601" s="84">
        <v>20.02</v>
      </c>
      <c r="H601" s="106"/>
      <c r="I601" s="192">
        <v>43255</v>
      </c>
      <c r="J601" s="106" t="s">
        <v>5</v>
      </c>
      <c r="K601" t="s">
        <v>384</v>
      </c>
    </row>
    <row r="602" spans="1:14" x14ac:dyDescent="0.25">
      <c r="A602" t="s">
        <v>15</v>
      </c>
      <c r="B602" s="2">
        <v>11</v>
      </c>
      <c r="C602" s="9">
        <f t="shared" ref="C602" si="0">34000*G602</f>
        <v>680680</v>
      </c>
      <c r="D602" s="10" t="s">
        <v>2874</v>
      </c>
      <c r="E602" s="10" t="s">
        <v>3028</v>
      </c>
      <c r="F602" s="10" t="s">
        <v>1295</v>
      </c>
      <c r="G602" s="9">
        <v>20.02</v>
      </c>
      <c r="H602" s="10">
        <v>37.44</v>
      </c>
      <c r="I602" s="12">
        <v>43255</v>
      </c>
      <c r="J602" s="10" t="s">
        <v>5</v>
      </c>
    </row>
    <row r="603" spans="1:14" x14ac:dyDescent="0.25">
      <c r="A603" t="s">
        <v>15</v>
      </c>
      <c r="B603" s="2">
        <v>11</v>
      </c>
      <c r="C603" s="4">
        <f>586245+16704</f>
        <v>602949</v>
      </c>
      <c r="D603" s="5" t="s">
        <v>2791</v>
      </c>
      <c r="E603" s="5" t="s">
        <v>2739</v>
      </c>
      <c r="F603" s="5" t="s">
        <v>26</v>
      </c>
      <c r="G603" s="7">
        <v>43263</v>
      </c>
      <c r="H603" s="5" t="s">
        <v>27</v>
      </c>
    </row>
    <row r="604" spans="1:14" x14ac:dyDescent="0.25">
      <c r="A604" t="s">
        <v>15</v>
      </c>
      <c r="B604" s="2">
        <v>11</v>
      </c>
      <c r="C604" s="4">
        <f>358530+10774.08</f>
        <v>369304.08</v>
      </c>
      <c r="D604" s="5" t="s">
        <v>2792</v>
      </c>
      <c r="E604" s="5" t="s">
        <v>2740</v>
      </c>
      <c r="F604" s="5" t="s">
        <v>26</v>
      </c>
      <c r="G604" s="7">
        <v>43263</v>
      </c>
      <c r="H604" s="5" t="s">
        <v>27</v>
      </c>
    </row>
    <row r="605" spans="1:14" x14ac:dyDescent="0.25">
      <c r="A605" t="s">
        <v>15</v>
      </c>
      <c r="B605" s="2">
        <v>11</v>
      </c>
      <c r="C605" s="4">
        <f>654585+20712.96</f>
        <v>675297.96</v>
      </c>
      <c r="D605" s="5" t="s">
        <v>2793</v>
      </c>
      <c r="E605" s="5" t="s">
        <v>2755</v>
      </c>
      <c r="F605" s="5" t="s">
        <v>26</v>
      </c>
      <c r="G605" s="7">
        <v>43263</v>
      </c>
      <c r="H605" s="5" t="s">
        <v>27</v>
      </c>
    </row>
    <row r="606" spans="1:14" x14ac:dyDescent="0.25">
      <c r="A606" t="s">
        <v>15</v>
      </c>
      <c r="B606" s="2">
        <v>11</v>
      </c>
      <c r="C606" s="4">
        <f>692325+20880</f>
        <v>713205</v>
      </c>
      <c r="D606" s="5" t="s">
        <v>2794</v>
      </c>
      <c r="E606" s="5" t="s">
        <v>2759</v>
      </c>
      <c r="F606" s="5" t="s">
        <v>26</v>
      </c>
      <c r="G606" s="7">
        <v>43264</v>
      </c>
      <c r="H606" s="5" t="s">
        <v>27</v>
      </c>
    </row>
    <row r="607" spans="1:14" x14ac:dyDescent="0.25">
      <c r="A607" t="s">
        <v>34</v>
      </c>
      <c r="B607" s="2">
        <v>12</v>
      </c>
      <c r="C607" s="4">
        <f>687352.5+20712.96</f>
        <v>708065.46</v>
      </c>
      <c r="D607" s="5" t="s">
        <v>2796</v>
      </c>
      <c r="E607" s="5" t="s">
        <v>2795</v>
      </c>
      <c r="F607" s="5" t="s">
        <v>26</v>
      </c>
      <c r="G607" s="7">
        <v>43265</v>
      </c>
      <c r="H607" s="5" t="s">
        <v>27</v>
      </c>
    </row>
    <row r="608" spans="1:14" x14ac:dyDescent="0.25">
      <c r="A608" t="s">
        <v>34</v>
      </c>
      <c r="B608" s="2">
        <v>12</v>
      </c>
      <c r="C608" s="4">
        <v>509586</v>
      </c>
      <c r="D608" s="5" t="s">
        <v>2968</v>
      </c>
      <c r="E608" s="5" t="s">
        <v>2969</v>
      </c>
      <c r="F608" s="5" t="s">
        <v>2203</v>
      </c>
      <c r="G608" s="5" t="s">
        <v>2970</v>
      </c>
      <c r="H608" s="5" t="s">
        <v>5</v>
      </c>
    </row>
    <row r="609" spans="1:10" x14ac:dyDescent="0.25">
      <c r="A609" t="s">
        <v>34</v>
      </c>
      <c r="B609" s="2">
        <v>12</v>
      </c>
      <c r="C609" s="4">
        <v>216845</v>
      </c>
      <c r="D609" s="5" t="s">
        <v>2985</v>
      </c>
      <c r="E609" s="5" t="s">
        <v>2986</v>
      </c>
      <c r="F609" s="5" t="s">
        <v>2827</v>
      </c>
      <c r="G609" s="5">
        <v>31</v>
      </c>
      <c r="H609" s="7">
        <v>43266</v>
      </c>
      <c r="I609" s="5" t="s">
        <v>5</v>
      </c>
    </row>
    <row r="610" spans="1:10" x14ac:dyDescent="0.25">
      <c r="A610" t="s">
        <v>44</v>
      </c>
      <c r="B610" s="2">
        <v>13</v>
      </c>
      <c r="C610" s="4">
        <v>677315.34</v>
      </c>
      <c r="D610" s="5" t="s">
        <v>2943</v>
      </c>
      <c r="E610" s="5" t="s">
        <v>2997</v>
      </c>
      <c r="F610" s="5" t="s">
        <v>2998</v>
      </c>
      <c r="G610" s="5">
        <v>38.64</v>
      </c>
      <c r="H610" s="7">
        <v>43276</v>
      </c>
      <c r="I610" s="5" t="s">
        <v>5</v>
      </c>
    </row>
    <row r="611" spans="1:10" x14ac:dyDescent="0.25">
      <c r="A611" t="s">
        <v>44</v>
      </c>
      <c r="B611" s="2">
        <v>13</v>
      </c>
      <c r="C611" s="4">
        <v>70389.149999999994</v>
      </c>
      <c r="D611" s="5" t="s">
        <v>3118</v>
      </c>
      <c r="E611" s="5" t="s">
        <v>3124</v>
      </c>
      <c r="F611" s="5" t="s">
        <v>23</v>
      </c>
      <c r="G611" s="5">
        <v>19.5</v>
      </c>
      <c r="H611" s="7">
        <v>43276</v>
      </c>
      <c r="I611" s="5" t="s">
        <v>5</v>
      </c>
    </row>
    <row r="612" spans="1:10" x14ac:dyDescent="0.25">
      <c r="A612" t="s">
        <v>44</v>
      </c>
      <c r="B612" s="2">
        <v>13</v>
      </c>
      <c r="C612" s="4">
        <f>708135+20796.48</f>
        <v>728931.48</v>
      </c>
      <c r="D612" s="5" t="s">
        <v>2811</v>
      </c>
      <c r="E612" s="5" t="s">
        <v>2808</v>
      </c>
      <c r="F612" s="5" t="s">
        <v>26</v>
      </c>
      <c r="G612" s="7">
        <v>43266</v>
      </c>
      <c r="H612" s="5" t="s">
        <v>27</v>
      </c>
    </row>
    <row r="613" spans="1:10" x14ac:dyDescent="0.25">
      <c r="A613" t="s">
        <v>44</v>
      </c>
      <c r="B613" s="2">
        <v>13</v>
      </c>
      <c r="C613" s="4">
        <f>358275+10857.6</f>
        <v>369132.6</v>
      </c>
      <c r="D613" s="5" t="s">
        <v>2812</v>
      </c>
      <c r="E613" s="5" t="s">
        <v>2809</v>
      </c>
      <c r="F613" s="5" t="s">
        <v>26</v>
      </c>
      <c r="G613" s="7">
        <v>43265</v>
      </c>
      <c r="H613" s="5" t="s">
        <v>27</v>
      </c>
    </row>
    <row r="614" spans="1:10" x14ac:dyDescent="0.25">
      <c r="A614" t="s">
        <v>50</v>
      </c>
      <c r="B614" s="2">
        <v>14</v>
      </c>
      <c r="C614" s="9">
        <f>31000*G614</f>
        <v>642599</v>
      </c>
      <c r="D614" s="10" t="s">
        <v>2938</v>
      </c>
      <c r="E614" s="10" t="s">
        <v>3092</v>
      </c>
      <c r="F614" s="10" t="s">
        <v>1860</v>
      </c>
      <c r="G614" s="11">
        <v>20.728999999999999</v>
      </c>
      <c r="H614" s="10">
        <v>39.1</v>
      </c>
      <c r="I614" s="12">
        <v>43265</v>
      </c>
      <c r="J614" s="10" t="s">
        <v>5</v>
      </c>
    </row>
    <row r="615" spans="1:10" x14ac:dyDescent="0.25">
      <c r="A615" t="s">
        <v>50</v>
      </c>
      <c r="B615" s="2">
        <v>14</v>
      </c>
      <c r="C615" s="4">
        <f>686715+20880</f>
        <v>707595</v>
      </c>
      <c r="D615" s="5" t="s">
        <v>2834</v>
      </c>
      <c r="E615" s="5" t="s">
        <v>2830</v>
      </c>
      <c r="F615" s="5" t="s">
        <v>26</v>
      </c>
      <c r="G615" s="7">
        <v>43269</v>
      </c>
      <c r="H615" s="5" t="s">
        <v>27</v>
      </c>
    </row>
    <row r="616" spans="1:10" x14ac:dyDescent="0.25">
      <c r="A616" t="s">
        <v>50</v>
      </c>
      <c r="B616" s="2">
        <v>14</v>
      </c>
      <c r="C616" s="4">
        <f>350625+10857.6</f>
        <v>361482.6</v>
      </c>
      <c r="D616" s="5" t="s">
        <v>2835</v>
      </c>
      <c r="E616" s="5" t="s">
        <v>2831</v>
      </c>
      <c r="F616" s="5" t="s">
        <v>26</v>
      </c>
      <c r="G616" s="7">
        <v>43266</v>
      </c>
      <c r="H616" s="5" t="s">
        <v>27</v>
      </c>
    </row>
    <row r="617" spans="1:10" x14ac:dyDescent="0.25">
      <c r="A617" t="s">
        <v>1</v>
      </c>
      <c r="B617" s="2">
        <v>15</v>
      </c>
      <c r="C617" s="4">
        <f>30989.24*G617</f>
        <v>641632.21419999993</v>
      </c>
      <c r="D617" s="5" t="s">
        <v>2932</v>
      </c>
      <c r="E617" s="5" t="s">
        <v>2933</v>
      </c>
      <c r="F617" s="5" t="s">
        <v>2934</v>
      </c>
      <c r="G617" s="6">
        <v>20.704999999999998</v>
      </c>
      <c r="H617" s="5">
        <v>36.33</v>
      </c>
      <c r="I617" s="7">
        <v>43264</v>
      </c>
      <c r="J617" s="5" t="s">
        <v>5</v>
      </c>
    </row>
    <row r="618" spans="1:10" x14ac:dyDescent="0.25">
      <c r="A618" t="s">
        <v>1</v>
      </c>
      <c r="B618" s="2">
        <v>15</v>
      </c>
      <c r="C618" s="9">
        <f>30000*G618</f>
        <v>614970</v>
      </c>
      <c r="D618" s="10" t="s">
        <v>2940</v>
      </c>
      <c r="E618" s="10" t="s">
        <v>3091</v>
      </c>
      <c r="F618" s="10" t="s">
        <v>41</v>
      </c>
      <c r="G618" s="11">
        <v>20.498999999999999</v>
      </c>
      <c r="H618" s="10">
        <v>38.090000000000003</v>
      </c>
      <c r="I618" s="12">
        <v>43262</v>
      </c>
      <c r="J618" s="10" t="s">
        <v>5</v>
      </c>
    </row>
    <row r="619" spans="1:10" x14ac:dyDescent="0.25">
      <c r="A619" t="s">
        <v>1</v>
      </c>
      <c r="B619" s="2">
        <v>15</v>
      </c>
      <c r="C619" s="4">
        <f>30737.67*G619</f>
        <v>635962.39229999995</v>
      </c>
      <c r="D619" s="5" t="s">
        <v>2935</v>
      </c>
      <c r="E619" s="5" t="s">
        <v>2936</v>
      </c>
      <c r="F619" s="5" t="s">
        <v>2937</v>
      </c>
      <c r="G619" s="6">
        <v>20.69</v>
      </c>
      <c r="H619" s="5">
        <v>38.770000000000003</v>
      </c>
      <c r="I619" s="7">
        <v>43266</v>
      </c>
      <c r="J619" s="5" t="s">
        <v>5</v>
      </c>
    </row>
    <row r="620" spans="1:10" x14ac:dyDescent="0.25">
      <c r="A620" t="s">
        <v>1</v>
      </c>
      <c r="B620" s="2">
        <v>15</v>
      </c>
      <c r="C620" s="4">
        <v>391530</v>
      </c>
      <c r="D620" s="5" t="s">
        <v>2981</v>
      </c>
      <c r="E620" s="5" t="s">
        <v>2982</v>
      </c>
      <c r="F620" s="5" t="s">
        <v>2983</v>
      </c>
      <c r="G620" s="6">
        <v>93.4</v>
      </c>
      <c r="H620" s="7">
        <v>43265</v>
      </c>
      <c r="I620" s="5" t="s">
        <v>5</v>
      </c>
    </row>
    <row r="621" spans="1:10" x14ac:dyDescent="0.25">
      <c r="A621" t="s">
        <v>1</v>
      </c>
      <c r="B621" s="2">
        <v>15</v>
      </c>
      <c r="C621" s="4">
        <v>147776.54999999999</v>
      </c>
      <c r="D621" s="5" t="s">
        <v>2987</v>
      </c>
      <c r="E621" s="5" t="s">
        <v>2988</v>
      </c>
      <c r="F621" s="5" t="s">
        <v>2989</v>
      </c>
      <c r="G621" s="6">
        <v>35.75</v>
      </c>
      <c r="H621" s="7">
        <v>43265</v>
      </c>
      <c r="I621" s="5" t="s">
        <v>5</v>
      </c>
    </row>
    <row r="622" spans="1:10" x14ac:dyDescent="0.25">
      <c r="A622" t="s">
        <v>1</v>
      </c>
      <c r="B622" s="2">
        <v>15</v>
      </c>
      <c r="C622" s="4">
        <v>838800</v>
      </c>
      <c r="D622" s="5" t="s">
        <v>2991</v>
      </c>
      <c r="E622" s="5" t="s">
        <v>2990</v>
      </c>
      <c r="F622" s="5" t="s">
        <v>1573</v>
      </c>
      <c r="G622" s="6">
        <v>90</v>
      </c>
      <c r="H622" s="7">
        <v>43269</v>
      </c>
      <c r="I622" s="5" t="s">
        <v>5</v>
      </c>
    </row>
    <row r="623" spans="1:10" x14ac:dyDescent="0.25">
      <c r="A623" s="14" t="s">
        <v>13</v>
      </c>
      <c r="B623" s="2">
        <v>16</v>
      </c>
    </row>
    <row r="624" spans="1:10" x14ac:dyDescent="0.25">
      <c r="A624" s="14" t="s">
        <v>14</v>
      </c>
      <c r="B624" s="2">
        <v>17</v>
      </c>
    </row>
    <row r="625" spans="1:10" x14ac:dyDescent="0.25">
      <c r="A625" t="s">
        <v>15</v>
      </c>
      <c r="B625" s="2">
        <v>18</v>
      </c>
      <c r="C625" s="9">
        <f>30000*G625</f>
        <v>620670</v>
      </c>
      <c r="D625" s="10" t="s">
        <v>2939</v>
      </c>
      <c r="E625" s="10" t="s">
        <v>3089</v>
      </c>
      <c r="F625" s="10" t="s">
        <v>41</v>
      </c>
      <c r="G625" s="11">
        <v>20.689</v>
      </c>
      <c r="H625" s="10">
        <v>38.42</v>
      </c>
      <c r="I625" s="12">
        <v>43269</v>
      </c>
      <c r="J625" s="10" t="s">
        <v>5</v>
      </c>
    </row>
    <row r="626" spans="1:10" x14ac:dyDescent="0.25">
      <c r="A626" t="s">
        <v>15</v>
      </c>
      <c r="B626" s="2">
        <v>18</v>
      </c>
      <c r="C626" s="9">
        <f>29000*G626</f>
        <v>597284</v>
      </c>
      <c r="D626" s="10" t="s">
        <v>2941</v>
      </c>
      <c r="E626" s="10" t="s">
        <v>3090</v>
      </c>
      <c r="F626" s="10" t="s">
        <v>2287</v>
      </c>
      <c r="G626" s="11">
        <v>20.596</v>
      </c>
      <c r="H626" s="10">
        <v>37.83</v>
      </c>
      <c r="I626" s="12">
        <v>43269</v>
      </c>
      <c r="J626" s="10" t="s">
        <v>5</v>
      </c>
    </row>
    <row r="627" spans="1:10" x14ac:dyDescent="0.25">
      <c r="A627" t="s">
        <v>15</v>
      </c>
      <c r="B627" s="2">
        <v>18</v>
      </c>
      <c r="C627" s="4">
        <f>699660+20880</f>
        <v>720540</v>
      </c>
      <c r="D627" s="5" t="s">
        <v>3009</v>
      </c>
      <c r="E627" s="5" t="s">
        <v>3010</v>
      </c>
      <c r="F627" s="5" t="s">
        <v>26</v>
      </c>
      <c r="G627" s="7">
        <v>43269</v>
      </c>
      <c r="H627" s="5" t="s">
        <v>27</v>
      </c>
    </row>
    <row r="628" spans="1:10" x14ac:dyDescent="0.25">
      <c r="A628" t="s">
        <v>15</v>
      </c>
      <c r="B628" s="2">
        <v>18</v>
      </c>
      <c r="C628" s="4">
        <f>30030+835.2</f>
        <v>30865.200000000001</v>
      </c>
      <c r="D628" s="5" t="s">
        <v>3011</v>
      </c>
      <c r="E628" s="5" t="s">
        <v>3012</v>
      </c>
      <c r="F628" s="5" t="s">
        <v>26</v>
      </c>
      <c r="G628" s="7">
        <v>43269</v>
      </c>
      <c r="H628" s="5" t="s">
        <v>27</v>
      </c>
    </row>
    <row r="629" spans="1:10" x14ac:dyDescent="0.25">
      <c r="A629" t="s">
        <v>15</v>
      </c>
      <c r="B629" s="2">
        <v>18</v>
      </c>
      <c r="C629" s="4">
        <v>763350</v>
      </c>
      <c r="D629" s="5" t="s">
        <v>3023</v>
      </c>
      <c r="E629" s="5" t="s">
        <v>3022</v>
      </c>
      <c r="F629" s="5" t="s">
        <v>1468</v>
      </c>
      <c r="G629" s="7">
        <v>43270</v>
      </c>
      <c r="H629" s="5" t="s">
        <v>27</v>
      </c>
    </row>
    <row r="630" spans="1:10" x14ac:dyDescent="0.25">
      <c r="A630" t="s">
        <v>15</v>
      </c>
      <c r="B630" s="2">
        <v>18</v>
      </c>
      <c r="C630" s="4">
        <f>607360+16620.48-3042</f>
        <v>620938.48</v>
      </c>
      <c r="D630" s="5" t="s">
        <v>3013</v>
      </c>
      <c r="E630" s="5" t="s">
        <v>3014</v>
      </c>
      <c r="F630" s="5" t="s">
        <v>26</v>
      </c>
      <c r="G630" s="7">
        <v>43271</v>
      </c>
      <c r="H630" s="5" t="s">
        <v>27</v>
      </c>
    </row>
    <row r="631" spans="1:10" x14ac:dyDescent="0.25">
      <c r="A631" t="s">
        <v>15</v>
      </c>
      <c r="B631" s="2">
        <v>18</v>
      </c>
      <c r="C631" s="4">
        <f>537420+16704</f>
        <v>554124</v>
      </c>
      <c r="D631" s="5" t="s">
        <v>3015</v>
      </c>
      <c r="E631" s="5" t="s">
        <v>3016</v>
      </c>
      <c r="F631" s="5" t="s">
        <v>26</v>
      </c>
      <c r="G631" s="7">
        <v>43271</v>
      </c>
      <c r="H631" s="5" t="s">
        <v>27</v>
      </c>
    </row>
    <row r="632" spans="1:10" x14ac:dyDescent="0.25">
      <c r="A632" t="s">
        <v>15</v>
      </c>
      <c r="B632" s="2">
        <v>18</v>
      </c>
      <c r="C632" s="4">
        <v>71370</v>
      </c>
      <c r="D632" s="5" t="s">
        <v>3121</v>
      </c>
      <c r="E632" s="5" t="s">
        <v>3120</v>
      </c>
      <c r="F632" s="5" t="s">
        <v>23</v>
      </c>
      <c r="G632" s="5">
        <v>19.5</v>
      </c>
      <c r="H632" s="7">
        <v>43276</v>
      </c>
      <c r="I632" s="5" t="s">
        <v>5</v>
      </c>
    </row>
    <row r="633" spans="1:10" x14ac:dyDescent="0.25">
      <c r="A633" t="s">
        <v>34</v>
      </c>
      <c r="B633" s="2">
        <v>19</v>
      </c>
      <c r="C633" s="9">
        <f>30732.65*G633</f>
        <v>633031.12470000004</v>
      </c>
      <c r="D633" s="10" t="s">
        <v>2942</v>
      </c>
      <c r="E633" s="10" t="s">
        <v>3072</v>
      </c>
      <c r="F633" s="10" t="s">
        <v>3053</v>
      </c>
      <c r="G633" s="11">
        <v>20.597999999999999</v>
      </c>
      <c r="H633" s="10">
        <v>38.340000000000003</v>
      </c>
      <c r="I633" s="12">
        <v>43270</v>
      </c>
      <c r="J633" s="10" t="s">
        <v>5</v>
      </c>
    </row>
    <row r="634" spans="1:10" x14ac:dyDescent="0.25">
      <c r="A634" t="s">
        <v>34</v>
      </c>
      <c r="B634" s="2">
        <v>19</v>
      </c>
      <c r="C634" s="4">
        <f>691120+20880</f>
        <v>712000</v>
      </c>
      <c r="D634" s="5" t="s">
        <v>3017</v>
      </c>
      <c r="E634" s="5" t="s">
        <v>3018</v>
      </c>
      <c r="F634" s="5" t="s">
        <v>26</v>
      </c>
      <c r="G634" s="7">
        <v>43272</v>
      </c>
      <c r="H634" s="5" t="s">
        <v>27</v>
      </c>
    </row>
    <row r="635" spans="1:10" x14ac:dyDescent="0.25">
      <c r="A635" t="s">
        <v>34</v>
      </c>
      <c r="B635" s="2">
        <v>19</v>
      </c>
      <c r="C635" s="4">
        <f>25970+835.2</f>
        <v>26805.200000000001</v>
      </c>
      <c r="D635" s="5" t="s">
        <v>3020</v>
      </c>
      <c r="E635" s="5" t="s">
        <v>3019</v>
      </c>
      <c r="F635" s="5" t="s">
        <v>26</v>
      </c>
      <c r="G635" s="7">
        <v>43272</v>
      </c>
      <c r="H635" s="5" t="s">
        <v>27</v>
      </c>
    </row>
    <row r="636" spans="1:10" x14ac:dyDescent="0.25">
      <c r="A636" t="s">
        <v>34</v>
      </c>
      <c r="B636" s="2">
        <v>19</v>
      </c>
      <c r="C636" s="4">
        <v>85260</v>
      </c>
      <c r="D636" s="5" t="s">
        <v>3114</v>
      </c>
      <c r="E636" s="5" t="s">
        <v>3112</v>
      </c>
      <c r="F636" s="5" t="s">
        <v>3115</v>
      </c>
      <c r="G636" s="6">
        <v>49</v>
      </c>
      <c r="H636" s="7">
        <v>43270</v>
      </c>
      <c r="I636" s="5" t="s">
        <v>5</v>
      </c>
    </row>
    <row r="637" spans="1:10" x14ac:dyDescent="0.25">
      <c r="A637" t="s">
        <v>44</v>
      </c>
      <c r="B637" s="2">
        <v>20</v>
      </c>
      <c r="C637" s="4">
        <v>56187.040000000001</v>
      </c>
      <c r="D637" s="5" t="s">
        <v>3117</v>
      </c>
      <c r="E637" s="5" t="s">
        <v>3113</v>
      </c>
      <c r="F637" s="5" t="s">
        <v>3116</v>
      </c>
      <c r="G637" s="6">
        <v>56</v>
      </c>
      <c r="H637" s="7">
        <v>43271</v>
      </c>
      <c r="I637" s="5" t="s">
        <v>5</v>
      </c>
    </row>
    <row r="638" spans="1:10" x14ac:dyDescent="0.25">
      <c r="A638" t="s">
        <v>44</v>
      </c>
      <c r="B638" s="2">
        <v>20</v>
      </c>
      <c r="C638" s="9">
        <f>30889.52*G638</f>
        <v>636509.44912</v>
      </c>
      <c r="D638" s="10" t="s">
        <v>2944</v>
      </c>
      <c r="E638" s="10" t="s">
        <v>3071</v>
      </c>
      <c r="F638" s="10" t="s">
        <v>3052</v>
      </c>
      <c r="G638" s="11">
        <v>20.606000000000002</v>
      </c>
      <c r="H638" s="10">
        <v>38.340000000000003</v>
      </c>
      <c r="I638" s="12">
        <v>43271</v>
      </c>
      <c r="J638" s="10" t="s">
        <v>5</v>
      </c>
    </row>
    <row r="639" spans="1:10" x14ac:dyDescent="0.25">
      <c r="A639" t="s">
        <v>44</v>
      </c>
      <c r="B639" s="2">
        <v>20</v>
      </c>
      <c r="C639" s="4">
        <f>734182.5+20796.48</f>
        <v>754978.98</v>
      </c>
      <c r="D639" s="5" t="s">
        <v>3021</v>
      </c>
      <c r="E639" s="5" t="s">
        <v>2912</v>
      </c>
      <c r="F639" s="5" t="s">
        <v>26</v>
      </c>
      <c r="G639" s="7">
        <v>43276</v>
      </c>
      <c r="H639" s="5" t="s">
        <v>27</v>
      </c>
    </row>
    <row r="640" spans="1:10" x14ac:dyDescent="0.25">
      <c r="A640" t="s">
        <v>44</v>
      </c>
      <c r="B640" s="2">
        <v>20</v>
      </c>
      <c r="C640" s="4">
        <f>409425+10941.12</f>
        <v>420366.12</v>
      </c>
      <c r="D640" s="5" t="s">
        <v>3035</v>
      </c>
      <c r="E640" s="5" t="s">
        <v>2913</v>
      </c>
      <c r="F640" s="5" t="s">
        <v>26</v>
      </c>
      <c r="G640" s="7">
        <v>43272</v>
      </c>
      <c r="H640" s="5" t="s">
        <v>27</v>
      </c>
    </row>
    <row r="641" spans="1:11" x14ac:dyDescent="0.25">
      <c r="A641" t="s">
        <v>50</v>
      </c>
      <c r="B641" s="2">
        <v>21</v>
      </c>
      <c r="C641" s="184">
        <f>30000*G641</f>
        <v>615900</v>
      </c>
      <c r="D641" s="185" t="s">
        <v>2992</v>
      </c>
      <c r="E641" s="205"/>
      <c r="F641" s="185" t="s">
        <v>41</v>
      </c>
      <c r="G641" s="11">
        <v>20.53</v>
      </c>
      <c r="H641" s="185"/>
      <c r="I641" s="186">
        <v>43272</v>
      </c>
      <c r="J641" s="10" t="s">
        <v>5</v>
      </c>
    </row>
    <row r="642" spans="1:11" x14ac:dyDescent="0.25">
      <c r="A642" t="s">
        <v>50</v>
      </c>
      <c r="B642" s="2">
        <v>21</v>
      </c>
      <c r="C642" s="187">
        <f>739880+20880</f>
        <v>760760</v>
      </c>
      <c r="D642" s="188" t="s">
        <v>3024</v>
      </c>
      <c r="E642" s="188" t="s">
        <v>2920</v>
      </c>
      <c r="F642" s="188" t="s">
        <v>26</v>
      </c>
      <c r="G642" s="7">
        <v>43276</v>
      </c>
      <c r="H642" s="5" t="s">
        <v>27</v>
      </c>
      <c r="I642" s="35"/>
      <c r="J642" s="35"/>
      <c r="K642" s="35"/>
    </row>
    <row r="643" spans="1:11" x14ac:dyDescent="0.25">
      <c r="A643" t="s">
        <v>50</v>
      </c>
      <c r="B643" s="2">
        <v>21</v>
      </c>
      <c r="C643" s="187">
        <f>330455+10857.6-2544</f>
        <v>338768.6</v>
      </c>
      <c r="D643" s="188" t="s">
        <v>3025</v>
      </c>
      <c r="E643" s="188" t="s">
        <v>2921</v>
      </c>
      <c r="F643" s="188" t="s">
        <v>26</v>
      </c>
      <c r="G643" s="7">
        <v>43276</v>
      </c>
      <c r="H643" s="5" t="s">
        <v>27</v>
      </c>
      <c r="I643" s="35"/>
      <c r="J643" s="35"/>
      <c r="K643" s="35"/>
    </row>
    <row r="644" spans="1:11" x14ac:dyDescent="0.25">
      <c r="A644" t="s">
        <v>50</v>
      </c>
      <c r="B644" s="2">
        <v>21</v>
      </c>
      <c r="C644" s="4">
        <v>70422.3</v>
      </c>
      <c r="D644" s="5" t="s">
        <v>3122</v>
      </c>
      <c r="E644" s="5" t="s">
        <v>3123</v>
      </c>
      <c r="F644" s="5" t="s">
        <v>23</v>
      </c>
      <c r="G644" s="5">
        <v>19.5</v>
      </c>
      <c r="H644" s="7">
        <v>43276</v>
      </c>
      <c r="I644" s="5" t="s">
        <v>5</v>
      </c>
    </row>
    <row r="645" spans="1:11" x14ac:dyDescent="0.25">
      <c r="A645" t="s">
        <v>1</v>
      </c>
      <c r="B645" s="2">
        <v>22</v>
      </c>
      <c r="C645" s="4">
        <v>22478.6</v>
      </c>
      <c r="D645" s="5" t="s">
        <v>3131</v>
      </c>
      <c r="E645" s="5" t="s">
        <v>3130</v>
      </c>
      <c r="F645" s="5" t="s">
        <v>1093</v>
      </c>
      <c r="G645" s="5">
        <v>71</v>
      </c>
      <c r="H645" s="7">
        <v>43278</v>
      </c>
      <c r="I645" s="5" t="s">
        <v>5</v>
      </c>
    </row>
    <row r="646" spans="1:11" x14ac:dyDescent="0.25">
      <c r="A646" t="s">
        <v>1</v>
      </c>
      <c r="B646" s="2">
        <v>22</v>
      </c>
      <c r="C646" s="187">
        <v>771808</v>
      </c>
      <c r="D646" s="188" t="s">
        <v>3036</v>
      </c>
      <c r="E646" s="188" t="s">
        <v>3034</v>
      </c>
      <c r="F646" s="188" t="s">
        <v>1468</v>
      </c>
      <c r="G646" s="7">
        <v>43274</v>
      </c>
      <c r="H646" s="5" t="s">
        <v>27</v>
      </c>
      <c r="I646" s="35"/>
      <c r="J646" s="35"/>
      <c r="K646" s="35"/>
    </row>
    <row r="647" spans="1:11" x14ac:dyDescent="0.25">
      <c r="A647" t="s">
        <v>1</v>
      </c>
      <c r="B647" s="2">
        <v>22</v>
      </c>
      <c r="C647" s="187">
        <f>29434.39*G647</f>
        <v>605435.96791000001</v>
      </c>
      <c r="D647" s="188" t="s">
        <v>3047</v>
      </c>
      <c r="E647" s="188" t="s">
        <v>3048</v>
      </c>
      <c r="F647" s="188" t="s">
        <v>3049</v>
      </c>
      <c r="G647" s="6">
        <v>20.568999999999999</v>
      </c>
      <c r="H647" s="188"/>
      <c r="I647" s="201">
        <v>43273</v>
      </c>
      <c r="J647" s="5" t="s">
        <v>5</v>
      </c>
      <c r="K647" s="35"/>
    </row>
    <row r="648" spans="1:11" x14ac:dyDescent="0.25">
      <c r="A648" t="s">
        <v>1</v>
      </c>
      <c r="B648" s="2">
        <v>22</v>
      </c>
      <c r="C648" s="4">
        <f>29848.22*G648</f>
        <v>613948.03717999998</v>
      </c>
      <c r="D648" s="188" t="s">
        <v>3044</v>
      </c>
      <c r="E648" s="188" t="s">
        <v>3045</v>
      </c>
      <c r="F648" s="188" t="s">
        <v>3046</v>
      </c>
      <c r="G648" s="6">
        <v>20.568999999999999</v>
      </c>
      <c r="H648" s="5"/>
      <c r="I648" s="7">
        <v>43273</v>
      </c>
      <c r="J648" s="5" t="s">
        <v>5</v>
      </c>
    </row>
    <row r="649" spans="1:11" x14ac:dyDescent="0.25">
      <c r="A649" s="14" t="s">
        <v>13</v>
      </c>
      <c r="B649" s="2">
        <v>23</v>
      </c>
    </row>
    <row r="650" spans="1:11" x14ac:dyDescent="0.25">
      <c r="A650" s="14" t="s">
        <v>14</v>
      </c>
      <c r="B650" s="2">
        <v>24</v>
      </c>
    </row>
    <row r="651" spans="1:11" x14ac:dyDescent="0.25">
      <c r="A651" t="s">
        <v>15</v>
      </c>
      <c r="B651" s="2">
        <v>25</v>
      </c>
      <c r="C651" s="184">
        <f>30000*G651</f>
        <v>611040</v>
      </c>
      <c r="D651" s="185" t="s">
        <v>2993</v>
      </c>
      <c r="E651" s="185"/>
      <c r="F651" s="185" t="s">
        <v>41</v>
      </c>
      <c r="G651" s="208">
        <v>20.367999999999999</v>
      </c>
      <c r="H651" s="185">
        <v>42.22</v>
      </c>
      <c r="I651" s="186">
        <v>43276</v>
      </c>
      <c r="J651" s="10" t="s">
        <v>5</v>
      </c>
    </row>
    <row r="652" spans="1:11" x14ac:dyDescent="0.25">
      <c r="A652" t="s">
        <v>15</v>
      </c>
      <c r="B652" s="2">
        <v>25</v>
      </c>
      <c r="C652" s="184">
        <f>29000*G652</f>
        <v>583190</v>
      </c>
      <c r="D652" s="185" t="s">
        <v>2994</v>
      </c>
      <c r="E652" s="185"/>
      <c r="F652" s="185" t="s">
        <v>2287</v>
      </c>
      <c r="G652" s="208">
        <v>20.11</v>
      </c>
      <c r="H652" s="185"/>
      <c r="I652" s="186">
        <v>43276</v>
      </c>
      <c r="J652" s="10" t="s">
        <v>5</v>
      </c>
    </row>
    <row r="653" spans="1:11" x14ac:dyDescent="0.25">
      <c r="A653" t="s">
        <v>15</v>
      </c>
      <c r="B653" s="2">
        <v>25</v>
      </c>
      <c r="C653" s="184">
        <f>29000*G653</f>
        <v>583190</v>
      </c>
      <c r="D653" s="185" t="s">
        <v>2995</v>
      </c>
      <c r="E653" s="185"/>
      <c r="F653" s="185" t="s">
        <v>2287</v>
      </c>
      <c r="G653" s="208">
        <v>20.11</v>
      </c>
      <c r="H653" s="185"/>
      <c r="I653" s="186">
        <v>43276</v>
      </c>
      <c r="J653" s="10" t="s">
        <v>5</v>
      </c>
    </row>
    <row r="654" spans="1:11" x14ac:dyDescent="0.25">
      <c r="A654" t="s">
        <v>15</v>
      </c>
      <c r="B654" s="2">
        <v>25</v>
      </c>
      <c r="C654" s="4">
        <v>723132.71</v>
      </c>
      <c r="D654" s="5" t="s">
        <v>3132</v>
      </c>
      <c r="E654" s="5" t="s">
        <v>3054</v>
      </c>
      <c r="F654" s="5" t="s">
        <v>2360</v>
      </c>
      <c r="G654" s="6">
        <v>37.5</v>
      </c>
      <c r="H654" s="7">
        <v>43278</v>
      </c>
      <c r="I654" s="5" t="s">
        <v>5</v>
      </c>
    </row>
    <row r="655" spans="1:11" x14ac:dyDescent="0.25">
      <c r="A655" t="s">
        <v>15</v>
      </c>
      <c r="B655" s="2">
        <v>25</v>
      </c>
      <c r="C655" s="4">
        <f>736700+20880</f>
        <v>757580</v>
      </c>
      <c r="D655" s="5" t="s">
        <v>3030</v>
      </c>
      <c r="E655" s="5" t="s">
        <v>2949</v>
      </c>
      <c r="F655" s="5" t="s">
        <v>26</v>
      </c>
      <c r="G655" s="7">
        <v>43277</v>
      </c>
      <c r="H655" s="5" t="s">
        <v>27</v>
      </c>
    </row>
    <row r="656" spans="1:11" x14ac:dyDescent="0.25">
      <c r="A656" t="s">
        <v>15</v>
      </c>
      <c r="B656" s="2">
        <v>25</v>
      </c>
      <c r="C656" s="4">
        <f>713952+20880</f>
        <v>734832</v>
      </c>
      <c r="D656" s="5" t="s">
        <v>3031</v>
      </c>
      <c r="E656" s="5" t="s">
        <v>2950</v>
      </c>
      <c r="F656" s="5" t="s">
        <v>26</v>
      </c>
      <c r="G656" s="7">
        <v>43278</v>
      </c>
      <c r="H656" s="5" t="s">
        <v>27</v>
      </c>
    </row>
    <row r="657" spans="1:10" x14ac:dyDescent="0.25">
      <c r="A657" t="s">
        <v>15</v>
      </c>
      <c r="B657" s="2">
        <v>25</v>
      </c>
      <c r="C657" s="4">
        <f>754152+21047.04</f>
        <v>775199.04</v>
      </c>
      <c r="D657" s="5" t="s">
        <v>3032</v>
      </c>
      <c r="E657" s="5" t="s">
        <v>3033</v>
      </c>
      <c r="F657" s="5" t="s">
        <v>26</v>
      </c>
      <c r="G657" s="7">
        <v>43279</v>
      </c>
      <c r="H657" s="5" t="s">
        <v>27</v>
      </c>
    </row>
    <row r="658" spans="1:10" x14ac:dyDescent="0.25">
      <c r="A658" t="s">
        <v>34</v>
      </c>
      <c r="B658" s="2">
        <v>26</v>
      </c>
    </row>
    <row r="659" spans="1:10" x14ac:dyDescent="0.25">
      <c r="A659" t="s">
        <v>44</v>
      </c>
      <c r="B659" s="2">
        <v>27</v>
      </c>
      <c r="C659" s="4">
        <f>774630+20880</f>
        <v>795510</v>
      </c>
      <c r="D659" s="5" t="s">
        <v>3037</v>
      </c>
      <c r="E659" s="5" t="s">
        <v>3000</v>
      </c>
      <c r="F659" s="5" t="s">
        <v>26</v>
      </c>
      <c r="G659" s="7">
        <v>43283</v>
      </c>
      <c r="H659" s="5" t="s">
        <v>27</v>
      </c>
    </row>
    <row r="660" spans="1:10" x14ac:dyDescent="0.25">
      <c r="A660" t="s">
        <v>44</v>
      </c>
      <c r="B660" s="2">
        <v>27</v>
      </c>
      <c r="C660" s="4">
        <f>387990+10857.6</f>
        <v>398847.6</v>
      </c>
      <c r="D660" s="5" t="s">
        <v>3038</v>
      </c>
      <c r="E660" s="5" t="s">
        <v>3001</v>
      </c>
      <c r="F660" s="5" t="s">
        <v>26</v>
      </c>
      <c r="G660" s="7">
        <v>43283</v>
      </c>
      <c r="H660" s="5" t="s">
        <v>27</v>
      </c>
    </row>
    <row r="661" spans="1:10" x14ac:dyDescent="0.25">
      <c r="A661" t="s">
        <v>50</v>
      </c>
      <c r="B661" s="2">
        <v>28</v>
      </c>
      <c r="C661" s="9">
        <f>31000*G661</f>
        <v>619070</v>
      </c>
      <c r="D661" s="10" t="s">
        <v>3103</v>
      </c>
      <c r="E661" s="10" t="s">
        <v>3245</v>
      </c>
      <c r="F661" s="10" t="s">
        <v>1414</v>
      </c>
      <c r="G661" s="11">
        <v>19.97</v>
      </c>
      <c r="H661" s="10">
        <v>35.08</v>
      </c>
      <c r="I661" s="12">
        <v>43279</v>
      </c>
      <c r="J661" s="10" t="s">
        <v>5</v>
      </c>
    </row>
    <row r="662" spans="1:10" x14ac:dyDescent="0.25">
      <c r="A662" t="s">
        <v>50</v>
      </c>
      <c r="B662" s="2">
        <v>28</v>
      </c>
      <c r="C662" s="4">
        <f>784350+20629.44</f>
        <v>804979.44</v>
      </c>
      <c r="D662" s="5" t="s">
        <v>3042</v>
      </c>
      <c r="E662" s="5" t="s">
        <v>3040</v>
      </c>
      <c r="F662" s="5" t="s">
        <v>26</v>
      </c>
      <c r="G662" s="7">
        <v>43284</v>
      </c>
      <c r="H662" s="5" t="s">
        <v>27</v>
      </c>
    </row>
    <row r="663" spans="1:10" x14ac:dyDescent="0.25">
      <c r="A663" t="s">
        <v>50</v>
      </c>
      <c r="B663" s="2">
        <v>28</v>
      </c>
      <c r="C663" s="4">
        <f>355860+10857.6</f>
        <v>366717.6</v>
      </c>
      <c r="D663" s="5" t="s">
        <v>3043</v>
      </c>
      <c r="E663" s="5" t="s">
        <v>3041</v>
      </c>
      <c r="F663" s="5" t="s">
        <v>26</v>
      </c>
      <c r="G663" s="7">
        <v>43280</v>
      </c>
      <c r="H663" s="5" t="s">
        <v>27</v>
      </c>
    </row>
    <row r="664" spans="1:10" x14ac:dyDescent="0.25">
      <c r="A664" t="s">
        <v>50</v>
      </c>
      <c r="B664" s="2">
        <v>28</v>
      </c>
      <c r="C664" s="4">
        <v>72648</v>
      </c>
      <c r="D664" s="5" t="s">
        <v>3126</v>
      </c>
      <c r="E664" s="5" t="s">
        <v>3125</v>
      </c>
      <c r="F664" s="5" t="s">
        <v>23</v>
      </c>
      <c r="G664" s="5">
        <v>20</v>
      </c>
      <c r="H664" s="7">
        <v>43285</v>
      </c>
      <c r="I664" s="5" t="s">
        <v>5</v>
      </c>
    </row>
    <row r="665" spans="1:10" x14ac:dyDescent="0.25">
      <c r="A665" t="s">
        <v>50</v>
      </c>
      <c r="B665" s="2">
        <v>28</v>
      </c>
      <c r="C665" s="4">
        <v>861144.15</v>
      </c>
      <c r="D665" s="5" t="s">
        <v>3134</v>
      </c>
      <c r="E665" s="5" t="s">
        <v>3178</v>
      </c>
      <c r="F665" s="5" t="s">
        <v>3135</v>
      </c>
      <c r="G665" s="5">
        <v>34.5</v>
      </c>
      <c r="H665" s="7">
        <v>43279</v>
      </c>
      <c r="I665" s="7">
        <v>43280</v>
      </c>
      <c r="J665" s="5" t="s">
        <v>5</v>
      </c>
    </row>
    <row r="666" spans="1:10" x14ac:dyDescent="0.25">
      <c r="A666" t="s">
        <v>1</v>
      </c>
      <c r="B666" s="2">
        <v>29</v>
      </c>
      <c r="C666" s="4">
        <f>36.2*22400</f>
        <v>810880.00000000012</v>
      </c>
      <c r="D666" s="5" t="s">
        <v>3185</v>
      </c>
      <c r="E666" s="5" t="s">
        <v>3157</v>
      </c>
      <c r="F666" s="5" t="s">
        <v>1468</v>
      </c>
      <c r="G666" s="7">
        <v>43280</v>
      </c>
      <c r="H666" s="5" t="s">
        <v>27</v>
      </c>
    </row>
    <row r="667" spans="1:10" x14ac:dyDescent="0.25">
      <c r="A667" t="s">
        <v>1</v>
      </c>
      <c r="B667" s="2">
        <v>29</v>
      </c>
      <c r="C667" s="4">
        <f>29182.66*G667</f>
        <v>581552.04848</v>
      </c>
      <c r="D667" s="5" t="s">
        <v>3097</v>
      </c>
      <c r="E667" s="5" t="s">
        <v>3098</v>
      </c>
      <c r="F667" s="5" t="s">
        <v>3099</v>
      </c>
      <c r="G667" s="6">
        <v>19.928000000000001</v>
      </c>
      <c r="H667" s="5">
        <v>36.33</v>
      </c>
      <c r="I667" s="7">
        <v>43280</v>
      </c>
      <c r="J667" s="5" t="s">
        <v>5</v>
      </c>
    </row>
    <row r="668" spans="1:10" x14ac:dyDescent="0.25">
      <c r="A668" t="s">
        <v>1</v>
      </c>
      <c r="B668" s="2">
        <v>29</v>
      </c>
      <c r="C668" s="4">
        <f>30145.73*G668</f>
        <v>600744.10744000005</v>
      </c>
      <c r="D668" s="5" t="s">
        <v>3100</v>
      </c>
      <c r="E668" s="5" t="s">
        <v>3101</v>
      </c>
      <c r="F668" s="5" t="s">
        <v>3102</v>
      </c>
      <c r="G668" s="6">
        <v>19.928000000000001</v>
      </c>
      <c r="H668" s="5">
        <v>37.340000000000003</v>
      </c>
      <c r="I668" s="7">
        <v>43280</v>
      </c>
      <c r="J668" s="5" t="s">
        <v>5</v>
      </c>
    </row>
    <row r="669" spans="1:10" x14ac:dyDescent="0.25">
      <c r="A669" s="14" t="s">
        <v>13</v>
      </c>
      <c r="B669" s="2">
        <v>30</v>
      </c>
    </row>
    <row r="670" spans="1:10" x14ac:dyDescent="0.25">
      <c r="A670" s="1" t="s">
        <v>3096</v>
      </c>
    </row>
    <row r="671" spans="1:10" x14ac:dyDescent="0.25">
      <c r="A671" s="14" t="s">
        <v>14</v>
      </c>
      <c r="B671" s="2">
        <v>1</v>
      </c>
    </row>
    <row r="672" spans="1:10" x14ac:dyDescent="0.25">
      <c r="A672" t="s">
        <v>15</v>
      </c>
      <c r="B672" s="2">
        <v>2</v>
      </c>
      <c r="C672" s="9">
        <f>34000*G672</f>
        <v>676566</v>
      </c>
      <c r="D672" s="10" t="s">
        <v>3104</v>
      </c>
      <c r="E672" s="10" t="s">
        <v>3321</v>
      </c>
      <c r="F672" s="10" t="s">
        <v>1295</v>
      </c>
      <c r="G672" s="11">
        <v>19.899000000000001</v>
      </c>
      <c r="H672" s="10">
        <v>36.28</v>
      </c>
      <c r="I672" s="12">
        <v>43283</v>
      </c>
      <c r="J672" s="10" t="s">
        <v>5</v>
      </c>
    </row>
    <row r="673" spans="1:10" x14ac:dyDescent="0.25">
      <c r="A673" t="s">
        <v>15</v>
      </c>
      <c r="B673" s="2">
        <v>2</v>
      </c>
      <c r="C673" s="9">
        <f>32000*G673</f>
        <v>635840</v>
      </c>
      <c r="D673" s="10" t="s">
        <v>3105</v>
      </c>
      <c r="E673" s="10" t="s">
        <v>3303</v>
      </c>
      <c r="F673" s="10" t="s">
        <v>99</v>
      </c>
      <c r="G673" s="11">
        <v>19.87</v>
      </c>
      <c r="H673" s="10">
        <v>35.74</v>
      </c>
      <c r="I673" s="12">
        <v>43283</v>
      </c>
      <c r="J673" s="10" t="s">
        <v>5</v>
      </c>
    </row>
    <row r="674" spans="1:10" x14ac:dyDescent="0.25">
      <c r="A674" t="s">
        <v>15</v>
      </c>
      <c r="B674" s="2">
        <v>2</v>
      </c>
      <c r="C674" s="9">
        <f>32000*G674</f>
        <v>636768</v>
      </c>
      <c r="D674" s="10" t="s">
        <v>3106</v>
      </c>
      <c r="E674" s="10" t="s">
        <v>3302</v>
      </c>
      <c r="F674" s="10" t="s">
        <v>99</v>
      </c>
      <c r="G674" s="11">
        <v>19.899000000000001</v>
      </c>
      <c r="H674" s="10">
        <v>35.79</v>
      </c>
      <c r="I674" s="12">
        <v>43283</v>
      </c>
      <c r="J674" s="10" t="s">
        <v>5</v>
      </c>
    </row>
    <row r="675" spans="1:10" x14ac:dyDescent="0.25">
      <c r="A675" t="s">
        <v>15</v>
      </c>
      <c r="B675" s="2">
        <v>2</v>
      </c>
      <c r="C675" s="4">
        <v>376610.48</v>
      </c>
      <c r="D675" s="5" t="s">
        <v>3211</v>
      </c>
      <c r="E675" s="5" t="s">
        <v>3210</v>
      </c>
      <c r="F675" s="5" t="s">
        <v>1345</v>
      </c>
      <c r="G675" s="6">
        <v>41.8</v>
      </c>
      <c r="H675" s="7">
        <v>43285</v>
      </c>
      <c r="I675" s="5" t="s">
        <v>5</v>
      </c>
    </row>
    <row r="676" spans="1:10" x14ac:dyDescent="0.25">
      <c r="A676" t="s">
        <v>15</v>
      </c>
      <c r="B676" s="2">
        <v>2</v>
      </c>
      <c r="C676" s="4">
        <f>760032+20712.96</f>
        <v>780744.96</v>
      </c>
      <c r="D676" s="5" t="s">
        <v>3145</v>
      </c>
      <c r="E676" s="5" t="s">
        <v>3051</v>
      </c>
      <c r="F676" s="5" t="s">
        <v>26</v>
      </c>
      <c r="G676" s="7">
        <v>43285</v>
      </c>
      <c r="H676" s="5" t="s">
        <v>27</v>
      </c>
    </row>
    <row r="677" spans="1:10" x14ac:dyDescent="0.25">
      <c r="A677" t="s">
        <v>15</v>
      </c>
      <c r="B677" s="2">
        <v>2</v>
      </c>
      <c r="C677" s="4">
        <f>245427+6681.6</f>
        <v>252108.6</v>
      </c>
      <c r="D677" s="5" t="s">
        <v>3146</v>
      </c>
      <c r="E677" s="5" t="s">
        <v>3147</v>
      </c>
      <c r="F677" s="5" t="s">
        <v>26</v>
      </c>
      <c r="G677" s="7">
        <v>43285</v>
      </c>
      <c r="H677" s="5" t="s">
        <v>27</v>
      </c>
    </row>
    <row r="678" spans="1:10" x14ac:dyDescent="0.25">
      <c r="A678" t="s">
        <v>15</v>
      </c>
      <c r="B678" s="2">
        <v>2</v>
      </c>
      <c r="C678" s="4">
        <f>754708.5+20880</f>
        <v>775588.5</v>
      </c>
      <c r="D678" s="5" t="s">
        <v>3148</v>
      </c>
      <c r="E678" s="5" t="s">
        <v>3149</v>
      </c>
      <c r="F678" s="5" t="s">
        <v>26</v>
      </c>
      <c r="G678" s="7">
        <v>43287</v>
      </c>
      <c r="H678" s="5" t="s">
        <v>27</v>
      </c>
    </row>
    <row r="679" spans="1:10" x14ac:dyDescent="0.25">
      <c r="A679" t="s">
        <v>15</v>
      </c>
      <c r="B679" s="2">
        <v>2</v>
      </c>
      <c r="C679" s="4">
        <v>74924</v>
      </c>
      <c r="D679" s="5" t="s">
        <v>3206</v>
      </c>
      <c r="E679" s="5" t="s">
        <v>3205</v>
      </c>
      <c r="F679" s="5" t="s">
        <v>23</v>
      </c>
      <c r="G679" s="5">
        <v>20</v>
      </c>
      <c r="H679" s="7">
        <v>43285</v>
      </c>
      <c r="I679" s="5" t="s">
        <v>5</v>
      </c>
    </row>
    <row r="680" spans="1:10" x14ac:dyDescent="0.25">
      <c r="A680" t="s">
        <v>34</v>
      </c>
      <c r="B680" s="2">
        <v>3</v>
      </c>
      <c r="C680" s="4">
        <f>766038+20712.96</f>
        <v>786750.96</v>
      </c>
      <c r="D680" s="5" t="s">
        <v>3150</v>
      </c>
      <c r="E680" s="5" t="s">
        <v>3076</v>
      </c>
      <c r="F680" s="5" t="s">
        <v>26</v>
      </c>
      <c r="G680" s="7">
        <v>43286</v>
      </c>
      <c r="H680" s="5" t="s">
        <v>27</v>
      </c>
    </row>
    <row r="681" spans="1:10" x14ac:dyDescent="0.25">
      <c r="A681" t="s">
        <v>34</v>
      </c>
      <c r="B681" s="2">
        <v>3</v>
      </c>
      <c r="C681" s="4">
        <f>28510.71*G681</f>
        <v>573920.5922999999</v>
      </c>
      <c r="D681" s="5" t="s">
        <v>3159</v>
      </c>
      <c r="E681" s="5" t="s">
        <v>3160</v>
      </c>
      <c r="F681" s="5" t="s">
        <v>3161</v>
      </c>
      <c r="G681" s="5">
        <v>20.13</v>
      </c>
      <c r="H681" s="5">
        <v>36.26</v>
      </c>
      <c r="I681" s="7">
        <v>43284</v>
      </c>
    </row>
    <row r="682" spans="1:10" x14ac:dyDescent="0.25">
      <c r="A682" t="s">
        <v>34</v>
      </c>
      <c r="B682" s="2">
        <v>3</v>
      </c>
      <c r="C682" s="4">
        <f>29860.98*G682</f>
        <v>601400.1372</v>
      </c>
      <c r="D682" s="5" t="s">
        <v>3162</v>
      </c>
      <c r="E682" s="5" t="s">
        <v>3163</v>
      </c>
      <c r="F682" s="5" t="s">
        <v>3164</v>
      </c>
      <c r="G682" s="5">
        <v>20.14</v>
      </c>
      <c r="H682" s="5">
        <v>36.81</v>
      </c>
      <c r="I682" s="7">
        <v>43284</v>
      </c>
    </row>
    <row r="683" spans="1:10" x14ac:dyDescent="0.25">
      <c r="A683" t="s">
        <v>44</v>
      </c>
      <c r="B683" s="2">
        <v>4</v>
      </c>
      <c r="C683" s="9">
        <f>23000*G683</f>
        <v>450110</v>
      </c>
      <c r="D683" s="10" t="s">
        <v>3219</v>
      </c>
      <c r="E683" s="10" t="s">
        <v>3341</v>
      </c>
      <c r="F683" s="10" t="s">
        <v>2458</v>
      </c>
      <c r="G683" s="9">
        <v>19.57</v>
      </c>
      <c r="H683" s="10">
        <v>34.22</v>
      </c>
      <c r="I683" s="12">
        <v>43284</v>
      </c>
      <c r="J683" s="10" t="s">
        <v>5</v>
      </c>
    </row>
    <row r="684" spans="1:10" x14ac:dyDescent="0.25">
      <c r="A684" t="s">
        <v>44</v>
      </c>
      <c r="B684" s="2">
        <v>4</v>
      </c>
      <c r="C684" s="4">
        <f>827960+20880</f>
        <v>848840</v>
      </c>
      <c r="D684" s="5" t="s">
        <v>3151</v>
      </c>
      <c r="E684" s="5" t="s">
        <v>3079</v>
      </c>
      <c r="F684" s="5" t="s">
        <v>26</v>
      </c>
      <c r="G684" s="7">
        <v>43290</v>
      </c>
      <c r="H684" s="5" t="s">
        <v>27</v>
      </c>
    </row>
    <row r="685" spans="1:10" x14ac:dyDescent="0.25">
      <c r="A685" t="s">
        <v>44</v>
      </c>
      <c r="B685" s="2">
        <v>4</v>
      </c>
      <c r="C685" s="4">
        <f>416220+10857.6</f>
        <v>427077.6</v>
      </c>
      <c r="D685" s="5" t="s">
        <v>3152</v>
      </c>
      <c r="E685" s="5" t="s">
        <v>3080</v>
      </c>
      <c r="F685" s="5" t="s">
        <v>26</v>
      </c>
      <c r="G685" s="7">
        <v>43286</v>
      </c>
      <c r="H685" s="5" t="s">
        <v>27</v>
      </c>
    </row>
    <row r="686" spans="1:10" x14ac:dyDescent="0.25">
      <c r="A686" t="s">
        <v>2256</v>
      </c>
      <c r="B686" s="2">
        <v>5</v>
      </c>
      <c r="C686" s="9">
        <f>25000*G686</f>
        <v>493175</v>
      </c>
      <c r="D686" s="10" t="s">
        <v>3218</v>
      </c>
      <c r="E686" s="10" t="s">
        <v>3340</v>
      </c>
      <c r="F686" s="10" t="s">
        <v>111</v>
      </c>
      <c r="G686" s="11">
        <v>19.727</v>
      </c>
      <c r="H686" s="10">
        <v>34.65</v>
      </c>
      <c r="I686" s="12">
        <v>43286</v>
      </c>
      <c r="J686" s="10" t="s">
        <v>5</v>
      </c>
    </row>
    <row r="687" spans="1:10" x14ac:dyDescent="0.25">
      <c r="A687" t="s">
        <v>50</v>
      </c>
      <c r="B687" s="2">
        <v>5</v>
      </c>
      <c r="C687" s="4">
        <v>48510</v>
      </c>
      <c r="D687" s="5" t="s">
        <v>3250</v>
      </c>
      <c r="E687" s="5" t="s">
        <v>3251</v>
      </c>
      <c r="F687" s="5" t="s">
        <v>3252</v>
      </c>
      <c r="G687" s="6">
        <v>49</v>
      </c>
      <c r="H687" s="7">
        <v>43286</v>
      </c>
      <c r="I687" s="5" t="s">
        <v>5</v>
      </c>
    </row>
    <row r="688" spans="1:10" x14ac:dyDescent="0.25">
      <c r="A688" t="s">
        <v>50</v>
      </c>
      <c r="B688" s="2">
        <v>5</v>
      </c>
      <c r="C688" s="4">
        <f>21400*36.5</f>
        <v>781100</v>
      </c>
      <c r="D688" s="5" t="s">
        <v>3257</v>
      </c>
      <c r="E688" s="5" t="s">
        <v>3256</v>
      </c>
      <c r="F688" s="5" t="s">
        <v>1468</v>
      </c>
      <c r="G688" s="7">
        <v>43287</v>
      </c>
      <c r="H688" s="5" t="s">
        <v>27</v>
      </c>
    </row>
    <row r="689" spans="1:13" x14ac:dyDescent="0.25">
      <c r="A689" t="s">
        <v>50</v>
      </c>
      <c r="B689" s="2">
        <v>5</v>
      </c>
      <c r="C689" s="4">
        <f>793800+20880</f>
        <v>814680</v>
      </c>
      <c r="D689" s="5" t="s">
        <v>3153</v>
      </c>
      <c r="E689" s="5" t="s">
        <v>3154</v>
      </c>
      <c r="F689" s="5" t="s">
        <v>26</v>
      </c>
      <c r="G689" s="7">
        <v>43290</v>
      </c>
      <c r="H689" s="5" t="s">
        <v>27</v>
      </c>
    </row>
    <row r="690" spans="1:13" x14ac:dyDescent="0.25">
      <c r="A690" t="s">
        <v>50</v>
      </c>
      <c r="B690" s="2">
        <v>5</v>
      </c>
      <c r="C690" s="4">
        <f>385980+10857.6</f>
        <v>396837.6</v>
      </c>
      <c r="D690" s="5" t="s">
        <v>3155</v>
      </c>
      <c r="E690" s="5" t="s">
        <v>3085</v>
      </c>
      <c r="F690" s="5" t="s">
        <v>26</v>
      </c>
      <c r="G690" s="7">
        <v>43290</v>
      </c>
      <c r="H690" s="5" t="s">
        <v>27</v>
      </c>
    </row>
    <row r="691" spans="1:13" x14ac:dyDescent="0.25">
      <c r="A691" t="s">
        <v>1</v>
      </c>
      <c r="B691" s="2">
        <v>6</v>
      </c>
      <c r="C691" s="4">
        <v>35760</v>
      </c>
      <c r="D691" s="5" t="s">
        <v>3207</v>
      </c>
      <c r="E691" s="5" t="s">
        <v>3217</v>
      </c>
      <c r="F691" s="5" t="s">
        <v>23</v>
      </c>
      <c r="G691" s="5">
        <v>20</v>
      </c>
      <c r="H691" s="7">
        <v>43290</v>
      </c>
      <c r="I691" s="5" t="s">
        <v>5</v>
      </c>
    </row>
    <row r="692" spans="1:13" x14ac:dyDescent="0.25">
      <c r="A692" t="s">
        <v>1</v>
      </c>
      <c r="B692" s="2">
        <v>6</v>
      </c>
      <c r="C692" s="4">
        <f>29524.77*G692</f>
        <v>574847.27189999993</v>
      </c>
      <c r="D692" s="5" t="s">
        <v>3241</v>
      </c>
      <c r="E692" s="5" t="s">
        <v>3242</v>
      </c>
      <c r="F692" s="5" t="s">
        <v>3243</v>
      </c>
      <c r="G692" s="4">
        <v>19.47</v>
      </c>
      <c r="H692" s="5">
        <v>36.020000000000003</v>
      </c>
      <c r="I692" s="7">
        <v>43287</v>
      </c>
      <c r="J692" s="5" t="s">
        <v>5</v>
      </c>
      <c r="K692" s="15" t="s">
        <v>3244</v>
      </c>
      <c r="L692" s="15"/>
      <c r="M692" s="15"/>
    </row>
    <row r="693" spans="1:13" x14ac:dyDescent="0.25">
      <c r="A693" s="14" t="s">
        <v>13</v>
      </c>
      <c r="B693" s="2">
        <v>7</v>
      </c>
    </row>
    <row r="694" spans="1:13" x14ac:dyDescent="0.25">
      <c r="A694" s="14" t="s">
        <v>14</v>
      </c>
      <c r="B694" s="2">
        <v>8</v>
      </c>
    </row>
    <row r="695" spans="1:13" x14ac:dyDescent="0.25">
      <c r="A695" t="s">
        <v>15</v>
      </c>
      <c r="B695" s="2">
        <v>9</v>
      </c>
      <c r="C695" s="9">
        <f>25000*G695</f>
        <v>478000</v>
      </c>
      <c r="D695" s="10" t="s">
        <v>3220</v>
      </c>
      <c r="E695" s="10" t="s">
        <v>3363</v>
      </c>
      <c r="F695" s="10" t="s">
        <v>111</v>
      </c>
      <c r="G695" s="9">
        <v>19.12</v>
      </c>
      <c r="H695" s="10">
        <v>33.9</v>
      </c>
      <c r="I695" s="12">
        <v>43290</v>
      </c>
      <c r="J695" s="10" t="s">
        <v>5</v>
      </c>
    </row>
    <row r="696" spans="1:13" x14ac:dyDescent="0.25">
      <c r="A696" t="s">
        <v>15</v>
      </c>
      <c r="B696" s="2">
        <v>9</v>
      </c>
      <c r="C696" s="4">
        <v>1498761.39</v>
      </c>
      <c r="D696" s="5" t="s">
        <v>3215</v>
      </c>
      <c r="E696" s="5" t="s">
        <v>3212</v>
      </c>
      <c r="F696" s="5" t="s">
        <v>1573</v>
      </c>
      <c r="G696" s="5">
        <v>86</v>
      </c>
      <c r="H696" s="7">
        <v>43292</v>
      </c>
      <c r="I696" s="5" t="s">
        <v>5</v>
      </c>
    </row>
    <row r="697" spans="1:13" x14ac:dyDescent="0.25">
      <c r="A697" t="s">
        <v>15</v>
      </c>
      <c r="B697" s="2">
        <v>9</v>
      </c>
      <c r="C697" s="4">
        <f>573720+16787.52</f>
        <v>590507.52000000002</v>
      </c>
      <c r="D697" s="5" t="s">
        <v>3179</v>
      </c>
      <c r="E697" s="5" t="s">
        <v>3180</v>
      </c>
      <c r="F697" s="5" t="s">
        <v>26</v>
      </c>
      <c r="G697" s="7">
        <v>43291</v>
      </c>
      <c r="H697" s="5" t="s">
        <v>27</v>
      </c>
    </row>
    <row r="698" spans="1:13" x14ac:dyDescent="0.25">
      <c r="A698" t="s">
        <v>15</v>
      </c>
      <c r="B698" s="2">
        <v>9</v>
      </c>
      <c r="C698" s="4">
        <f>451640+10857.6</f>
        <v>462497.6</v>
      </c>
      <c r="D698" s="5" t="s">
        <v>3182</v>
      </c>
      <c r="E698" s="5" t="s">
        <v>3181</v>
      </c>
      <c r="F698" s="5" t="s">
        <v>26</v>
      </c>
      <c r="G698" s="7">
        <v>43291</v>
      </c>
      <c r="H698" s="5" t="s">
        <v>27</v>
      </c>
    </row>
    <row r="699" spans="1:13" x14ac:dyDescent="0.25">
      <c r="A699" t="s">
        <v>15</v>
      </c>
      <c r="B699" s="2">
        <v>9</v>
      </c>
      <c r="C699" s="4">
        <f>795720+20880</f>
        <v>816600</v>
      </c>
      <c r="D699" s="5" t="s">
        <v>3187</v>
      </c>
      <c r="E699" s="5" t="s">
        <v>3142</v>
      </c>
      <c r="F699" s="5" t="s">
        <v>26</v>
      </c>
      <c r="G699" s="7">
        <v>43291</v>
      </c>
      <c r="H699" s="5" t="s">
        <v>27</v>
      </c>
    </row>
    <row r="700" spans="1:13" x14ac:dyDescent="0.25">
      <c r="A700" t="s">
        <v>15</v>
      </c>
      <c r="B700" s="2">
        <v>9</v>
      </c>
      <c r="C700" s="4">
        <f>244672.5+6681.6+166155+4176</f>
        <v>421685.1</v>
      </c>
      <c r="D700" s="5" t="s">
        <v>3186</v>
      </c>
      <c r="E700" s="5" t="s">
        <v>3158</v>
      </c>
      <c r="F700" s="5" t="s">
        <v>26</v>
      </c>
      <c r="G700" s="7">
        <v>43292</v>
      </c>
      <c r="H700" s="5" t="s">
        <v>27</v>
      </c>
    </row>
    <row r="701" spans="1:13" x14ac:dyDescent="0.25">
      <c r="A701" t="s">
        <v>34</v>
      </c>
      <c r="B701" s="2">
        <v>10</v>
      </c>
      <c r="C701" s="9">
        <f>25000*G701</f>
        <v>478000</v>
      </c>
      <c r="D701" s="10" t="s">
        <v>3280</v>
      </c>
      <c r="E701" s="10"/>
      <c r="F701" s="10" t="s">
        <v>111</v>
      </c>
      <c r="G701" s="9">
        <v>19.12</v>
      </c>
      <c r="H701" s="10"/>
      <c r="I701" s="12">
        <v>43291</v>
      </c>
      <c r="J701" s="10" t="s">
        <v>5</v>
      </c>
    </row>
    <row r="702" spans="1:13" x14ac:dyDescent="0.25">
      <c r="A702" t="s">
        <v>34</v>
      </c>
      <c r="B702" s="2">
        <v>10</v>
      </c>
      <c r="C702" s="4">
        <f>670747.5+16620.48+167580+4176</f>
        <v>859123.98</v>
      </c>
      <c r="D702" s="5" t="s">
        <v>3188</v>
      </c>
      <c r="E702" s="5" t="s">
        <v>3171</v>
      </c>
      <c r="F702" s="5" t="s">
        <v>26</v>
      </c>
      <c r="G702" s="7">
        <v>43292</v>
      </c>
      <c r="H702" s="5" t="s">
        <v>27</v>
      </c>
    </row>
    <row r="703" spans="1:13" x14ac:dyDescent="0.25">
      <c r="A703" t="s">
        <v>44</v>
      </c>
      <c r="B703" s="2">
        <v>11</v>
      </c>
      <c r="C703" s="9">
        <f>24000*G703</f>
        <v>456168.00000000006</v>
      </c>
      <c r="D703" s="10" t="s">
        <v>3278</v>
      </c>
      <c r="E703" s="10"/>
      <c r="F703" s="10" t="s">
        <v>3289</v>
      </c>
      <c r="G703" s="11">
        <v>19.007000000000001</v>
      </c>
      <c r="H703" s="10"/>
      <c r="I703" s="12">
        <v>43292</v>
      </c>
      <c r="J703" s="10" t="s">
        <v>5</v>
      </c>
    </row>
    <row r="704" spans="1:13" x14ac:dyDescent="0.25">
      <c r="A704" t="s">
        <v>44</v>
      </c>
      <c r="B704" s="2">
        <v>11</v>
      </c>
      <c r="C704" s="9">
        <f>24000*G704</f>
        <v>456168.00000000006</v>
      </c>
      <c r="D704" s="10" t="s">
        <v>3279</v>
      </c>
      <c r="E704" s="10"/>
      <c r="F704" s="10" t="s">
        <v>3289</v>
      </c>
      <c r="G704" s="11">
        <v>19.007000000000001</v>
      </c>
      <c r="H704" s="10"/>
      <c r="I704" s="12">
        <v>43292</v>
      </c>
      <c r="J704" s="10" t="s">
        <v>5</v>
      </c>
    </row>
    <row r="705" spans="1:10" x14ac:dyDescent="0.25">
      <c r="A705" t="s">
        <v>44</v>
      </c>
      <c r="B705" s="2">
        <v>11</v>
      </c>
      <c r="C705" s="4">
        <f>748925+20629.44</f>
        <v>769554.44</v>
      </c>
      <c r="D705" s="5" t="s">
        <v>3189</v>
      </c>
      <c r="E705" s="5" t="s">
        <v>3174</v>
      </c>
      <c r="F705" s="5" t="s">
        <v>26</v>
      </c>
      <c r="G705" s="7">
        <v>43293</v>
      </c>
      <c r="H705" s="5" t="s">
        <v>27</v>
      </c>
    </row>
    <row r="706" spans="1:10" x14ac:dyDescent="0.25">
      <c r="A706" t="s">
        <v>44</v>
      </c>
      <c r="B706" s="2">
        <v>11</v>
      </c>
      <c r="C706" s="4">
        <f>413395+10857</f>
        <v>424252</v>
      </c>
      <c r="D706" s="5" t="s">
        <v>3190</v>
      </c>
      <c r="E706" s="5" t="s">
        <v>3175</v>
      </c>
      <c r="F706" s="5" t="s">
        <v>26</v>
      </c>
      <c r="G706" s="7">
        <v>43294</v>
      </c>
      <c r="H706" s="5" t="s">
        <v>27</v>
      </c>
    </row>
    <row r="707" spans="1:10" x14ac:dyDescent="0.25">
      <c r="A707" t="s">
        <v>44</v>
      </c>
      <c r="B707" s="2">
        <v>11</v>
      </c>
      <c r="C707" s="4">
        <v>386850.64</v>
      </c>
      <c r="D707" s="5" t="s">
        <v>3317</v>
      </c>
      <c r="E707" s="5" t="s">
        <v>3316</v>
      </c>
      <c r="F707" s="5" t="s">
        <v>1345</v>
      </c>
      <c r="G707" s="5">
        <v>41.8</v>
      </c>
      <c r="H707" s="7">
        <v>43294</v>
      </c>
      <c r="I707" s="5" t="s">
        <v>5</v>
      </c>
    </row>
    <row r="708" spans="1:10" x14ac:dyDescent="0.25">
      <c r="A708" t="s">
        <v>50</v>
      </c>
      <c r="B708" s="2">
        <v>12</v>
      </c>
      <c r="C708" s="9">
        <f>25965.65*G708</f>
        <v>493529.10955000005</v>
      </c>
      <c r="D708" s="10" t="s">
        <v>3221</v>
      </c>
      <c r="E708" s="10" t="s">
        <v>3322</v>
      </c>
      <c r="F708" s="10" t="s">
        <v>3323</v>
      </c>
      <c r="G708" s="11">
        <v>19.007000000000001</v>
      </c>
      <c r="H708" s="10">
        <v>33.159999999999997</v>
      </c>
      <c r="I708" s="12">
        <v>43293</v>
      </c>
      <c r="J708" s="12">
        <v>43293</v>
      </c>
    </row>
    <row r="709" spans="1:10" x14ac:dyDescent="0.25">
      <c r="A709" t="s">
        <v>50</v>
      </c>
      <c r="B709" s="2">
        <v>12</v>
      </c>
      <c r="C709" s="4">
        <f>795470+20963.52</f>
        <v>816433.52</v>
      </c>
      <c r="D709" s="5" t="s">
        <v>3202</v>
      </c>
      <c r="E709" s="5" t="s">
        <v>3191</v>
      </c>
      <c r="F709" s="5" t="s">
        <v>26</v>
      </c>
      <c r="G709" s="7">
        <v>43294</v>
      </c>
      <c r="H709" s="5" t="s">
        <v>27</v>
      </c>
    </row>
    <row r="710" spans="1:10" x14ac:dyDescent="0.25">
      <c r="A710" s="75" t="s">
        <v>50</v>
      </c>
      <c r="B710" s="2">
        <v>12</v>
      </c>
      <c r="C710" s="4">
        <f>423110+10857.6</f>
        <v>433967.6</v>
      </c>
      <c r="D710" s="5" t="s">
        <v>3204</v>
      </c>
      <c r="E710" s="5" t="s">
        <v>3203</v>
      </c>
      <c r="F710" s="5" t="s">
        <v>26</v>
      </c>
      <c r="G710" s="7">
        <v>43297</v>
      </c>
      <c r="H710" s="5" t="s">
        <v>27</v>
      </c>
    </row>
    <row r="711" spans="1:10" x14ac:dyDescent="0.25">
      <c r="A711" t="s">
        <v>1</v>
      </c>
      <c r="B711" s="2">
        <v>13</v>
      </c>
      <c r="C711" s="4">
        <f>28065.44*G711</f>
        <v>533552.0798399999</v>
      </c>
      <c r="D711" s="5" t="s">
        <v>3291</v>
      </c>
      <c r="E711" s="5" t="s">
        <v>3292</v>
      </c>
      <c r="F711" s="5" t="s">
        <v>3293</v>
      </c>
      <c r="G711" s="6">
        <v>19.010999999999999</v>
      </c>
      <c r="H711" s="5">
        <v>35.71</v>
      </c>
      <c r="I711" s="7">
        <v>43294</v>
      </c>
      <c r="J711" s="5" t="s">
        <v>5</v>
      </c>
    </row>
    <row r="712" spans="1:10" x14ac:dyDescent="0.25">
      <c r="A712" t="s">
        <v>1</v>
      </c>
      <c r="B712" s="2">
        <v>13</v>
      </c>
      <c r="C712" s="4">
        <v>769080</v>
      </c>
      <c r="D712" s="5" t="s">
        <v>3298</v>
      </c>
      <c r="E712" s="5" t="s">
        <v>3297</v>
      </c>
      <c r="F712" s="5" t="s">
        <v>1468</v>
      </c>
      <c r="G712" s="143">
        <v>43293</v>
      </c>
      <c r="H712" s="5" t="s">
        <v>27</v>
      </c>
    </row>
    <row r="713" spans="1:10" x14ac:dyDescent="0.25">
      <c r="A713" s="14" t="s">
        <v>13</v>
      </c>
      <c r="B713" s="2">
        <v>14</v>
      </c>
    </row>
    <row r="714" spans="1:10" x14ac:dyDescent="0.25">
      <c r="A714" s="14" t="s">
        <v>14</v>
      </c>
      <c r="B714" s="2">
        <v>15</v>
      </c>
    </row>
    <row r="715" spans="1:10" x14ac:dyDescent="0.25">
      <c r="A715" t="s">
        <v>15</v>
      </c>
      <c r="B715" s="2">
        <v>16</v>
      </c>
      <c r="C715" s="18">
        <f>25000*G715</f>
        <v>499200</v>
      </c>
      <c r="D715" s="19" t="s">
        <v>3290</v>
      </c>
      <c r="E715" s="19"/>
      <c r="F715" s="19" t="s">
        <v>111</v>
      </c>
      <c r="G715" s="11">
        <v>19.968</v>
      </c>
      <c r="H715" s="10"/>
      <c r="I715" s="12">
        <v>43297</v>
      </c>
      <c r="J715" s="19"/>
    </row>
    <row r="716" spans="1:10" x14ac:dyDescent="0.25">
      <c r="A716" t="s">
        <v>15</v>
      </c>
      <c r="B716" s="2">
        <v>16</v>
      </c>
      <c r="C716" s="18">
        <f>25895.52*G716</f>
        <v>490927.26815999998</v>
      </c>
      <c r="D716" s="19" t="s">
        <v>3353</v>
      </c>
      <c r="E716" s="19" t="s">
        <v>3354</v>
      </c>
      <c r="F716" s="19" t="s">
        <v>3355</v>
      </c>
      <c r="G716" s="11">
        <v>18.957999999999998</v>
      </c>
      <c r="H716" s="10">
        <v>33.770000000000003</v>
      </c>
      <c r="I716" s="12">
        <v>43297</v>
      </c>
      <c r="J716" s="19"/>
    </row>
    <row r="717" spans="1:10" x14ac:dyDescent="0.25">
      <c r="A717" t="s">
        <v>15</v>
      </c>
      <c r="B717" s="2">
        <v>16</v>
      </c>
      <c r="C717" s="4">
        <f>697305+16704</f>
        <v>714009</v>
      </c>
      <c r="D717" s="5" t="s">
        <v>3304</v>
      </c>
      <c r="E717" s="5" t="s">
        <v>3305</v>
      </c>
      <c r="F717" s="5" t="s">
        <v>26</v>
      </c>
      <c r="G717" s="7">
        <v>43298</v>
      </c>
      <c r="H717" s="5" t="s">
        <v>27</v>
      </c>
    </row>
    <row r="718" spans="1:10" x14ac:dyDescent="0.25">
      <c r="A718" t="s">
        <v>15</v>
      </c>
      <c r="B718" s="2">
        <v>16</v>
      </c>
      <c r="C718" s="4">
        <f>402810+10857.6</f>
        <v>413667.6</v>
      </c>
      <c r="D718" s="5" t="s">
        <v>3307</v>
      </c>
      <c r="E718" s="5" t="s">
        <v>3306</v>
      </c>
      <c r="F718" s="5" t="s">
        <v>26</v>
      </c>
      <c r="G718" s="7">
        <v>43298</v>
      </c>
      <c r="H718" s="5" t="s">
        <v>27</v>
      </c>
    </row>
    <row r="719" spans="1:10" x14ac:dyDescent="0.25">
      <c r="A719" t="s">
        <v>15</v>
      </c>
      <c r="B719" s="2">
        <v>16</v>
      </c>
      <c r="C719" s="4">
        <f>671995.5+16787.52</f>
        <v>688783.02</v>
      </c>
      <c r="D719" s="5" t="s">
        <v>3308</v>
      </c>
      <c r="E719" s="5" t="s">
        <v>3234</v>
      </c>
      <c r="F719" s="5" t="s">
        <v>26</v>
      </c>
      <c r="G719" s="7">
        <v>43298</v>
      </c>
      <c r="H719" s="5" t="s">
        <v>27</v>
      </c>
    </row>
    <row r="720" spans="1:10" x14ac:dyDescent="0.25">
      <c r="A720" t="s">
        <v>15</v>
      </c>
      <c r="B720" s="2">
        <v>16</v>
      </c>
      <c r="C720" s="4">
        <f>442430+10857.6</f>
        <v>453287.6</v>
      </c>
      <c r="D720" s="5" t="s">
        <v>3309</v>
      </c>
      <c r="E720" s="5" t="s">
        <v>3235</v>
      </c>
      <c r="F720" s="5" t="s">
        <v>26</v>
      </c>
      <c r="G720" s="7">
        <v>43298</v>
      </c>
      <c r="H720" s="5" t="s">
        <v>27</v>
      </c>
    </row>
    <row r="721" spans="1:10" x14ac:dyDescent="0.25">
      <c r="A721" t="s">
        <v>34</v>
      </c>
      <c r="B721" s="2">
        <v>17</v>
      </c>
      <c r="C721" s="18">
        <f>26000*G721</f>
        <v>492960</v>
      </c>
      <c r="D721" s="19" t="s">
        <v>3364</v>
      </c>
      <c r="E721" s="19"/>
      <c r="F721" s="19" t="s">
        <v>1623</v>
      </c>
      <c r="G721" s="9">
        <v>18.96</v>
      </c>
      <c r="H721" s="10"/>
      <c r="I721" s="12">
        <v>43298</v>
      </c>
      <c r="J721" s="19"/>
    </row>
    <row r="722" spans="1:10" x14ac:dyDescent="0.25">
      <c r="A722" t="s">
        <v>34</v>
      </c>
      <c r="B722" s="2">
        <v>17</v>
      </c>
      <c r="C722" s="4">
        <f>808533.5+20880-9698.3</f>
        <v>819715.2</v>
      </c>
      <c r="D722" s="5" t="s">
        <v>3310</v>
      </c>
      <c r="E722" s="5" t="s">
        <v>3253</v>
      </c>
      <c r="F722" s="5" t="s">
        <v>26</v>
      </c>
      <c r="G722" s="7">
        <v>43299</v>
      </c>
      <c r="H722" s="5" t="s">
        <v>27</v>
      </c>
    </row>
    <row r="723" spans="1:10" x14ac:dyDescent="0.25">
      <c r="A723" t="s">
        <v>34</v>
      </c>
      <c r="B723" s="2">
        <v>17</v>
      </c>
      <c r="C723" s="4">
        <v>112316.54</v>
      </c>
      <c r="D723" s="5" t="s">
        <v>3361</v>
      </c>
      <c r="E723" s="5" t="s">
        <v>3360</v>
      </c>
      <c r="F723" s="5" t="s">
        <v>3362</v>
      </c>
      <c r="G723" s="5">
        <v>56.072000000000003</v>
      </c>
      <c r="H723" s="7">
        <v>43299</v>
      </c>
      <c r="I723" s="5" t="s">
        <v>5</v>
      </c>
    </row>
    <row r="724" spans="1:10" x14ac:dyDescent="0.25">
      <c r="A724" t="s">
        <v>34</v>
      </c>
      <c r="B724" s="2">
        <v>17</v>
      </c>
      <c r="C724" s="4">
        <v>37612</v>
      </c>
      <c r="D724" s="5" t="s">
        <v>3398</v>
      </c>
      <c r="E724" s="5" t="s">
        <v>3397</v>
      </c>
      <c r="F724" s="5" t="s">
        <v>23</v>
      </c>
      <c r="G724" s="5">
        <v>20</v>
      </c>
      <c r="H724" s="7">
        <v>43299</v>
      </c>
      <c r="I724" s="5" t="s">
        <v>5</v>
      </c>
    </row>
    <row r="725" spans="1:10" x14ac:dyDescent="0.25">
      <c r="A725" t="s">
        <v>44</v>
      </c>
      <c r="B725" s="2">
        <v>18</v>
      </c>
      <c r="C725" s="18">
        <f>24000*G725</f>
        <v>452880</v>
      </c>
      <c r="D725" s="19" t="s">
        <v>3369</v>
      </c>
      <c r="E725" s="19"/>
      <c r="F725" s="19" t="s">
        <v>3289</v>
      </c>
      <c r="G725" s="216">
        <v>18.87</v>
      </c>
      <c r="H725" s="217"/>
      <c r="I725" s="218">
        <v>43297</v>
      </c>
      <c r="J725" s="19"/>
    </row>
    <row r="726" spans="1:10" x14ac:dyDescent="0.25">
      <c r="A726" t="s">
        <v>44</v>
      </c>
      <c r="B726" s="2">
        <v>18</v>
      </c>
      <c r="C726" s="18">
        <f>24000*G726</f>
        <v>452880</v>
      </c>
      <c r="D726" s="19" t="s">
        <v>3370</v>
      </c>
      <c r="E726" s="19"/>
      <c r="F726" s="19" t="s">
        <v>3289</v>
      </c>
      <c r="G726" s="216">
        <v>18.87</v>
      </c>
      <c r="H726" s="217"/>
      <c r="I726" s="218">
        <v>43297</v>
      </c>
      <c r="J726" s="19"/>
    </row>
    <row r="727" spans="1:10" x14ac:dyDescent="0.25">
      <c r="A727" t="s">
        <v>44</v>
      </c>
      <c r="B727" s="2">
        <v>18</v>
      </c>
      <c r="C727" s="4">
        <v>192237.52</v>
      </c>
      <c r="D727" s="5" t="s">
        <v>3404</v>
      </c>
      <c r="E727" s="5" t="s">
        <v>3401</v>
      </c>
      <c r="F727" s="5" t="s">
        <v>2983</v>
      </c>
      <c r="G727" s="5">
        <v>94</v>
      </c>
      <c r="H727" s="7">
        <v>43300</v>
      </c>
      <c r="I727" s="5" t="s">
        <v>5</v>
      </c>
    </row>
    <row r="728" spans="1:10" x14ac:dyDescent="0.25">
      <c r="A728" t="s">
        <v>44</v>
      </c>
      <c r="B728" s="2">
        <v>18</v>
      </c>
      <c r="D728" t="s">
        <v>3390</v>
      </c>
      <c r="F728" t="s">
        <v>3391</v>
      </c>
      <c r="G728" s="3">
        <v>49</v>
      </c>
    </row>
    <row r="729" spans="1:10" x14ac:dyDescent="0.25">
      <c r="A729" t="s">
        <v>44</v>
      </c>
      <c r="B729" s="2">
        <v>18</v>
      </c>
      <c r="C729" s="4">
        <f>872100+20880</f>
        <v>892980</v>
      </c>
      <c r="D729" s="5" t="s">
        <v>3311</v>
      </c>
      <c r="E729" s="5" t="s">
        <v>3295</v>
      </c>
      <c r="F729" s="5" t="s">
        <v>26</v>
      </c>
      <c r="G729" s="7">
        <v>43299</v>
      </c>
      <c r="H729" s="5" t="s">
        <v>27</v>
      </c>
    </row>
    <row r="730" spans="1:10" x14ac:dyDescent="0.25">
      <c r="A730" t="s">
        <v>44</v>
      </c>
      <c r="B730" s="2">
        <v>18</v>
      </c>
      <c r="C730" s="3">
        <f>399900+10857.6</f>
        <v>410757.6</v>
      </c>
      <c r="D730" t="s">
        <v>3312</v>
      </c>
      <c r="E730" t="s">
        <v>3294</v>
      </c>
      <c r="F730" t="s">
        <v>26</v>
      </c>
    </row>
    <row r="731" spans="1:10" x14ac:dyDescent="0.25">
      <c r="A731" t="s">
        <v>50</v>
      </c>
      <c r="B731" s="2">
        <v>19</v>
      </c>
      <c r="C731" s="4">
        <v>793460</v>
      </c>
      <c r="D731" s="5" t="s">
        <v>3380</v>
      </c>
      <c r="E731" s="5" t="s">
        <v>3387</v>
      </c>
      <c r="F731" s="5" t="s">
        <v>1468</v>
      </c>
      <c r="G731" s="143">
        <v>43300</v>
      </c>
      <c r="H731" s="5" t="s">
        <v>27</v>
      </c>
    </row>
    <row r="732" spans="1:10" x14ac:dyDescent="0.25">
      <c r="A732" t="s">
        <v>50</v>
      </c>
      <c r="B732" s="2">
        <v>19</v>
      </c>
      <c r="C732" s="216">
        <f>26063.74*G732</f>
        <v>494507.33902000001</v>
      </c>
      <c r="D732" s="217" t="s">
        <v>3377</v>
      </c>
      <c r="E732" s="217" t="s">
        <v>3378</v>
      </c>
      <c r="F732" s="217" t="s">
        <v>3379</v>
      </c>
      <c r="G732" s="216">
        <v>18.972999999999999</v>
      </c>
      <c r="H732" s="217" t="s">
        <v>3431</v>
      </c>
      <c r="I732" s="218">
        <v>43300</v>
      </c>
      <c r="J732" s="19"/>
    </row>
    <row r="733" spans="1:10" x14ac:dyDescent="0.25">
      <c r="A733" t="s">
        <v>50</v>
      </c>
      <c r="B733" s="2">
        <v>19</v>
      </c>
      <c r="C733" s="3">
        <f>813000+20880</f>
        <v>833880</v>
      </c>
      <c r="D733" t="s">
        <v>3313</v>
      </c>
      <c r="E733" t="s">
        <v>3299</v>
      </c>
      <c r="F733" t="s">
        <v>26</v>
      </c>
    </row>
    <row r="734" spans="1:10" x14ac:dyDescent="0.25">
      <c r="A734" t="s">
        <v>50</v>
      </c>
      <c r="B734" s="2">
        <v>19</v>
      </c>
      <c r="C734" s="3">
        <f>459300+10857.6</f>
        <v>470157.6</v>
      </c>
      <c r="D734" t="s">
        <v>3314</v>
      </c>
      <c r="E734" t="s">
        <v>3300</v>
      </c>
      <c r="F734" t="s">
        <v>26</v>
      </c>
    </row>
    <row r="735" spans="1:10" x14ac:dyDescent="0.25">
      <c r="A735" t="s">
        <v>1</v>
      </c>
      <c r="B735" s="2">
        <v>20</v>
      </c>
    </row>
    <row r="736" spans="1:10" x14ac:dyDescent="0.25">
      <c r="A736" s="14" t="s">
        <v>13</v>
      </c>
      <c r="B736" s="2">
        <v>21</v>
      </c>
    </row>
    <row r="737" spans="1:10" x14ac:dyDescent="0.25">
      <c r="A737" s="14" t="s">
        <v>14</v>
      </c>
      <c r="B737" s="2">
        <v>22</v>
      </c>
    </row>
    <row r="738" spans="1:10" x14ac:dyDescent="0.25">
      <c r="A738" t="s">
        <v>15</v>
      </c>
      <c r="B738" s="2">
        <v>23</v>
      </c>
      <c r="C738" s="18"/>
      <c r="D738" s="19" t="s">
        <v>3366</v>
      </c>
      <c r="E738" s="19"/>
      <c r="F738" s="19"/>
      <c r="G738" s="20">
        <v>20</v>
      </c>
      <c r="H738" s="19"/>
      <c r="I738" s="19"/>
      <c r="J738" s="19"/>
    </row>
    <row r="739" spans="1:10" x14ac:dyDescent="0.25">
      <c r="A739" t="s">
        <v>15</v>
      </c>
      <c r="B739" s="2">
        <v>23</v>
      </c>
      <c r="C739" s="216">
        <f>26333.66*G739</f>
        <v>499022.85699999996</v>
      </c>
      <c r="D739" s="217" t="s">
        <v>3381</v>
      </c>
      <c r="E739" s="217" t="s">
        <v>3406</v>
      </c>
      <c r="F739" s="217" t="s">
        <v>3432</v>
      </c>
      <c r="G739" s="216">
        <v>18.95</v>
      </c>
      <c r="H739" s="217"/>
      <c r="I739" s="218">
        <v>43300</v>
      </c>
      <c r="J739" s="19"/>
    </row>
    <row r="740" spans="1:10" x14ac:dyDescent="0.25">
      <c r="A740" t="s">
        <v>15</v>
      </c>
      <c r="B740" s="2">
        <v>23</v>
      </c>
      <c r="C740" s="3">
        <f>848470+20880</f>
        <v>869350</v>
      </c>
      <c r="D740" t="s">
        <v>3347</v>
      </c>
      <c r="E740" t="s">
        <v>3348</v>
      </c>
      <c r="F740" t="s">
        <v>26</v>
      </c>
    </row>
    <row r="741" spans="1:10" x14ac:dyDescent="0.25">
      <c r="A741" t="s">
        <v>15</v>
      </c>
      <c r="B741" s="2">
        <v>23</v>
      </c>
      <c r="C741" s="3">
        <f>33635+835.2</f>
        <v>34470.199999999997</v>
      </c>
      <c r="D741" t="s">
        <v>3349</v>
      </c>
      <c r="E741" t="s">
        <v>3350</v>
      </c>
      <c r="F741" t="s">
        <v>26</v>
      </c>
    </row>
    <row r="742" spans="1:10" x14ac:dyDescent="0.25">
      <c r="A742" t="s">
        <v>15</v>
      </c>
      <c r="B742" s="2">
        <v>23</v>
      </c>
      <c r="C742" s="3">
        <f>456475+10857.6</f>
        <v>467332.6</v>
      </c>
      <c r="D742" t="s">
        <v>3320</v>
      </c>
      <c r="E742" t="s">
        <v>3352</v>
      </c>
      <c r="F742" t="s">
        <v>26</v>
      </c>
    </row>
    <row r="743" spans="1:10" x14ac:dyDescent="0.25">
      <c r="A743" t="s">
        <v>15</v>
      </c>
      <c r="B743" s="2">
        <v>23</v>
      </c>
      <c r="C743" s="3">
        <f>694710+16704</f>
        <v>711414</v>
      </c>
      <c r="D743" t="s">
        <v>3351</v>
      </c>
      <c r="E743" t="s">
        <v>3318</v>
      </c>
      <c r="F743" t="s">
        <v>26</v>
      </c>
    </row>
    <row r="744" spans="1:10" x14ac:dyDescent="0.25">
      <c r="A744" t="s">
        <v>34</v>
      </c>
      <c r="B744" s="2">
        <v>24</v>
      </c>
      <c r="C744" s="18"/>
      <c r="D744" s="19" t="s">
        <v>3367</v>
      </c>
      <c r="E744" s="19"/>
      <c r="F744" s="19"/>
      <c r="G744" s="20">
        <v>20</v>
      </c>
      <c r="H744" s="19"/>
      <c r="I744" s="19"/>
      <c r="J744" s="19"/>
    </row>
    <row r="745" spans="1:10" x14ac:dyDescent="0.25">
      <c r="A745" t="s">
        <v>34</v>
      </c>
      <c r="B745" s="2">
        <v>24</v>
      </c>
      <c r="C745" s="3">
        <f>697410+16704</f>
        <v>714114</v>
      </c>
      <c r="D745" t="s">
        <v>3346</v>
      </c>
      <c r="E745" t="s">
        <v>3335</v>
      </c>
      <c r="F745" t="s">
        <v>26</v>
      </c>
    </row>
    <row r="746" spans="1:10" x14ac:dyDescent="0.25">
      <c r="A746" t="s">
        <v>34</v>
      </c>
      <c r="B746" s="2">
        <v>24</v>
      </c>
      <c r="C746" s="3">
        <v>54689.7</v>
      </c>
      <c r="D746" t="s">
        <v>3429</v>
      </c>
      <c r="E746" t="s">
        <v>3415</v>
      </c>
      <c r="F746" t="s">
        <v>23</v>
      </c>
    </row>
    <row r="747" spans="1:10" x14ac:dyDescent="0.25">
      <c r="A747" t="s">
        <v>34</v>
      </c>
      <c r="B747" s="2">
        <v>24</v>
      </c>
      <c r="C747" s="3">
        <v>238191.3</v>
      </c>
      <c r="D747" t="s">
        <v>3442</v>
      </c>
      <c r="E747" t="s">
        <v>3427</v>
      </c>
      <c r="F747" t="s">
        <v>2983</v>
      </c>
      <c r="G747" s="3">
        <v>94</v>
      </c>
    </row>
    <row r="748" spans="1:10" x14ac:dyDescent="0.25">
      <c r="A748" t="s">
        <v>44</v>
      </c>
      <c r="B748" s="2">
        <v>25</v>
      </c>
      <c r="C748" s="18"/>
      <c r="D748" s="19" t="s">
        <v>3371</v>
      </c>
      <c r="E748" s="19"/>
      <c r="F748" s="19"/>
      <c r="G748" s="20">
        <v>20</v>
      </c>
      <c r="H748" s="19"/>
      <c r="I748" s="19"/>
      <c r="J748" s="19"/>
    </row>
    <row r="749" spans="1:10" x14ac:dyDescent="0.25">
      <c r="A749" t="s">
        <v>44</v>
      </c>
      <c r="B749" s="2">
        <v>25</v>
      </c>
      <c r="C749" s="18"/>
      <c r="D749" s="19" t="s">
        <v>3372</v>
      </c>
      <c r="E749" s="19"/>
      <c r="F749" s="19"/>
      <c r="G749" s="20">
        <v>20</v>
      </c>
      <c r="H749" s="19"/>
      <c r="I749" s="19"/>
      <c r="J749" s="19"/>
    </row>
    <row r="750" spans="1:10" x14ac:dyDescent="0.25">
      <c r="A750" t="s">
        <v>44</v>
      </c>
      <c r="B750" s="2">
        <v>25</v>
      </c>
      <c r="C750" s="3">
        <f>665910+16704</f>
        <v>682614</v>
      </c>
      <c r="D750" t="s">
        <v>3345</v>
      </c>
      <c r="E750" t="s">
        <v>3342</v>
      </c>
      <c r="F750" t="s">
        <v>26</v>
      </c>
    </row>
    <row r="751" spans="1:10" x14ac:dyDescent="0.25">
      <c r="A751" t="s">
        <v>44</v>
      </c>
      <c r="B751" s="2">
        <v>25</v>
      </c>
      <c r="C751" s="3">
        <f>464310+10774.08</f>
        <v>475084.08</v>
      </c>
      <c r="D751" t="s">
        <v>3344</v>
      </c>
      <c r="E751" t="s">
        <v>3343</v>
      </c>
      <c r="F751" t="s">
        <v>26</v>
      </c>
    </row>
    <row r="752" spans="1:10" x14ac:dyDescent="0.25">
      <c r="A752" t="s">
        <v>50</v>
      </c>
      <c r="B752" s="2">
        <v>26</v>
      </c>
      <c r="C752" s="3">
        <f>694260+16704</f>
        <v>710964</v>
      </c>
      <c r="D752" t="s">
        <v>3385</v>
      </c>
      <c r="E752" t="s">
        <v>3383</v>
      </c>
      <c r="F752" t="s">
        <v>26</v>
      </c>
    </row>
    <row r="753" spans="1:10" x14ac:dyDescent="0.25">
      <c r="A753" t="s">
        <v>50</v>
      </c>
      <c r="B753" s="2">
        <v>26</v>
      </c>
      <c r="C753" s="3">
        <f>490455+10857.6</f>
        <v>501312.6</v>
      </c>
      <c r="D753" t="s">
        <v>3386</v>
      </c>
      <c r="E753" t="s">
        <v>3384</v>
      </c>
      <c r="F753" t="s">
        <v>26</v>
      </c>
    </row>
    <row r="754" spans="1:10" x14ac:dyDescent="0.25">
      <c r="A754" t="s">
        <v>1</v>
      </c>
      <c r="B754" s="2">
        <v>27</v>
      </c>
      <c r="D754" t="s">
        <v>3421</v>
      </c>
      <c r="F754" t="s">
        <v>1468</v>
      </c>
    </row>
    <row r="755" spans="1:10" x14ac:dyDescent="0.25">
      <c r="A755" t="s">
        <v>1</v>
      </c>
      <c r="B755" s="2">
        <v>27</v>
      </c>
      <c r="C755" s="18">
        <f>25628.58*G755</f>
        <v>512571.60000000003</v>
      </c>
      <c r="D755" s="19" t="s">
        <v>3437</v>
      </c>
      <c r="E755" s="19" t="s">
        <v>3435</v>
      </c>
      <c r="F755" s="19" t="s">
        <v>3436</v>
      </c>
      <c r="G755" s="20">
        <v>20</v>
      </c>
    </row>
    <row r="756" spans="1:10" x14ac:dyDescent="0.25">
      <c r="A756" s="14" t="s">
        <v>13</v>
      </c>
      <c r="B756" s="2">
        <v>28</v>
      </c>
    </row>
    <row r="757" spans="1:10" x14ac:dyDescent="0.25">
      <c r="A757" s="14" t="s">
        <v>14</v>
      </c>
      <c r="B757" s="2">
        <v>29</v>
      </c>
    </row>
    <row r="758" spans="1:10" x14ac:dyDescent="0.25">
      <c r="A758" t="s">
        <v>15</v>
      </c>
      <c r="B758" s="2">
        <v>30</v>
      </c>
      <c r="C758" s="18"/>
      <c r="D758" s="19" t="s">
        <v>3368</v>
      </c>
      <c r="E758" s="19"/>
      <c r="F758" s="19"/>
      <c r="G758" s="20">
        <v>20</v>
      </c>
      <c r="H758" s="19"/>
      <c r="I758" s="19"/>
      <c r="J758" s="19"/>
    </row>
    <row r="759" spans="1:10" x14ac:dyDescent="0.25">
      <c r="A759" t="s">
        <v>15</v>
      </c>
      <c r="B759" s="2">
        <v>30</v>
      </c>
      <c r="C759" s="18">
        <f>25556.41*G759</f>
        <v>511128.2</v>
      </c>
      <c r="D759" s="19" t="s">
        <v>3439</v>
      </c>
      <c r="E759" s="19" t="s">
        <v>3440</v>
      </c>
      <c r="F759" s="19" t="s">
        <v>3441</v>
      </c>
      <c r="G759" s="20">
        <v>20</v>
      </c>
      <c r="H759" s="19"/>
      <c r="I759" s="19"/>
      <c r="J759" s="19"/>
    </row>
    <row r="760" spans="1:10" x14ac:dyDescent="0.25">
      <c r="A760" t="s">
        <v>15</v>
      </c>
      <c r="B760" s="2">
        <v>30</v>
      </c>
      <c r="C760" s="3">
        <f>877280+20880</f>
        <v>898160</v>
      </c>
      <c r="D760" t="s">
        <v>3411</v>
      </c>
      <c r="E760" t="s">
        <v>3407</v>
      </c>
      <c r="F760" t="s">
        <v>26</v>
      </c>
    </row>
    <row r="761" spans="1:10" x14ac:dyDescent="0.25">
      <c r="A761" t="s">
        <v>15</v>
      </c>
      <c r="B761" s="2">
        <v>30</v>
      </c>
      <c r="C761" s="3">
        <f>280480+6681.6</f>
        <v>287161.59999999998</v>
      </c>
      <c r="D761" t="s">
        <v>3412</v>
      </c>
      <c r="E761" t="s">
        <v>3408</v>
      </c>
      <c r="F761" t="s">
        <v>26</v>
      </c>
    </row>
    <row r="762" spans="1:10" x14ac:dyDescent="0.25">
      <c r="A762" t="s">
        <v>15</v>
      </c>
      <c r="B762" s="2">
        <v>30</v>
      </c>
      <c r="D762" t="s">
        <v>3434</v>
      </c>
      <c r="F762" t="s">
        <v>1468</v>
      </c>
    </row>
    <row r="763" spans="1:10" x14ac:dyDescent="0.25">
      <c r="A763" t="s">
        <v>15</v>
      </c>
      <c r="B763" s="2">
        <v>30</v>
      </c>
      <c r="D763" t="s">
        <v>3434</v>
      </c>
      <c r="F763" t="s">
        <v>1468</v>
      </c>
    </row>
    <row r="764" spans="1:10" x14ac:dyDescent="0.25">
      <c r="A764" t="s">
        <v>34</v>
      </c>
      <c r="B764" s="2">
        <v>31</v>
      </c>
      <c r="C764" s="18"/>
      <c r="D764" s="19" t="s">
        <v>3376</v>
      </c>
      <c r="E764" s="19"/>
      <c r="F764" s="19"/>
      <c r="G764" s="20">
        <v>20</v>
      </c>
      <c r="H764" s="19"/>
      <c r="I764" s="19"/>
      <c r="J764" s="19"/>
    </row>
    <row r="765" spans="1:10" x14ac:dyDescent="0.25">
      <c r="A765" t="s">
        <v>34</v>
      </c>
      <c r="B765" s="2">
        <v>31</v>
      </c>
      <c r="C765" s="3">
        <f>849280+20796.48</f>
        <v>870076.48</v>
      </c>
      <c r="D765" t="s">
        <v>3413</v>
      </c>
      <c r="E765" t="s">
        <v>2223</v>
      </c>
      <c r="F765" t="s">
        <v>26</v>
      </c>
    </row>
    <row r="766" spans="1:10" x14ac:dyDescent="0.25">
      <c r="A766" t="s">
        <v>34</v>
      </c>
      <c r="B766" s="2">
        <v>31</v>
      </c>
      <c r="C766" s="3">
        <f>288960+6681.6</f>
        <v>295641.59999999998</v>
      </c>
      <c r="D766" t="s">
        <v>3414</v>
      </c>
      <c r="E766" t="s">
        <v>3410</v>
      </c>
      <c r="F766" t="s">
        <v>26</v>
      </c>
    </row>
    <row r="767" spans="1:10" x14ac:dyDescent="0.25">
      <c r="A767" s="1" t="s">
        <v>3365</v>
      </c>
      <c r="B767" s="2"/>
    </row>
    <row r="768" spans="1:10" x14ac:dyDescent="0.25">
      <c r="A768" t="s">
        <v>44</v>
      </c>
      <c r="B768" s="2">
        <v>1</v>
      </c>
      <c r="C768" s="18"/>
      <c r="D768" s="19" t="s">
        <v>3373</v>
      </c>
      <c r="E768" s="19"/>
      <c r="F768" s="19"/>
      <c r="G768" s="20">
        <v>20</v>
      </c>
      <c r="H768" s="19"/>
      <c r="I768" s="19"/>
      <c r="J768" s="19"/>
    </row>
    <row r="769" spans="1:10" x14ac:dyDescent="0.25">
      <c r="A769" t="s">
        <v>44</v>
      </c>
      <c r="B769" s="2">
        <v>1</v>
      </c>
      <c r="C769" s="18"/>
      <c r="D769" s="19" t="s">
        <v>3374</v>
      </c>
      <c r="E769" s="19"/>
      <c r="F769" s="19"/>
      <c r="G769" s="20">
        <v>20</v>
      </c>
      <c r="H769" s="19"/>
      <c r="I769" s="19"/>
      <c r="J769" s="19"/>
    </row>
    <row r="770" spans="1:10" x14ac:dyDescent="0.25">
      <c r="A770" t="s">
        <v>44</v>
      </c>
      <c r="B770" s="2">
        <v>1</v>
      </c>
      <c r="C770" s="3">
        <f>472550+10857.6</f>
        <v>483407.6</v>
      </c>
      <c r="D770" t="s">
        <v>3423</v>
      </c>
      <c r="E770" t="s">
        <v>3420</v>
      </c>
      <c r="F770" t="s">
        <v>26</v>
      </c>
    </row>
    <row r="771" spans="1:10" x14ac:dyDescent="0.25">
      <c r="A771" t="s">
        <v>50</v>
      </c>
      <c r="B771" s="2">
        <v>2</v>
      </c>
      <c r="C771" s="3">
        <f>892287.5+20963.52</f>
        <v>913251.02</v>
      </c>
      <c r="D771" t="s">
        <v>3438</v>
      </c>
      <c r="E771" t="s">
        <v>3433</v>
      </c>
      <c r="F771" t="s">
        <v>26</v>
      </c>
    </row>
    <row r="772" spans="1:10" x14ac:dyDescent="0.25">
      <c r="A772" t="s">
        <v>50</v>
      </c>
      <c r="B772" s="2">
        <v>2</v>
      </c>
      <c r="C772" s="3">
        <f>459387.5+10857.6</f>
        <v>470245.1</v>
      </c>
      <c r="D772" t="s">
        <v>3424</v>
      </c>
      <c r="E772" t="s">
        <v>3422</v>
      </c>
      <c r="F772" t="s">
        <v>26</v>
      </c>
    </row>
    <row r="773" spans="1:10" x14ac:dyDescent="0.25">
      <c r="A773" t="s">
        <v>1</v>
      </c>
      <c r="B773" s="2">
        <v>3</v>
      </c>
      <c r="C773" s="3">
        <f>835087.5+20880</f>
        <v>855967.5</v>
      </c>
    </row>
    <row r="774" spans="1:10" x14ac:dyDescent="0.25">
      <c r="A774" t="s">
        <v>1</v>
      </c>
      <c r="B774" s="2">
        <v>3</v>
      </c>
      <c r="C774" s="3">
        <f>409987.5+10857.6</f>
        <v>420845.1</v>
      </c>
      <c r="D774" t="s">
        <v>3444</v>
      </c>
      <c r="E774" t="s">
        <v>3443</v>
      </c>
      <c r="F774" t="s">
        <v>26</v>
      </c>
    </row>
    <row r="775" spans="1:10" x14ac:dyDescent="0.25">
      <c r="A775" s="14" t="s">
        <v>13</v>
      </c>
      <c r="B775" s="2">
        <v>4</v>
      </c>
    </row>
    <row r="776" spans="1:10" x14ac:dyDescent="0.25">
      <c r="A776" s="14" t="s">
        <v>14</v>
      </c>
      <c r="B776" s="2">
        <v>5</v>
      </c>
    </row>
    <row r="777" spans="1:10" x14ac:dyDescent="0.25">
      <c r="A777" t="s">
        <v>15</v>
      </c>
      <c r="B777" s="2">
        <v>6</v>
      </c>
      <c r="C777" s="18"/>
      <c r="D777" s="19" t="s">
        <v>3375</v>
      </c>
      <c r="E777" s="19"/>
      <c r="F777" s="19"/>
      <c r="G777" s="20">
        <v>20</v>
      </c>
      <c r="H777" s="19"/>
      <c r="I777" s="19"/>
      <c r="J777" s="19"/>
    </row>
    <row r="778" spans="1:10" x14ac:dyDescent="0.25">
      <c r="A778" t="s">
        <v>15</v>
      </c>
      <c r="B778" s="2">
        <v>6</v>
      </c>
    </row>
    <row r="779" spans="1:10" x14ac:dyDescent="0.25">
      <c r="A779" t="s">
        <v>34</v>
      </c>
      <c r="B779" s="2">
        <v>7</v>
      </c>
    </row>
    <row r="780" spans="1:10" x14ac:dyDescent="0.25">
      <c r="A780" t="s">
        <v>44</v>
      </c>
      <c r="B780" s="2">
        <v>8</v>
      </c>
    </row>
    <row r="781" spans="1:10" x14ac:dyDescent="0.25">
      <c r="A781" t="s">
        <v>50</v>
      </c>
      <c r="B781" s="2">
        <v>9</v>
      </c>
    </row>
    <row r="782" spans="1:10" x14ac:dyDescent="0.25">
      <c r="A782" t="s">
        <v>1</v>
      </c>
      <c r="B782" s="2">
        <v>10</v>
      </c>
    </row>
    <row r="783" spans="1:10" x14ac:dyDescent="0.25">
      <c r="A783" s="14" t="s">
        <v>13</v>
      </c>
      <c r="B783" s="2">
        <v>11</v>
      </c>
    </row>
    <row r="784" spans="1:10" x14ac:dyDescent="0.25">
      <c r="A784" s="14" t="s">
        <v>14</v>
      </c>
      <c r="B784" s="2">
        <v>12</v>
      </c>
    </row>
    <row r="785" spans="1:2" x14ac:dyDescent="0.25">
      <c r="A785" t="s">
        <v>15</v>
      </c>
      <c r="B785" s="2">
        <v>13</v>
      </c>
    </row>
    <row r="786" spans="1:2" x14ac:dyDescent="0.25">
      <c r="A786" t="s">
        <v>34</v>
      </c>
      <c r="B786" s="2">
        <v>14</v>
      </c>
    </row>
    <row r="787" spans="1:2" x14ac:dyDescent="0.25">
      <c r="A787" t="s">
        <v>44</v>
      </c>
      <c r="B787" s="2">
        <v>15</v>
      </c>
    </row>
    <row r="788" spans="1:2" x14ac:dyDescent="0.25">
      <c r="A788" t="s">
        <v>50</v>
      </c>
      <c r="B788" s="2">
        <v>16</v>
      </c>
    </row>
    <row r="789" spans="1:2" x14ac:dyDescent="0.25">
      <c r="A789" t="s">
        <v>1</v>
      </c>
      <c r="B789" s="2">
        <v>17</v>
      </c>
    </row>
    <row r="790" spans="1:2" x14ac:dyDescent="0.25">
      <c r="A790" s="14" t="s">
        <v>13</v>
      </c>
      <c r="B790" s="2">
        <v>18</v>
      </c>
    </row>
    <row r="791" spans="1:2" x14ac:dyDescent="0.25">
      <c r="A791" s="14" t="s">
        <v>14</v>
      </c>
      <c r="B791" s="2">
        <v>19</v>
      </c>
    </row>
    <row r="792" spans="1:2" x14ac:dyDescent="0.25">
      <c r="A792" t="s">
        <v>15</v>
      </c>
      <c r="B792" s="2">
        <v>20</v>
      </c>
    </row>
    <row r="793" spans="1:2" x14ac:dyDescent="0.25">
      <c r="A793" t="s">
        <v>34</v>
      </c>
      <c r="B793" s="2">
        <v>21</v>
      </c>
    </row>
    <row r="794" spans="1:2" x14ac:dyDescent="0.25">
      <c r="A794" t="s">
        <v>44</v>
      </c>
      <c r="B794" s="2">
        <v>22</v>
      </c>
    </row>
    <row r="795" spans="1:2" x14ac:dyDescent="0.25">
      <c r="A795" t="s">
        <v>50</v>
      </c>
      <c r="B795" s="2">
        <v>23</v>
      </c>
    </row>
    <row r="796" spans="1:2" x14ac:dyDescent="0.25">
      <c r="A796" t="s">
        <v>1</v>
      </c>
      <c r="B796" s="2">
        <v>24</v>
      </c>
    </row>
    <row r="797" spans="1:2" x14ac:dyDescent="0.25">
      <c r="A797" s="14" t="s">
        <v>13</v>
      </c>
      <c r="B797" s="2">
        <v>25</v>
      </c>
    </row>
    <row r="798" spans="1:2" x14ac:dyDescent="0.25">
      <c r="A798" s="14" t="s">
        <v>14</v>
      </c>
      <c r="B798" s="2">
        <v>26</v>
      </c>
    </row>
    <row r="799" spans="1:2" x14ac:dyDescent="0.25">
      <c r="A799" t="s">
        <v>15</v>
      </c>
      <c r="B799" s="2">
        <v>27</v>
      </c>
    </row>
    <row r="800" spans="1:2" x14ac:dyDescent="0.25">
      <c r="A800" t="s">
        <v>34</v>
      </c>
      <c r="B800" s="2">
        <v>28</v>
      </c>
    </row>
    <row r="801" spans="1:2" x14ac:dyDescent="0.25">
      <c r="A801" t="s">
        <v>44</v>
      </c>
      <c r="B801" s="2">
        <v>29</v>
      </c>
    </row>
    <row r="802" spans="1:2" x14ac:dyDescent="0.25">
      <c r="A802" t="s">
        <v>50</v>
      </c>
      <c r="B802" s="2">
        <v>30</v>
      </c>
    </row>
    <row r="803" spans="1:2" x14ac:dyDescent="0.25">
      <c r="A803" t="s">
        <v>1</v>
      </c>
      <c r="B803" s="2">
        <v>31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S228"/>
  <sheetViews>
    <sheetView workbookViewId="0">
      <pane ySplit="4" topLeftCell="A195" activePane="bottomLeft" state="frozen"/>
      <selection pane="bottomLeft" activeCell="F219" sqref="F219"/>
    </sheetView>
  </sheetViews>
  <sheetFormatPr baseColWidth="10" defaultRowHeight="15" x14ac:dyDescent="0.25"/>
  <cols>
    <col min="1" max="1" width="12.7109375" customWidth="1"/>
    <col min="2" max="2" width="12.5703125" style="3" bestFit="1" customWidth="1"/>
    <col min="3" max="3" width="4.42578125" style="3" customWidth="1"/>
    <col min="6" max="6" width="15.42578125" style="3" customWidth="1"/>
    <col min="7" max="7" width="12.140625" style="3" customWidth="1"/>
    <col min="8" max="9" width="12.5703125" style="70" customWidth="1"/>
    <col min="10" max="10" width="11.42578125" customWidth="1"/>
  </cols>
  <sheetData>
    <row r="2" spans="1:19" x14ac:dyDescent="0.25">
      <c r="A2" t="s">
        <v>369</v>
      </c>
      <c r="F2" s="3" t="s">
        <v>370</v>
      </c>
    </row>
    <row r="3" spans="1:19" x14ac:dyDescent="0.25">
      <c r="G3" s="71" t="s">
        <v>371</v>
      </c>
    </row>
    <row r="4" spans="1:19" x14ac:dyDescent="0.25">
      <c r="A4" t="s">
        <v>372</v>
      </c>
      <c r="B4" s="3" t="s">
        <v>373</v>
      </c>
      <c r="C4" s="3" t="s">
        <v>314</v>
      </c>
      <c r="D4" t="s">
        <v>374</v>
      </c>
      <c r="E4" t="s">
        <v>375</v>
      </c>
      <c r="F4" s="3" t="s">
        <v>376</v>
      </c>
      <c r="G4" s="71" t="s">
        <v>377</v>
      </c>
      <c r="H4" s="70" t="s">
        <v>378</v>
      </c>
      <c r="I4" s="70" t="s">
        <v>379</v>
      </c>
      <c r="J4" s="3"/>
    </row>
    <row r="5" spans="1:19" x14ac:dyDescent="0.25">
      <c r="A5" t="s">
        <v>385</v>
      </c>
      <c r="B5" s="3">
        <v>35000</v>
      </c>
      <c r="C5" s="3" t="s">
        <v>342</v>
      </c>
      <c r="D5" s="17">
        <v>42726</v>
      </c>
      <c r="E5">
        <v>1323951</v>
      </c>
      <c r="F5" s="3">
        <v>32362.44</v>
      </c>
      <c r="G5" s="72">
        <v>42733</v>
      </c>
      <c r="H5" s="70">
        <f t="shared" ref="H5:H37" si="0">B5-F5</f>
        <v>2637.5600000000013</v>
      </c>
      <c r="I5" s="70" t="e">
        <f>#REF!+H5</f>
        <v>#REF!</v>
      </c>
      <c r="J5" t="s">
        <v>386</v>
      </c>
      <c r="M5" s="77" t="s">
        <v>387</v>
      </c>
      <c r="N5" s="77"/>
      <c r="O5" s="77"/>
      <c r="P5" s="77"/>
      <c r="Q5" s="77"/>
      <c r="R5" s="77"/>
      <c r="S5" s="77"/>
    </row>
    <row r="6" spans="1:19" x14ac:dyDescent="0.25">
      <c r="A6" t="s">
        <v>388</v>
      </c>
      <c r="D6" s="17"/>
      <c r="G6" s="72"/>
      <c r="H6" s="70">
        <f t="shared" si="0"/>
        <v>0</v>
      </c>
      <c r="I6" s="70">
        <v>18159.939999999999</v>
      </c>
    </row>
    <row r="7" spans="1:19" x14ac:dyDescent="0.25">
      <c r="A7" t="s">
        <v>389</v>
      </c>
      <c r="B7" s="3">
        <v>10000</v>
      </c>
      <c r="C7" s="3" t="s">
        <v>345</v>
      </c>
      <c r="D7" s="17">
        <v>42734</v>
      </c>
      <c r="E7">
        <v>1325778</v>
      </c>
      <c r="F7" s="3">
        <v>30377.919999999998</v>
      </c>
      <c r="G7" s="72">
        <v>42740</v>
      </c>
      <c r="H7" s="70">
        <f t="shared" si="0"/>
        <v>-20377.919999999998</v>
      </c>
      <c r="I7" s="70">
        <f t="shared" ref="I7:I12" si="1">I6+H7</f>
        <v>-2217.9799999999996</v>
      </c>
    </row>
    <row r="8" spans="1:19" x14ac:dyDescent="0.25">
      <c r="A8" t="s">
        <v>390</v>
      </c>
      <c r="B8" s="3">
        <v>35000</v>
      </c>
      <c r="C8" s="3" t="s">
        <v>355</v>
      </c>
      <c r="D8" s="17">
        <v>42738</v>
      </c>
      <c r="E8">
        <v>1327059</v>
      </c>
      <c r="F8" s="3">
        <v>29286.47</v>
      </c>
      <c r="G8" s="72">
        <v>42741</v>
      </c>
      <c r="H8" s="70">
        <f t="shared" si="0"/>
        <v>5713.5299999999988</v>
      </c>
      <c r="I8" s="70">
        <f t="shared" si="1"/>
        <v>3495.5499999999993</v>
      </c>
    </row>
    <row r="9" spans="1:19" x14ac:dyDescent="0.25">
      <c r="A9" t="s">
        <v>391</v>
      </c>
      <c r="B9" s="3">
        <v>33000</v>
      </c>
      <c r="C9" s="3" t="s">
        <v>331</v>
      </c>
      <c r="D9" s="17">
        <v>42373</v>
      </c>
      <c r="E9">
        <v>1326576</v>
      </c>
      <c r="F9" s="3">
        <v>27101.8</v>
      </c>
      <c r="G9" s="72">
        <v>42744</v>
      </c>
      <c r="H9" s="70">
        <f t="shared" si="0"/>
        <v>5898.2000000000007</v>
      </c>
      <c r="I9" s="70">
        <f t="shared" si="1"/>
        <v>9393.75</v>
      </c>
    </row>
    <row r="10" spans="1:19" x14ac:dyDescent="0.25">
      <c r="A10" t="s">
        <v>392</v>
      </c>
      <c r="B10" s="3">
        <v>33000</v>
      </c>
      <c r="C10" s="3" t="s">
        <v>331</v>
      </c>
      <c r="D10" s="17">
        <v>42373</v>
      </c>
      <c r="E10">
        <v>1326577</v>
      </c>
      <c r="F10" s="3">
        <v>27288.69</v>
      </c>
      <c r="G10" s="72">
        <v>42745</v>
      </c>
      <c r="H10" s="70">
        <f t="shared" si="0"/>
        <v>5711.3100000000013</v>
      </c>
      <c r="I10" s="70">
        <f t="shared" si="1"/>
        <v>15105.060000000001</v>
      </c>
    </row>
    <row r="11" spans="1:19" x14ac:dyDescent="0.25">
      <c r="A11" t="s">
        <v>393</v>
      </c>
      <c r="B11" s="3">
        <v>20000</v>
      </c>
      <c r="C11" s="3" t="s">
        <v>342</v>
      </c>
      <c r="D11" s="17">
        <v>42740</v>
      </c>
      <c r="E11">
        <v>1328016</v>
      </c>
      <c r="F11" s="3">
        <v>25895.23</v>
      </c>
      <c r="G11" s="72">
        <v>42746</v>
      </c>
      <c r="H11" s="70">
        <f t="shared" si="0"/>
        <v>-5895.23</v>
      </c>
      <c r="I11" s="70">
        <f t="shared" si="1"/>
        <v>9209.8300000000017</v>
      </c>
    </row>
    <row r="12" spans="1:19" x14ac:dyDescent="0.25">
      <c r="A12" t="s">
        <v>394</v>
      </c>
      <c r="B12" s="3">
        <v>25000</v>
      </c>
      <c r="C12" s="3" t="s">
        <v>381</v>
      </c>
      <c r="D12" s="17">
        <v>42744</v>
      </c>
      <c r="E12">
        <v>1328399</v>
      </c>
      <c r="F12" s="3">
        <v>25541.63</v>
      </c>
      <c r="G12" s="72">
        <v>42748</v>
      </c>
      <c r="H12" s="70">
        <f t="shared" si="0"/>
        <v>-541.63000000000102</v>
      </c>
      <c r="I12" s="70">
        <f t="shared" si="1"/>
        <v>8668.2000000000007</v>
      </c>
    </row>
    <row r="13" spans="1:19" x14ac:dyDescent="0.25">
      <c r="A13" t="s">
        <v>395</v>
      </c>
      <c r="C13" s="3" t="s">
        <v>381</v>
      </c>
      <c r="D13" s="17">
        <v>42744</v>
      </c>
      <c r="E13" s="75" t="s">
        <v>384</v>
      </c>
      <c r="G13" s="72">
        <v>42748</v>
      </c>
      <c r="H13" s="70">
        <f t="shared" si="0"/>
        <v>0</v>
      </c>
      <c r="I13" s="70">
        <f t="shared" ref="I13:I76" si="2">I12+H13</f>
        <v>8668.2000000000007</v>
      </c>
      <c r="J13" t="s">
        <v>396</v>
      </c>
    </row>
    <row r="14" spans="1:19" x14ac:dyDescent="0.25">
      <c r="A14" t="s">
        <v>397</v>
      </c>
      <c r="B14" s="3">
        <v>26500</v>
      </c>
      <c r="C14" s="3" t="s">
        <v>331</v>
      </c>
      <c r="D14" s="17">
        <v>42746</v>
      </c>
      <c r="E14">
        <v>1329282</v>
      </c>
      <c r="F14" s="3">
        <v>25531.99</v>
      </c>
      <c r="G14" s="72">
        <v>42752</v>
      </c>
      <c r="H14" s="70">
        <f t="shared" si="0"/>
        <v>968.0099999999984</v>
      </c>
      <c r="I14" s="70">
        <f t="shared" si="2"/>
        <v>9636.2099999999991</v>
      </c>
    </row>
    <row r="15" spans="1:19" x14ac:dyDescent="0.25">
      <c r="A15" t="s">
        <v>398</v>
      </c>
      <c r="B15" s="3">
        <v>26500</v>
      </c>
      <c r="C15" s="3" t="s">
        <v>331</v>
      </c>
      <c r="D15" s="17">
        <v>42746</v>
      </c>
      <c r="E15">
        <v>1329760</v>
      </c>
      <c r="F15" s="3">
        <v>26241.05</v>
      </c>
      <c r="G15" s="72">
        <v>42752</v>
      </c>
      <c r="H15" s="70">
        <f t="shared" si="0"/>
        <v>258.95000000000073</v>
      </c>
      <c r="I15" s="70">
        <f t="shared" si="2"/>
        <v>9895.16</v>
      </c>
    </row>
    <row r="16" spans="1:19" x14ac:dyDescent="0.25">
      <c r="A16" t="s">
        <v>399</v>
      </c>
      <c r="B16" s="3">
        <v>25000</v>
      </c>
      <c r="C16" s="3" t="s">
        <v>342</v>
      </c>
      <c r="D16" s="17">
        <v>42747</v>
      </c>
      <c r="E16">
        <v>1329840</v>
      </c>
      <c r="F16" s="3">
        <v>26279.08</v>
      </c>
      <c r="G16" s="72">
        <v>42753</v>
      </c>
      <c r="H16" s="70">
        <f t="shared" si="0"/>
        <v>-1279.0800000000017</v>
      </c>
      <c r="I16" s="70">
        <f t="shared" si="2"/>
        <v>8616.0799999999981</v>
      </c>
    </row>
    <row r="17" spans="1:9" x14ac:dyDescent="0.25">
      <c r="A17" t="s">
        <v>400</v>
      </c>
      <c r="B17" s="3">
        <v>25000</v>
      </c>
      <c r="C17" s="3" t="s">
        <v>381</v>
      </c>
      <c r="D17" s="17">
        <v>42744</v>
      </c>
      <c r="E17">
        <v>1330464</v>
      </c>
      <c r="F17" s="3">
        <v>27980.3</v>
      </c>
      <c r="G17" s="72">
        <v>42755</v>
      </c>
      <c r="H17" s="70">
        <f t="shared" si="0"/>
        <v>-2980.2999999999993</v>
      </c>
      <c r="I17" s="70">
        <f t="shared" si="2"/>
        <v>5635.7799999999988</v>
      </c>
    </row>
    <row r="18" spans="1:9" x14ac:dyDescent="0.25">
      <c r="A18" t="s">
        <v>401</v>
      </c>
      <c r="B18" s="3">
        <v>23000</v>
      </c>
      <c r="C18" s="3" t="s">
        <v>355</v>
      </c>
      <c r="D18" s="17">
        <v>42752</v>
      </c>
      <c r="E18">
        <v>1330465</v>
      </c>
      <c r="F18" s="3">
        <v>27622.76</v>
      </c>
      <c r="G18" s="72">
        <v>42755</v>
      </c>
      <c r="H18" s="70">
        <f t="shared" si="0"/>
        <v>-4622.7599999999984</v>
      </c>
      <c r="I18" s="70">
        <f t="shared" si="2"/>
        <v>1013.0200000000004</v>
      </c>
    </row>
    <row r="19" spans="1:9" x14ac:dyDescent="0.25">
      <c r="A19" t="s">
        <v>402</v>
      </c>
      <c r="B19" s="3">
        <v>28000</v>
      </c>
      <c r="C19" s="3" t="s">
        <v>331</v>
      </c>
      <c r="D19" s="17">
        <v>42753</v>
      </c>
      <c r="E19">
        <v>1331390</v>
      </c>
      <c r="F19" s="3">
        <v>27553.46</v>
      </c>
      <c r="G19" s="72">
        <v>42758</v>
      </c>
      <c r="H19" s="70">
        <f t="shared" si="0"/>
        <v>446.54000000000087</v>
      </c>
      <c r="I19" s="70">
        <f t="shared" si="2"/>
        <v>1459.5600000000013</v>
      </c>
    </row>
    <row r="20" spans="1:9" x14ac:dyDescent="0.25">
      <c r="A20" t="s">
        <v>403</v>
      </c>
      <c r="B20" s="3">
        <v>28000</v>
      </c>
      <c r="C20" s="3" t="s">
        <v>331</v>
      </c>
      <c r="D20" s="17">
        <v>42753</v>
      </c>
      <c r="E20">
        <v>1330954</v>
      </c>
      <c r="F20" s="3">
        <v>27916.91</v>
      </c>
      <c r="G20" s="72">
        <v>42759</v>
      </c>
      <c r="H20" s="70">
        <f t="shared" si="0"/>
        <v>83.090000000000146</v>
      </c>
      <c r="I20" s="70">
        <f t="shared" si="2"/>
        <v>1542.6500000000015</v>
      </c>
    </row>
    <row r="21" spans="1:9" x14ac:dyDescent="0.25">
      <c r="A21" t="s">
        <v>404</v>
      </c>
      <c r="B21" s="3">
        <v>28000</v>
      </c>
      <c r="C21" s="3" t="s">
        <v>342</v>
      </c>
      <c r="D21" s="17">
        <v>42754</v>
      </c>
      <c r="E21">
        <v>1332066</v>
      </c>
      <c r="F21" s="3">
        <v>28177.52</v>
      </c>
      <c r="G21" s="72">
        <v>42760</v>
      </c>
      <c r="H21" s="70">
        <f t="shared" si="0"/>
        <v>-177.52000000000044</v>
      </c>
      <c r="I21" s="70">
        <f t="shared" si="2"/>
        <v>1365.130000000001</v>
      </c>
    </row>
    <row r="22" spans="1:9" x14ac:dyDescent="0.25">
      <c r="A22" t="s">
        <v>405</v>
      </c>
      <c r="B22" s="3">
        <v>28000</v>
      </c>
      <c r="C22" s="3" t="s">
        <v>350</v>
      </c>
      <c r="D22" s="17">
        <v>42758</v>
      </c>
      <c r="E22">
        <v>1332357</v>
      </c>
      <c r="F22" s="3">
        <v>31343.88</v>
      </c>
      <c r="G22" s="72">
        <v>42762</v>
      </c>
      <c r="H22" s="70">
        <f t="shared" si="0"/>
        <v>-3343.880000000001</v>
      </c>
      <c r="I22" s="70">
        <f t="shared" si="2"/>
        <v>-1978.75</v>
      </c>
    </row>
    <row r="23" spans="1:9" x14ac:dyDescent="0.25">
      <c r="A23" t="s">
        <v>406</v>
      </c>
      <c r="B23" s="3">
        <v>28000</v>
      </c>
      <c r="C23" s="3" t="s">
        <v>350</v>
      </c>
      <c r="D23" s="17">
        <v>42758</v>
      </c>
      <c r="E23">
        <v>1332519</v>
      </c>
      <c r="F23" s="3">
        <v>30939.67</v>
      </c>
      <c r="G23" s="72">
        <v>42762</v>
      </c>
      <c r="H23" s="70">
        <f t="shared" si="0"/>
        <v>-2939.6699999999983</v>
      </c>
      <c r="I23" s="70">
        <f t="shared" si="2"/>
        <v>-4918.4199999999983</v>
      </c>
    </row>
    <row r="24" spans="1:9" x14ac:dyDescent="0.25">
      <c r="A24" t="s">
        <v>407</v>
      </c>
      <c r="B24" s="3">
        <v>28000</v>
      </c>
      <c r="C24" s="3" t="s">
        <v>331</v>
      </c>
      <c r="D24" s="17">
        <v>42760</v>
      </c>
      <c r="E24">
        <v>1333024</v>
      </c>
      <c r="F24" s="3">
        <v>30788.959999999999</v>
      </c>
      <c r="G24" s="72">
        <v>42765</v>
      </c>
      <c r="H24" s="70">
        <f t="shared" si="0"/>
        <v>-2788.9599999999991</v>
      </c>
      <c r="I24" s="70">
        <f t="shared" si="2"/>
        <v>-7707.3799999999974</v>
      </c>
    </row>
    <row r="25" spans="1:9" x14ac:dyDescent="0.25">
      <c r="A25" t="s">
        <v>408</v>
      </c>
      <c r="B25" s="3">
        <v>28000</v>
      </c>
      <c r="C25" s="3" t="s">
        <v>331</v>
      </c>
      <c r="D25" s="17">
        <v>42760</v>
      </c>
      <c r="E25">
        <v>1333554</v>
      </c>
      <c r="F25" s="3">
        <v>30781</v>
      </c>
      <c r="G25" s="72">
        <v>42766</v>
      </c>
      <c r="H25" s="70">
        <f t="shared" si="0"/>
        <v>-2781</v>
      </c>
      <c r="I25" s="70">
        <f t="shared" si="2"/>
        <v>-10488.379999999997</v>
      </c>
    </row>
    <row r="26" spans="1:9" x14ac:dyDescent="0.25">
      <c r="A26" t="s">
        <v>409</v>
      </c>
      <c r="B26" s="3">
        <v>28000</v>
      </c>
      <c r="C26" s="3" t="s">
        <v>342</v>
      </c>
      <c r="D26" s="17">
        <v>42761</v>
      </c>
      <c r="E26">
        <v>1334296</v>
      </c>
      <c r="F26" s="3">
        <v>30444.21</v>
      </c>
      <c r="G26" s="72">
        <v>42767</v>
      </c>
      <c r="H26" s="70">
        <f t="shared" si="0"/>
        <v>-2444.2099999999991</v>
      </c>
      <c r="I26" s="70">
        <f t="shared" si="2"/>
        <v>-12932.589999999997</v>
      </c>
    </row>
    <row r="27" spans="1:9" x14ac:dyDescent="0.25">
      <c r="A27" t="s">
        <v>410</v>
      </c>
      <c r="B27" s="3">
        <v>28000</v>
      </c>
      <c r="C27" s="3" t="s">
        <v>350</v>
      </c>
      <c r="D27" s="17">
        <v>42765</v>
      </c>
      <c r="E27">
        <v>1334425</v>
      </c>
      <c r="F27" s="3">
        <v>29560.51</v>
      </c>
      <c r="G27" s="72">
        <v>42769</v>
      </c>
      <c r="H27" s="70">
        <f t="shared" si="0"/>
        <v>-1560.5099999999984</v>
      </c>
      <c r="I27" s="70">
        <f t="shared" si="2"/>
        <v>-14493.099999999995</v>
      </c>
    </row>
    <row r="28" spans="1:9" x14ac:dyDescent="0.25">
      <c r="A28" t="s">
        <v>411</v>
      </c>
      <c r="B28" s="3">
        <v>28000</v>
      </c>
      <c r="C28" s="3" t="s">
        <v>350</v>
      </c>
      <c r="D28" s="17">
        <v>42765</v>
      </c>
      <c r="E28">
        <v>1334426</v>
      </c>
      <c r="F28" s="3">
        <v>29736.61</v>
      </c>
      <c r="G28" s="72">
        <v>42769</v>
      </c>
      <c r="H28" s="70">
        <f t="shared" si="0"/>
        <v>-1736.6100000000006</v>
      </c>
      <c r="I28" s="70">
        <f t="shared" si="2"/>
        <v>-16229.709999999995</v>
      </c>
    </row>
    <row r="29" spans="1:9" x14ac:dyDescent="0.25">
      <c r="A29" t="s">
        <v>412</v>
      </c>
      <c r="B29" s="3">
        <v>28500</v>
      </c>
      <c r="C29" s="3" t="s">
        <v>331</v>
      </c>
      <c r="D29" s="17">
        <v>42767</v>
      </c>
      <c r="E29">
        <v>1335510</v>
      </c>
      <c r="F29" s="3">
        <v>29471.11</v>
      </c>
      <c r="G29" s="72">
        <v>42773</v>
      </c>
      <c r="H29" s="70">
        <f t="shared" si="0"/>
        <v>-971.11000000000058</v>
      </c>
      <c r="I29" s="70">
        <f t="shared" si="2"/>
        <v>-17200.819999999996</v>
      </c>
    </row>
    <row r="30" spans="1:9" x14ac:dyDescent="0.25">
      <c r="A30" t="s">
        <v>413</v>
      </c>
      <c r="B30" s="3">
        <v>28500</v>
      </c>
      <c r="C30" s="3" t="s">
        <v>331</v>
      </c>
      <c r="D30" s="17">
        <v>42767</v>
      </c>
      <c r="E30">
        <v>1336468</v>
      </c>
      <c r="F30" s="3">
        <v>29447.279999999999</v>
      </c>
      <c r="G30" s="72">
        <v>42774</v>
      </c>
      <c r="H30" s="70">
        <f t="shared" si="0"/>
        <v>-947.27999999999884</v>
      </c>
      <c r="I30" s="70">
        <f t="shared" si="2"/>
        <v>-18148.099999999995</v>
      </c>
    </row>
    <row r="31" spans="1:9" x14ac:dyDescent="0.25">
      <c r="A31" t="s">
        <v>414</v>
      </c>
      <c r="B31" s="3">
        <v>40000</v>
      </c>
      <c r="C31" s="3" t="s">
        <v>345</v>
      </c>
      <c r="D31" s="17">
        <v>42769</v>
      </c>
      <c r="E31">
        <v>1336672</v>
      </c>
      <c r="F31" s="3">
        <v>30043.19</v>
      </c>
      <c r="G31" s="72">
        <v>42776</v>
      </c>
      <c r="H31" s="70">
        <f t="shared" si="0"/>
        <v>9956.8100000000013</v>
      </c>
      <c r="I31" s="70">
        <f t="shared" si="2"/>
        <v>-8191.2899999999936</v>
      </c>
    </row>
    <row r="32" spans="1:9" x14ac:dyDescent="0.25">
      <c r="A32" t="s">
        <v>415</v>
      </c>
      <c r="B32" s="3">
        <v>40000</v>
      </c>
      <c r="C32" s="3" t="s">
        <v>355</v>
      </c>
      <c r="D32" s="17">
        <v>42773</v>
      </c>
      <c r="E32">
        <v>1336971</v>
      </c>
      <c r="F32" s="3">
        <v>29687.16</v>
      </c>
      <c r="G32" s="72">
        <v>42776</v>
      </c>
      <c r="H32" s="70">
        <f t="shared" si="0"/>
        <v>10312.84</v>
      </c>
      <c r="I32" s="70">
        <f t="shared" si="2"/>
        <v>2121.5500000000065</v>
      </c>
    </row>
    <row r="33" spans="1:9" x14ac:dyDescent="0.25">
      <c r="A33" t="s">
        <v>416</v>
      </c>
      <c r="B33" s="3">
        <v>30000</v>
      </c>
      <c r="C33" s="3" t="s">
        <v>331</v>
      </c>
      <c r="D33" s="17">
        <v>42774</v>
      </c>
      <c r="E33">
        <v>1337636</v>
      </c>
      <c r="F33" s="3">
        <v>30404.09</v>
      </c>
      <c r="G33" s="72">
        <v>42779</v>
      </c>
      <c r="H33" s="70">
        <f t="shared" si="0"/>
        <v>-404.09000000000015</v>
      </c>
      <c r="I33" s="70">
        <f t="shared" si="2"/>
        <v>1717.4600000000064</v>
      </c>
    </row>
    <row r="34" spans="1:9" x14ac:dyDescent="0.25">
      <c r="A34" t="s">
        <v>417</v>
      </c>
      <c r="B34" s="3">
        <v>30000</v>
      </c>
      <c r="C34" s="3" t="s">
        <v>342</v>
      </c>
      <c r="D34" s="17">
        <v>42775</v>
      </c>
      <c r="E34">
        <v>1338571</v>
      </c>
      <c r="F34" s="3">
        <v>31650.11</v>
      </c>
      <c r="G34" s="72">
        <v>42781</v>
      </c>
      <c r="H34" s="70">
        <f t="shared" si="0"/>
        <v>-1650.1100000000006</v>
      </c>
      <c r="I34" s="70">
        <f t="shared" si="2"/>
        <v>67.350000000005821</v>
      </c>
    </row>
    <row r="35" spans="1:9" x14ac:dyDescent="0.25">
      <c r="A35" t="s">
        <v>418</v>
      </c>
      <c r="B35" s="3">
        <v>31000</v>
      </c>
      <c r="C35" s="3" t="s">
        <v>350</v>
      </c>
      <c r="D35" s="17">
        <v>42779</v>
      </c>
      <c r="E35">
        <v>1338847</v>
      </c>
      <c r="F35" s="3">
        <v>30801.31</v>
      </c>
      <c r="G35" s="72">
        <v>42783</v>
      </c>
      <c r="H35" s="70">
        <f t="shared" si="0"/>
        <v>198.68999999999869</v>
      </c>
      <c r="I35" s="70">
        <f t="shared" si="2"/>
        <v>266.04000000000451</v>
      </c>
    </row>
    <row r="36" spans="1:9" x14ac:dyDescent="0.25">
      <c r="A36" t="s">
        <v>419</v>
      </c>
      <c r="B36" s="3">
        <v>31000</v>
      </c>
      <c r="C36" s="3" t="s">
        <v>350</v>
      </c>
      <c r="D36" s="17">
        <v>42779</v>
      </c>
      <c r="E36">
        <v>1338724</v>
      </c>
      <c r="F36" s="3">
        <v>31252.240000000002</v>
      </c>
      <c r="G36" s="72">
        <v>42783</v>
      </c>
      <c r="H36" s="70">
        <f t="shared" si="0"/>
        <v>-252.2400000000016</v>
      </c>
      <c r="I36" s="70">
        <f t="shared" si="2"/>
        <v>13.80000000000291</v>
      </c>
    </row>
    <row r="37" spans="1:9" x14ac:dyDescent="0.25">
      <c r="A37" t="s">
        <v>420</v>
      </c>
      <c r="B37" s="3">
        <v>33000</v>
      </c>
      <c r="C37" s="3" t="s">
        <v>331</v>
      </c>
      <c r="D37" s="17">
        <v>42781</v>
      </c>
      <c r="E37">
        <v>1339812</v>
      </c>
      <c r="F37" s="3">
        <v>29812.11</v>
      </c>
      <c r="G37" s="72">
        <v>42786</v>
      </c>
      <c r="H37" s="70">
        <f t="shared" si="0"/>
        <v>3187.8899999999994</v>
      </c>
      <c r="I37" s="70">
        <f t="shared" si="2"/>
        <v>3201.6900000000023</v>
      </c>
    </row>
    <row r="38" spans="1:9" x14ac:dyDescent="0.25">
      <c r="A38" t="s">
        <v>421</v>
      </c>
      <c r="B38" s="3">
        <v>33000</v>
      </c>
      <c r="C38" s="3" t="s">
        <v>342</v>
      </c>
      <c r="D38" s="17">
        <v>42782</v>
      </c>
      <c r="E38">
        <v>1340530</v>
      </c>
      <c r="F38" s="3">
        <v>29352.77</v>
      </c>
      <c r="G38" s="72">
        <v>42788</v>
      </c>
      <c r="H38" s="70">
        <f t="shared" ref="H38:H101" si="3">B38-F38</f>
        <v>3647.2299999999996</v>
      </c>
      <c r="I38" s="70">
        <f t="shared" si="2"/>
        <v>6848.9200000000019</v>
      </c>
    </row>
    <row r="39" spans="1:9" x14ac:dyDescent="0.25">
      <c r="A39" t="s">
        <v>422</v>
      </c>
      <c r="B39" s="3">
        <v>31000</v>
      </c>
      <c r="C39" s="3" t="s">
        <v>350</v>
      </c>
      <c r="D39" s="17">
        <v>42786</v>
      </c>
      <c r="E39">
        <v>1340746</v>
      </c>
      <c r="F39" s="3">
        <v>28124.17</v>
      </c>
      <c r="G39" s="72">
        <v>42790</v>
      </c>
      <c r="H39" s="70">
        <f t="shared" si="3"/>
        <v>2875.8300000000017</v>
      </c>
      <c r="I39" s="70">
        <f t="shared" si="2"/>
        <v>9724.7500000000036</v>
      </c>
    </row>
    <row r="40" spans="1:9" x14ac:dyDescent="0.25">
      <c r="A40" t="s">
        <v>423</v>
      </c>
      <c r="B40" s="3">
        <v>31000</v>
      </c>
      <c r="C40" s="3" t="s">
        <v>350</v>
      </c>
      <c r="D40" s="17">
        <v>42786</v>
      </c>
      <c r="E40">
        <v>1341010</v>
      </c>
      <c r="F40" s="3">
        <f>42682*0.6588</f>
        <v>28118.901600000001</v>
      </c>
      <c r="G40" s="72">
        <v>42790</v>
      </c>
      <c r="H40" s="70">
        <f t="shared" si="3"/>
        <v>2881.0983999999989</v>
      </c>
      <c r="I40" s="70">
        <f t="shared" si="2"/>
        <v>12605.848400000003</v>
      </c>
    </row>
    <row r="41" spans="1:9" x14ac:dyDescent="0.25">
      <c r="A41" t="s">
        <v>424</v>
      </c>
      <c r="B41" s="3">
        <v>25000</v>
      </c>
      <c r="C41" s="3" t="s">
        <v>331</v>
      </c>
      <c r="D41" s="17">
        <v>42788</v>
      </c>
      <c r="E41">
        <v>1342267</v>
      </c>
      <c r="F41" s="3">
        <v>27272.89</v>
      </c>
      <c r="G41" s="72">
        <v>42793</v>
      </c>
      <c r="H41" s="70">
        <f t="shared" si="3"/>
        <v>-2272.8899999999994</v>
      </c>
      <c r="I41" s="70">
        <f t="shared" si="2"/>
        <v>10332.958400000003</v>
      </c>
    </row>
    <row r="42" spans="1:9" x14ac:dyDescent="0.25">
      <c r="A42" t="s">
        <v>425</v>
      </c>
      <c r="B42" s="3">
        <v>25000</v>
      </c>
      <c r="C42" s="3" t="s">
        <v>350</v>
      </c>
      <c r="D42" s="17">
        <v>42793</v>
      </c>
      <c r="E42">
        <v>1343971</v>
      </c>
      <c r="F42" s="3">
        <v>28068.35</v>
      </c>
      <c r="G42" s="72">
        <v>42797</v>
      </c>
      <c r="H42" s="70">
        <f t="shared" si="3"/>
        <v>-3068.3499999999985</v>
      </c>
      <c r="I42" s="70">
        <f t="shared" si="2"/>
        <v>7264.6084000000046</v>
      </c>
    </row>
    <row r="43" spans="1:9" x14ac:dyDescent="0.25">
      <c r="A43" t="s">
        <v>426</v>
      </c>
      <c r="B43" s="3">
        <v>25000</v>
      </c>
      <c r="C43" s="3" t="s">
        <v>350</v>
      </c>
      <c r="D43" s="17">
        <v>42793</v>
      </c>
      <c r="E43">
        <v>1343970</v>
      </c>
      <c r="F43" s="3">
        <v>28816.29</v>
      </c>
      <c r="G43" s="72">
        <v>42795</v>
      </c>
      <c r="H43" s="70">
        <f t="shared" si="3"/>
        <v>-3816.2900000000009</v>
      </c>
      <c r="I43" s="70">
        <f t="shared" si="2"/>
        <v>3448.3184000000037</v>
      </c>
    </row>
    <row r="44" spans="1:9" x14ac:dyDescent="0.25">
      <c r="A44" t="s">
        <v>427</v>
      </c>
      <c r="B44" s="3">
        <v>27000</v>
      </c>
      <c r="C44" s="3" t="s">
        <v>342</v>
      </c>
      <c r="D44" s="17">
        <v>42796</v>
      </c>
      <c r="E44">
        <v>1344956</v>
      </c>
      <c r="F44" s="3">
        <v>30196.35</v>
      </c>
      <c r="G44" s="72">
        <v>42803</v>
      </c>
      <c r="H44" s="70">
        <f t="shared" si="3"/>
        <v>-3196.3499999999985</v>
      </c>
      <c r="I44" s="70">
        <f t="shared" si="2"/>
        <v>251.9684000000052</v>
      </c>
    </row>
    <row r="45" spans="1:9" x14ac:dyDescent="0.25">
      <c r="A45" t="s">
        <v>428</v>
      </c>
      <c r="B45" s="3">
        <v>25000</v>
      </c>
      <c r="C45" s="3" t="s">
        <v>342</v>
      </c>
      <c r="D45" s="17">
        <v>42789</v>
      </c>
      <c r="E45">
        <v>1345458</v>
      </c>
      <c r="F45" s="3">
        <v>30693.360000000001</v>
      </c>
      <c r="G45" s="72">
        <v>42797</v>
      </c>
      <c r="H45" s="70">
        <f t="shared" si="3"/>
        <v>-5693.3600000000006</v>
      </c>
      <c r="I45" s="70">
        <f t="shared" si="2"/>
        <v>-5441.3915999999954</v>
      </c>
    </row>
    <row r="46" spans="1:9" x14ac:dyDescent="0.25">
      <c r="A46" t="s">
        <v>429</v>
      </c>
      <c r="B46" s="3">
        <v>30000</v>
      </c>
      <c r="C46" s="3" t="s">
        <v>350</v>
      </c>
      <c r="D46" s="17">
        <v>42800</v>
      </c>
      <c r="E46">
        <v>1345459</v>
      </c>
      <c r="F46" s="3">
        <v>30633.14</v>
      </c>
      <c r="G46" s="72">
        <v>42805</v>
      </c>
      <c r="H46" s="70">
        <f t="shared" si="3"/>
        <v>-633.13999999999942</v>
      </c>
      <c r="I46" s="70">
        <f t="shared" si="2"/>
        <v>-6074.5315999999948</v>
      </c>
    </row>
    <row r="47" spans="1:9" x14ac:dyDescent="0.25">
      <c r="A47" t="s">
        <v>430</v>
      </c>
      <c r="B47" s="3">
        <v>35000</v>
      </c>
      <c r="C47" s="3" t="s">
        <v>342</v>
      </c>
      <c r="D47" s="17">
        <v>42803</v>
      </c>
      <c r="E47">
        <v>1347193</v>
      </c>
      <c r="F47" s="3">
        <v>31291.5</v>
      </c>
      <c r="G47" s="72">
        <v>42809</v>
      </c>
      <c r="H47" s="70">
        <f t="shared" si="3"/>
        <v>3708.5</v>
      </c>
      <c r="I47" s="70">
        <f t="shared" si="2"/>
        <v>-2366.0315999999948</v>
      </c>
    </row>
    <row r="48" spans="1:9" x14ac:dyDescent="0.25">
      <c r="A48" t="s">
        <v>431</v>
      </c>
      <c r="B48" s="3">
        <v>33000</v>
      </c>
      <c r="C48" s="3" t="s">
        <v>350</v>
      </c>
      <c r="D48" s="17">
        <v>42807</v>
      </c>
      <c r="E48">
        <v>1347396</v>
      </c>
      <c r="F48" s="3">
        <v>30436.85</v>
      </c>
      <c r="G48" s="72">
        <v>42811</v>
      </c>
      <c r="H48" s="70">
        <f t="shared" si="3"/>
        <v>2563.1500000000015</v>
      </c>
      <c r="I48" s="70">
        <f t="shared" si="2"/>
        <v>197.11840000000666</v>
      </c>
    </row>
    <row r="49" spans="1:10" x14ac:dyDescent="0.25">
      <c r="A49" t="s">
        <v>432</v>
      </c>
      <c r="B49" s="3">
        <v>33000</v>
      </c>
      <c r="C49" s="3" t="s">
        <v>350</v>
      </c>
      <c r="D49" s="17">
        <v>42807</v>
      </c>
      <c r="E49">
        <v>1348458</v>
      </c>
      <c r="F49" s="3">
        <v>31248.2</v>
      </c>
      <c r="G49" s="72">
        <v>42811</v>
      </c>
      <c r="H49" s="70">
        <f t="shared" si="3"/>
        <v>1751.7999999999993</v>
      </c>
      <c r="I49" s="70">
        <f t="shared" si="2"/>
        <v>1948.9184000000059</v>
      </c>
    </row>
    <row r="50" spans="1:10" x14ac:dyDescent="0.25">
      <c r="A50" t="s">
        <v>433</v>
      </c>
      <c r="B50" s="3">
        <v>33000</v>
      </c>
      <c r="C50" s="3" t="s">
        <v>342</v>
      </c>
      <c r="D50" s="17">
        <v>42810</v>
      </c>
      <c r="E50">
        <v>1349148</v>
      </c>
      <c r="F50" s="3">
        <v>31352.44</v>
      </c>
      <c r="G50" s="72">
        <v>42816</v>
      </c>
      <c r="H50" s="70">
        <f t="shared" si="3"/>
        <v>1647.5600000000013</v>
      </c>
      <c r="I50" s="70">
        <f t="shared" si="2"/>
        <v>3596.4784000000072</v>
      </c>
    </row>
    <row r="51" spans="1:10" x14ac:dyDescent="0.25">
      <c r="A51" t="s">
        <v>434</v>
      </c>
      <c r="B51" s="3">
        <v>33000</v>
      </c>
      <c r="C51" s="3" t="s">
        <v>355</v>
      </c>
      <c r="D51" s="17">
        <v>42815</v>
      </c>
      <c r="E51">
        <v>1349537</v>
      </c>
      <c r="F51" s="3">
        <v>30793.119999999999</v>
      </c>
      <c r="G51" s="72">
        <v>42818</v>
      </c>
      <c r="H51" s="70">
        <f t="shared" si="3"/>
        <v>2206.880000000001</v>
      </c>
      <c r="I51" s="70">
        <f t="shared" si="2"/>
        <v>5803.3584000000083</v>
      </c>
    </row>
    <row r="52" spans="1:10" x14ac:dyDescent="0.25">
      <c r="A52" t="s">
        <v>435</v>
      </c>
      <c r="B52" s="3">
        <v>30000</v>
      </c>
      <c r="C52" s="3" t="s">
        <v>342</v>
      </c>
      <c r="D52" s="17">
        <v>42817</v>
      </c>
      <c r="E52">
        <v>1351611</v>
      </c>
      <c r="F52" s="3">
        <v>30935.64</v>
      </c>
      <c r="G52" s="72">
        <v>42823</v>
      </c>
      <c r="H52" s="70">
        <f t="shared" si="3"/>
        <v>-935.63999999999942</v>
      </c>
      <c r="I52" s="70">
        <f t="shared" si="2"/>
        <v>4867.7184000000088</v>
      </c>
    </row>
    <row r="53" spans="1:10" x14ac:dyDescent="0.25">
      <c r="A53" t="s">
        <v>436</v>
      </c>
      <c r="B53" s="3">
        <v>30000</v>
      </c>
      <c r="C53" s="3" t="s">
        <v>350</v>
      </c>
      <c r="D53" s="17">
        <v>42821</v>
      </c>
      <c r="E53">
        <v>1351904</v>
      </c>
      <c r="F53" s="3">
        <v>29140.44</v>
      </c>
      <c r="G53" s="72">
        <v>42825</v>
      </c>
      <c r="H53" s="70">
        <f t="shared" si="3"/>
        <v>859.56000000000131</v>
      </c>
      <c r="I53" s="70">
        <f t="shared" si="2"/>
        <v>5727.2784000000102</v>
      </c>
    </row>
    <row r="54" spans="1:10" x14ac:dyDescent="0.25">
      <c r="A54" t="s">
        <v>437</v>
      </c>
      <c r="B54" s="3">
        <v>30000</v>
      </c>
      <c r="C54" s="3" t="s">
        <v>350</v>
      </c>
      <c r="D54" s="17">
        <v>42821</v>
      </c>
      <c r="E54">
        <v>1351905</v>
      </c>
      <c r="F54" s="3">
        <v>29015.58</v>
      </c>
      <c r="G54" s="72">
        <v>42825</v>
      </c>
      <c r="H54" s="70">
        <f t="shared" si="3"/>
        <v>984.41999999999825</v>
      </c>
      <c r="I54" s="70">
        <f t="shared" si="2"/>
        <v>6711.6984000000084</v>
      </c>
    </row>
    <row r="55" spans="1:10" x14ac:dyDescent="0.25">
      <c r="A55" t="s">
        <v>438</v>
      </c>
      <c r="B55" s="3">
        <v>25500</v>
      </c>
      <c r="C55" s="3" t="s">
        <v>350</v>
      </c>
      <c r="D55" s="17">
        <v>42828</v>
      </c>
      <c r="E55">
        <v>1353861</v>
      </c>
      <c r="F55" s="3">
        <v>28119.11</v>
      </c>
      <c r="G55" s="72">
        <v>42830</v>
      </c>
      <c r="H55" s="70">
        <f t="shared" si="3"/>
        <v>-2619.1100000000006</v>
      </c>
      <c r="I55" s="70">
        <f t="shared" si="2"/>
        <v>4092.5884000000078</v>
      </c>
    </row>
    <row r="56" spans="1:10" x14ac:dyDescent="0.25">
      <c r="A56" t="s">
        <v>439</v>
      </c>
      <c r="B56" s="3">
        <v>114.92</v>
      </c>
      <c r="C56" s="3" t="s">
        <v>382</v>
      </c>
      <c r="D56" s="17">
        <v>42831</v>
      </c>
      <c r="E56">
        <v>55752</v>
      </c>
      <c r="G56" s="72">
        <v>42830</v>
      </c>
      <c r="H56" s="70">
        <f t="shared" si="3"/>
        <v>114.92</v>
      </c>
      <c r="I56" s="70">
        <f t="shared" si="2"/>
        <v>4207.5084000000079</v>
      </c>
      <c r="J56" t="s">
        <v>440</v>
      </c>
    </row>
    <row r="57" spans="1:10" x14ac:dyDescent="0.25">
      <c r="A57" t="s">
        <v>441</v>
      </c>
      <c r="B57" s="3">
        <v>25500</v>
      </c>
      <c r="C57" s="3" t="s">
        <v>350</v>
      </c>
      <c r="D57" s="17">
        <v>42828</v>
      </c>
      <c r="E57">
        <v>1353862</v>
      </c>
      <c r="F57" s="3">
        <v>27902.28</v>
      </c>
      <c r="G57" s="72">
        <v>42831</v>
      </c>
      <c r="H57" s="70">
        <f t="shared" si="3"/>
        <v>-2402.2799999999988</v>
      </c>
      <c r="I57" s="70">
        <f t="shared" si="2"/>
        <v>1805.2284000000091</v>
      </c>
    </row>
    <row r="58" spans="1:10" x14ac:dyDescent="0.25">
      <c r="A58" t="s">
        <v>442</v>
      </c>
      <c r="B58" s="3">
        <v>28000</v>
      </c>
      <c r="C58" s="3" t="s">
        <v>331</v>
      </c>
      <c r="D58" s="17">
        <v>42830</v>
      </c>
      <c r="E58">
        <v>1355283</v>
      </c>
      <c r="F58" s="3">
        <v>28913</v>
      </c>
      <c r="G58" s="72">
        <v>42836</v>
      </c>
      <c r="H58" s="70">
        <f t="shared" si="3"/>
        <v>-913</v>
      </c>
      <c r="I58" s="70">
        <f t="shared" si="2"/>
        <v>892.22840000000906</v>
      </c>
    </row>
    <row r="59" spans="1:10" x14ac:dyDescent="0.25">
      <c r="A59" t="s">
        <v>443</v>
      </c>
      <c r="B59" s="3">
        <v>28000</v>
      </c>
      <c r="C59" s="3" t="s">
        <v>342</v>
      </c>
      <c r="D59" s="17">
        <v>42831</v>
      </c>
      <c r="E59">
        <v>1355978</v>
      </c>
      <c r="F59" s="3">
        <v>28533.119999999999</v>
      </c>
      <c r="G59" s="72">
        <v>42837</v>
      </c>
      <c r="H59" s="70">
        <f t="shared" si="3"/>
        <v>-533.11999999999898</v>
      </c>
      <c r="I59" s="70">
        <f t="shared" si="2"/>
        <v>359.10840000001008</v>
      </c>
    </row>
    <row r="60" spans="1:10" x14ac:dyDescent="0.25">
      <c r="A60" t="s">
        <v>444</v>
      </c>
      <c r="B60" s="3">
        <v>29000</v>
      </c>
      <c r="C60" s="3" t="s">
        <v>383</v>
      </c>
      <c r="D60" s="17">
        <v>42837</v>
      </c>
      <c r="E60">
        <v>1358162</v>
      </c>
      <c r="F60" s="3">
        <v>30014.74</v>
      </c>
      <c r="G60" s="72">
        <v>42844</v>
      </c>
      <c r="H60" s="70">
        <f t="shared" si="3"/>
        <v>-1014.7400000000016</v>
      </c>
      <c r="I60" s="70">
        <f t="shared" si="2"/>
        <v>-655.63159999999152</v>
      </c>
    </row>
    <row r="61" spans="1:10" x14ac:dyDescent="0.25">
      <c r="A61" t="s">
        <v>445</v>
      </c>
      <c r="B61" s="3">
        <v>29000</v>
      </c>
      <c r="C61" s="3" t="s">
        <v>350</v>
      </c>
      <c r="D61" s="17">
        <v>42842</v>
      </c>
      <c r="E61">
        <v>1358739</v>
      </c>
      <c r="F61" s="3">
        <v>30026.400000000001</v>
      </c>
      <c r="G61" s="72">
        <v>42846</v>
      </c>
      <c r="H61" s="70">
        <f t="shared" si="3"/>
        <v>-1026.4000000000015</v>
      </c>
      <c r="I61" s="70">
        <f t="shared" si="2"/>
        <v>-1682.031599999993</v>
      </c>
    </row>
    <row r="62" spans="1:10" x14ac:dyDescent="0.25">
      <c r="A62" t="s">
        <v>446</v>
      </c>
      <c r="B62" s="3">
        <v>31000</v>
      </c>
      <c r="C62" s="3" t="s">
        <v>342</v>
      </c>
      <c r="D62" s="17">
        <v>42845</v>
      </c>
      <c r="E62">
        <v>1360298</v>
      </c>
      <c r="F62" s="3">
        <v>30654.45</v>
      </c>
      <c r="G62" s="72">
        <v>42851</v>
      </c>
      <c r="H62" s="70">
        <f t="shared" si="3"/>
        <v>345.54999999999927</v>
      </c>
      <c r="I62" s="70">
        <f t="shared" si="2"/>
        <v>-1336.4815999999937</v>
      </c>
    </row>
    <row r="63" spans="1:10" x14ac:dyDescent="0.25">
      <c r="A63" t="s">
        <v>447</v>
      </c>
      <c r="B63" s="3">
        <v>32000</v>
      </c>
      <c r="C63" s="3" t="s">
        <v>350</v>
      </c>
      <c r="D63" s="17">
        <v>42849</v>
      </c>
      <c r="E63">
        <v>1360940</v>
      </c>
      <c r="F63" s="3">
        <v>29954.67</v>
      </c>
      <c r="G63" s="72">
        <v>42853</v>
      </c>
      <c r="H63" s="70">
        <f t="shared" si="3"/>
        <v>2045.3300000000017</v>
      </c>
      <c r="I63" s="70">
        <f t="shared" si="2"/>
        <v>708.84840000000804</v>
      </c>
    </row>
    <row r="64" spans="1:10" x14ac:dyDescent="0.25">
      <c r="A64" t="s">
        <v>448</v>
      </c>
      <c r="B64" s="3">
        <v>32000</v>
      </c>
      <c r="C64" s="3" t="s">
        <v>342</v>
      </c>
      <c r="D64" s="17">
        <v>42852</v>
      </c>
      <c r="E64">
        <v>1362441</v>
      </c>
      <c r="F64" s="3">
        <v>31185.67</v>
      </c>
      <c r="G64" s="72">
        <v>42858</v>
      </c>
      <c r="H64" s="70">
        <f t="shared" si="3"/>
        <v>814.33000000000175</v>
      </c>
      <c r="I64" s="70">
        <f t="shared" si="2"/>
        <v>1523.1784000000098</v>
      </c>
    </row>
    <row r="65" spans="1:9" x14ac:dyDescent="0.25">
      <c r="A65" t="s">
        <v>449</v>
      </c>
      <c r="B65" s="3">
        <v>32000</v>
      </c>
      <c r="C65" s="3" t="s">
        <v>345</v>
      </c>
      <c r="D65" s="17">
        <v>42853</v>
      </c>
      <c r="E65">
        <v>1362909</v>
      </c>
      <c r="F65" s="3">
        <v>32404.51</v>
      </c>
      <c r="G65" s="72">
        <v>42860</v>
      </c>
      <c r="H65" s="70">
        <f t="shared" si="3"/>
        <v>-404.5099999999984</v>
      </c>
      <c r="I65" s="70">
        <f t="shared" si="2"/>
        <v>1118.6684000000114</v>
      </c>
    </row>
    <row r="66" spans="1:9" x14ac:dyDescent="0.25">
      <c r="A66" t="s">
        <v>450</v>
      </c>
      <c r="B66" s="3">
        <v>32000</v>
      </c>
      <c r="C66" s="3" t="s">
        <v>355</v>
      </c>
      <c r="D66" s="17">
        <v>42857</v>
      </c>
      <c r="E66">
        <v>1362910</v>
      </c>
      <c r="F66" s="3">
        <v>31593.65</v>
      </c>
      <c r="G66" s="72">
        <v>42860</v>
      </c>
      <c r="H66" s="70">
        <f t="shared" si="3"/>
        <v>406.34999999999854</v>
      </c>
      <c r="I66" s="70">
        <f t="shared" si="2"/>
        <v>1525.0184000000099</v>
      </c>
    </row>
    <row r="67" spans="1:9" x14ac:dyDescent="0.25">
      <c r="A67" t="s">
        <v>451</v>
      </c>
      <c r="B67" s="3">
        <v>31000</v>
      </c>
      <c r="C67" s="3" t="s">
        <v>342</v>
      </c>
      <c r="D67" s="17">
        <v>42859</v>
      </c>
      <c r="E67">
        <v>1364734</v>
      </c>
      <c r="F67" s="3">
        <v>33507.129999999997</v>
      </c>
      <c r="G67" s="72">
        <v>42865</v>
      </c>
      <c r="H67" s="70">
        <f t="shared" si="3"/>
        <v>-2507.1299999999974</v>
      </c>
      <c r="I67" s="70">
        <f t="shared" si="2"/>
        <v>-982.11159999998745</v>
      </c>
    </row>
    <row r="68" spans="1:9" x14ac:dyDescent="0.25">
      <c r="A68" t="s">
        <v>452</v>
      </c>
      <c r="B68" s="3">
        <v>32000</v>
      </c>
      <c r="C68" s="3" t="s">
        <v>345</v>
      </c>
      <c r="D68" s="17">
        <v>42860</v>
      </c>
      <c r="E68">
        <v>1364822</v>
      </c>
      <c r="F68" s="3">
        <v>32821.589999999997</v>
      </c>
      <c r="G68" s="72">
        <v>42866</v>
      </c>
      <c r="H68" s="70">
        <f t="shared" si="3"/>
        <v>-821.58999999999651</v>
      </c>
      <c r="I68" s="70">
        <f t="shared" si="2"/>
        <v>-1803.701599999984</v>
      </c>
    </row>
    <row r="69" spans="1:9" x14ac:dyDescent="0.25">
      <c r="A69" t="s">
        <v>453</v>
      </c>
      <c r="B69" s="3">
        <v>31500</v>
      </c>
      <c r="C69" s="3" t="s">
        <v>350</v>
      </c>
      <c r="D69" s="17">
        <v>42863</v>
      </c>
      <c r="E69">
        <v>1364953</v>
      </c>
      <c r="F69" s="3">
        <v>33023.64</v>
      </c>
      <c r="G69" s="72">
        <v>42867</v>
      </c>
      <c r="H69" s="70">
        <f t="shared" si="3"/>
        <v>-1523.6399999999994</v>
      </c>
      <c r="I69" s="70">
        <f t="shared" si="2"/>
        <v>-3327.3415999999834</v>
      </c>
    </row>
    <row r="70" spans="1:9" x14ac:dyDescent="0.25">
      <c r="A70" t="s">
        <v>454</v>
      </c>
      <c r="B70" s="3">
        <v>33000</v>
      </c>
      <c r="C70" s="3" t="s">
        <v>342</v>
      </c>
      <c r="D70" s="17">
        <v>42866</v>
      </c>
      <c r="E70">
        <v>1366993</v>
      </c>
      <c r="F70" s="3">
        <v>32664.44</v>
      </c>
      <c r="G70" s="72">
        <v>42872</v>
      </c>
      <c r="H70" s="70">
        <f t="shared" si="3"/>
        <v>335.56000000000131</v>
      </c>
      <c r="I70" s="70">
        <f t="shared" si="2"/>
        <v>-2991.7815999999821</v>
      </c>
    </row>
    <row r="71" spans="1:9" x14ac:dyDescent="0.25">
      <c r="A71" t="s">
        <v>455</v>
      </c>
      <c r="B71" s="3">
        <v>33000</v>
      </c>
      <c r="C71" s="3" t="s">
        <v>345</v>
      </c>
      <c r="D71" s="17">
        <v>42867</v>
      </c>
      <c r="E71">
        <v>1367124</v>
      </c>
      <c r="F71" s="3">
        <v>33435.769999999997</v>
      </c>
      <c r="G71" s="72">
        <v>42873</v>
      </c>
      <c r="H71" s="70">
        <f t="shared" si="3"/>
        <v>-435.7699999999968</v>
      </c>
      <c r="I71" s="70">
        <f t="shared" si="2"/>
        <v>-3427.5515999999789</v>
      </c>
    </row>
    <row r="72" spans="1:9" x14ac:dyDescent="0.25">
      <c r="A72" t="s">
        <v>456</v>
      </c>
      <c r="B72" s="3">
        <v>35000</v>
      </c>
      <c r="C72" s="3" t="s">
        <v>350</v>
      </c>
      <c r="D72" s="17">
        <v>42870</v>
      </c>
      <c r="E72">
        <v>1367512</v>
      </c>
      <c r="F72" s="3">
        <v>33070.49</v>
      </c>
      <c r="G72" s="72">
        <v>42874</v>
      </c>
      <c r="H72" s="70">
        <f t="shared" si="3"/>
        <v>1929.510000000002</v>
      </c>
      <c r="I72" s="70">
        <f t="shared" si="2"/>
        <v>-1498.0415999999768</v>
      </c>
    </row>
    <row r="73" spans="1:9" x14ac:dyDescent="0.25">
      <c r="A73" t="s">
        <v>457</v>
      </c>
      <c r="B73" s="3">
        <v>35000</v>
      </c>
      <c r="C73" s="3" t="s">
        <v>342</v>
      </c>
      <c r="D73" s="17">
        <v>42873</v>
      </c>
      <c r="E73">
        <v>1369258</v>
      </c>
      <c r="F73" s="3">
        <v>33303.910000000003</v>
      </c>
      <c r="G73" s="72">
        <v>42879</v>
      </c>
      <c r="H73" s="70">
        <f t="shared" si="3"/>
        <v>1696.0899999999965</v>
      </c>
      <c r="I73" s="70">
        <f t="shared" si="2"/>
        <v>198.04840000001968</v>
      </c>
    </row>
    <row r="74" spans="1:9" x14ac:dyDescent="0.25">
      <c r="A74" t="s">
        <v>458</v>
      </c>
      <c r="B74" s="3">
        <v>34000</v>
      </c>
      <c r="C74" s="3" t="s">
        <v>345</v>
      </c>
      <c r="D74" s="17">
        <v>42874</v>
      </c>
      <c r="E74">
        <v>1369442</v>
      </c>
      <c r="F74" s="3">
        <v>33132.26</v>
      </c>
      <c r="G74" s="72">
        <v>42880</v>
      </c>
      <c r="H74" s="70">
        <f t="shared" si="3"/>
        <v>867.73999999999796</v>
      </c>
      <c r="I74" s="70">
        <f t="shared" si="2"/>
        <v>1065.7884000000176</v>
      </c>
    </row>
    <row r="75" spans="1:9" x14ac:dyDescent="0.25">
      <c r="A75" t="s">
        <v>459</v>
      </c>
      <c r="B75" s="3">
        <v>33000</v>
      </c>
      <c r="C75" s="3" t="s">
        <v>350</v>
      </c>
      <c r="D75" s="17">
        <v>42877</v>
      </c>
      <c r="E75">
        <v>1369860</v>
      </c>
      <c r="F75" s="3">
        <v>34041.629999999997</v>
      </c>
      <c r="G75" s="72">
        <v>42881</v>
      </c>
      <c r="H75" s="70">
        <f t="shared" si="3"/>
        <v>-1041.6299999999974</v>
      </c>
      <c r="I75" s="70">
        <f t="shared" si="2"/>
        <v>24.158400000020265</v>
      </c>
    </row>
    <row r="76" spans="1:9" x14ac:dyDescent="0.25">
      <c r="A76" t="s">
        <v>460</v>
      </c>
      <c r="B76" s="3">
        <v>52000</v>
      </c>
      <c r="C76" s="3" t="s">
        <v>355</v>
      </c>
      <c r="D76" s="17">
        <v>42878</v>
      </c>
      <c r="E76">
        <v>1369766</v>
      </c>
      <c r="F76" s="3">
        <v>50081.94</v>
      </c>
      <c r="G76" s="72">
        <v>42884</v>
      </c>
      <c r="H76" s="70">
        <f t="shared" si="3"/>
        <v>1918.0599999999977</v>
      </c>
      <c r="I76" s="70">
        <f t="shared" si="2"/>
        <v>1942.2184000000179</v>
      </c>
    </row>
    <row r="77" spans="1:9" x14ac:dyDescent="0.25">
      <c r="A77" t="s">
        <v>461</v>
      </c>
      <c r="B77" s="3">
        <v>33000</v>
      </c>
      <c r="C77" s="3" t="s">
        <v>342</v>
      </c>
      <c r="D77" s="17">
        <v>42880</v>
      </c>
      <c r="E77">
        <v>1371521</v>
      </c>
      <c r="F77" s="3">
        <v>32216.43</v>
      </c>
      <c r="G77" s="72">
        <v>42886</v>
      </c>
      <c r="H77" s="70">
        <f t="shared" si="3"/>
        <v>783.56999999999971</v>
      </c>
      <c r="I77" s="70">
        <f t="shared" ref="I77:I140" si="4">I76+H77</f>
        <v>2725.7884000000176</v>
      </c>
    </row>
    <row r="78" spans="1:9" x14ac:dyDescent="0.25">
      <c r="A78" t="s">
        <v>462</v>
      </c>
      <c r="B78" s="3">
        <v>33500</v>
      </c>
      <c r="C78" s="3" t="s">
        <v>345</v>
      </c>
      <c r="D78" s="17">
        <v>42881</v>
      </c>
      <c r="E78">
        <v>1371522</v>
      </c>
      <c r="F78" s="3">
        <v>32204.94</v>
      </c>
      <c r="G78" s="72">
        <v>42887</v>
      </c>
      <c r="H78" s="70">
        <f t="shared" si="3"/>
        <v>1295.0600000000013</v>
      </c>
      <c r="I78" s="70">
        <f t="shared" si="4"/>
        <v>4020.848400000019</v>
      </c>
    </row>
    <row r="79" spans="1:9" x14ac:dyDescent="0.25">
      <c r="A79" t="s">
        <v>463</v>
      </c>
      <c r="B79" s="3">
        <v>34000</v>
      </c>
      <c r="C79" s="3" t="s">
        <v>355</v>
      </c>
      <c r="D79" s="17">
        <v>42885</v>
      </c>
      <c r="E79">
        <v>1371960</v>
      </c>
      <c r="F79" s="3">
        <v>32469.86</v>
      </c>
      <c r="G79" s="72">
        <v>42888</v>
      </c>
      <c r="H79" s="70">
        <f t="shared" si="3"/>
        <v>1530.1399999999994</v>
      </c>
      <c r="I79" s="70">
        <f t="shared" si="4"/>
        <v>5550.9884000000184</v>
      </c>
    </row>
    <row r="80" spans="1:9" x14ac:dyDescent="0.25">
      <c r="A80" t="s">
        <v>464</v>
      </c>
      <c r="B80" s="76">
        <v>34000</v>
      </c>
      <c r="C80" s="3" t="s">
        <v>342</v>
      </c>
      <c r="D80" s="17">
        <v>42887</v>
      </c>
      <c r="E80">
        <v>1373428</v>
      </c>
      <c r="F80" s="3">
        <v>31234.99</v>
      </c>
      <c r="G80" s="72">
        <v>42893</v>
      </c>
      <c r="H80" s="70">
        <f t="shared" si="3"/>
        <v>2765.0099999999984</v>
      </c>
      <c r="I80" s="70">
        <f t="shared" si="4"/>
        <v>8315.9984000000168</v>
      </c>
    </row>
    <row r="81" spans="1:9" x14ac:dyDescent="0.25">
      <c r="A81" t="s">
        <v>465</v>
      </c>
      <c r="B81" s="3">
        <v>31000</v>
      </c>
      <c r="C81" s="3" t="s">
        <v>345</v>
      </c>
      <c r="D81" s="17">
        <v>42888</v>
      </c>
      <c r="E81">
        <v>1373690</v>
      </c>
      <c r="F81" s="3">
        <v>32142.83</v>
      </c>
      <c r="G81" s="72">
        <v>42894</v>
      </c>
      <c r="H81" s="70">
        <f t="shared" si="3"/>
        <v>-1142.8300000000017</v>
      </c>
      <c r="I81" s="70">
        <f t="shared" si="4"/>
        <v>7173.168400000015</v>
      </c>
    </row>
    <row r="82" spans="1:9" x14ac:dyDescent="0.25">
      <c r="A82" t="s">
        <v>466</v>
      </c>
      <c r="B82" s="3">
        <v>28000</v>
      </c>
      <c r="C82" s="3" t="s">
        <v>350</v>
      </c>
      <c r="D82" s="17">
        <v>42891</v>
      </c>
      <c r="E82">
        <v>1374001</v>
      </c>
      <c r="F82" s="3">
        <v>29746.74</v>
      </c>
      <c r="G82" s="72">
        <v>42895</v>
      </c>
      <c r="H82" s="70">
        <f t="shared" si="3"/>
        <v>-1746.7400000000016</v>
      </c>
      <c r="I82" s="70">
        <f t="shared" si="4"/>
        <v>5426.4284000000134</v>
      </c>
    </row>
    <row r="83" spans="1:9" x14ac:dyDescent="0.25">
      <c r="A83" t="s">
        <v>467</v>
      </c>
      <c r="B83" s="3">
        <v>31000</v>
      </c>
      <c r="C83" s="3" t="s">
        <v>342</v>
      </c>
      <c r="D83" s="17">
        <v>42894</v>
      </c>
      <c r="E83">
        <v>1375620</v>
      </c>
      <c r="F83" s="3">
        <v>32712.57</v>
      </c>
      <c r="G83" s="72">
        <v>42900</v>
      </c>
      <c r="H83" s="70">
        <f t="shared" si="3"/>
        <v>-1712.5699999999997</v>
      </c>
      <c r="I83" s="70">
        <f t="shared" si="4"/>
        <v>3713.8584000000137</v>
      </c>
    </row>
    <row r="84" spans="1:9" x14ac:dyDescent="0.25">
      <c r="A84" t="s">
        <v>468</v>
      </c>
      <c r="B84" s="3">
        <v>31000</v>
      </c>
      <c r="C84" s="3" t="s">
        <v>345</v>
      </c>
      <c r="D84" s="17">
        <v>42895</v>
      </c>
      <c r="E84">
        <v>1375824</v>
      </c>
      <c r="F84" s="3">
        <v>33291.17</v>
      </c>
      <c r="G84" s="72">
        <v>42901</v>
      </c>
      <c r="H84" s="70">
        <f t="shared" si="3"/>
        <v>-2291.1699999999983</v>
      </c>
      <c r="I84" s="70">
        <f t="shared" si="4"/>
        <v>1422.6884000000155</v>
      </c>
    </row>
    <row r="85" spans="1:9" x14ac:dyDescent="0.25">
      <c r="A85" t="s">
        <v>469</v>
      </c>
      <c r="B85" s="3">
        <v>31000</v>
      </c>
      <c r="C85" s="3" t="s">
        <v>350</v>
      </c>
      <c r="D85" s="17">
        <v>42898</v>
      </c>
      <c r="E85">
        <v>1375910</v>
      </c>
      <c r="F85" s="3">
        <v>33666.480000000003</v>
      </c>
      <c r="G85" s="72">
        <v>42902</v>
      </c>
      <c r="H85" s="70">
        <f t="shared" si="3"/>
        <v>-2666.4800000000032</v>
      </c>
      <c r="I85" s="70">
        <f t="shared" si="4"/>
        <v>-1243.7915999999877</v>
      </c>
    </row>
    <row r="86" spans="1:9" x14ac:dyDescent="0.25">
      <c r="A86" t="s">
        <v>470</v>
      </c>
      <c r="B86" s="3">
        <v>33500</v>
      </c>
      <c r="C86" s="3" t="s">
        <v>342</v>
      </c>
      <c r="D86" s="17">
        <v>42901</v>
      </c>
      <c r="E86">
        <v>1377755</v>
      </c>
      <c r="F86" s="3">
        <v>34318.559999999998</v>
      </c>
      <c r="G86" s="72">
        <v>42907</v>
      </c>
      <c r="H86" s="70">
        <f t="shared" si="3"/>
        <v>-818.55999999999767</v>
      </c>
      <c r="I86" s="70">
        <f t="shared" si="4"/>
        <v>-2062.3515999999854</v>
      </c>
    </row>
    <row r="87" spans="1:9" x14ac:dyDescent="0.25">
      <c r="A87" t="s">
        <v>471</v>
      </c>
      <c r="B87" s="3">
        <v>33500</v>
      </c>
      <c r="C87" s="3" t="s">
        <v>345</v>
      </c>
      <c r="D87" s="17">
        <v>42902</v>
      </c>
      <c r="E87">
        <v>1377984</v>
      </c>
      <c r="F87" s="3">
        <v>33955.42</v>
      </c>
      <c r="G87" s="72">
        <v>42908</v>
      </c>
      <c r="H87" s="70">
        <f t="shared" si="3"/>
        <v>-455.41999999999825</v>
      </c>
      <c r="I87" s="70">
        <f t="shared" si="4"/>
        <v>-2517.7715999999837</v>
      </c>
    </row>
    <row r="88" spans="1:9" x14ac:dyDescent="0.25">
      <c r="A88" t="s">
        <v>472</v>
      </c>
      <c r="B88" s="3">
        <v>36000</v>
      </c>
      <c r="C88" s="3" t="s">
        <v>350</v>
      </c>
      <c r="D88" s="17">
        <v>42905</v>
      </c>
      <c r="E88">
        <v>1378234</v>
      </c>
      <c r="F88" s="3">
        <v>33585.78</v>
      </c>
      <c r="G88" s="72">
        <v>42909</v>
      </c>
      <c r="H88" s="70">
        <f t="shared" si="3"/>
        <v>2414.2200000000012</v>
      </c>
      <c r="I88" s="70">
        <f t="shared" si="4"/>
        <v>-103.5515999999825</v>
      </c>
    </row>
    <row r="89" spans="1:9" x14ac:dyDescent="0.25">
      <c r="A89" t="s">
        <v>473</v>
      </c>
      <c r="B89" s="3">
        <v>36000</v>
      </c>
      <c r="C89" s="3" t="s">
        <v>342</v>
      </c>
      <c r="D89" s="17">
        <v>42908</v>
      </c>
      <c r="E89">
        <v>1379912</v>
      </c>
      <c r="F89" s="3">
        <v>34500.53</v>
      </c>
      <c r="G89" s="72">
        <v>42914</v>
      </c>
      <c r="H89" s="70">
        <f t="shared" si="3"/>
        <v>1499.4700000000012</v>
      </c>
      <c r="I89" s="70">
        <f t="shared" si="4"/>
        <v>1395.9184000000187</v>
      </c>
    </row>
    <row r="90" spans="1:9" x14ac:dyDescent="0.25">
      <c r="A90" t="s">
        <v>474</v>
      </c>
      <c r="B90" s="3">
        <v>36000</v>
      </c>
      <c r="C90" s="3" t="s">
        <v>345</v>
      </c>
      <c r="D90" s="17">
        <v>42909</v>
      </c>
      <c r="E90">
        <v>1380721</v>
      </c>
      <c r="F90" s="3">
        <v>36409.78</v>
      </c>
      <c r="G90" s="72">
        <v>42915</v>
      </c>
      <c r="H90" s="70">
        <f t="shared" si="3"/>
        <v>-409.77999999999884</v>
      </c>
      <c r="I90" s="70">
        <f t="shared" si="4"/>
        <v>986.13840000001983</v>
      </c>
    </row>
    <row r="91" spans="1:9" x14ac:dyDescent="0.25">
      <c r="A91" t="s">
        <v>475</v>
      </c>
      <c r="B91" s="3">
        <v>36000</v>
      </c>
      <c r="C91" s="3" t="s">
        <v>350</v>
      </c>
      <c r="D91" s="17">
        <v>42912</v>
      </c>
      <c r="E91">
        <v>1380722</v>
      </c>
      <c r="F91" s="3">
        <v>36343.629999999997</v>
      </c>
      <c r="G91" s="72">
        <v>42916</v>
      </c>
      <c r="H91" s="70">
        <f t="shared" si="3"/>
        <v>-343.62999999999738</v>
      </c>
      <c r="I91" s="70">
        <f t="shared" si="4"/>
        <v>642.50840000002245</v>
      </c>
    </row>
    <row r="92" spans="1:9" x14ac:dyDescent="0.25">
      <c r="A92" t="s">
        <v>476</v>
      </c>
      <c r="B92" s="3">
        <v>37500</v>
      </c>
      <c r="C92" s="3" t="s">
        <v>342</v>
      </c>
      <c r="D92" s="17">
        <v>42915</v>
      </c>
      <c r="E92">
        <v>1381802</v>
      </c>
      <c r="F92" s="3">
        <v>36917.800000000003</v>
      </c>
      <c r="G92" s="72">
        <v>42921</v>
      </c>
      <c r="H92" s="70">
        <f t="shared" si="3"/>
        <v>582.19999999999709</v>
      </c>
      <c r="I92" s="70">
        <f t="shared" si="4"/>
        <v>1224.7084000000195</v>
      </c>
    </row>
    <row r="93" spans="1:9" x14ac:dyDescent="0.25">
      <c r="A93" t="s">
        <v>477</v>
      </c>
      <c r="B93" s="3">
        <v>37500</v>
      </c>
      <c r="C93" s="3" t="s">
        <v>350</v>
      </c>
      <c r="D93" s="17">
        <v>42919</v>
      </c>
      <c r="E93">
        <v>1382078</v>
      </c>
      <c r="F93" s="3">
        <v>31453.599999999999</v>
      </c>
      <c r="G93" s="72">
        <v>42923</v>
      </c>
      <c r="H93" s="70">
        <f t="shared" si="3"/>
        <v>6046.4000000000015</v>
      </c>
      <c r="I93" s="70">
        <f t="shared" si="4"/>
        <v>7271.108400000021</v>
      </c>
    </row>
    <row r="94" spans="1:9" x14ac:dyDescent="0.25">
      <c r="A94" t="s">
        <v>478</v>
      </c>
      <c r="B94" s="3">
        <v>38500</v>
      </c>
      <c r="C94" s="3" t="s">
        <v>342</v>
      </c>
      <c r="D94" s="17">
        <v>42922</v>
      </c>
      <c r="E94">
        <v>1383627</v>
      </c>
      <c r="F94" s="3">
        <v>37553.050000000003</v>
      </c>
      <c r="G94" s="72">
        <v>42928</v>
      </c>
      <c r="H94" s="70">
        <f t="shared" si="3"/>
        <v>946.94999999999709</v>
      </c>
      <c r="I94" s="70">
        <f t="shared" si="4"/>
        <v>8218.0584000000181</v>
      </c>
    </row>
    <row r="95" spans="1:9" x14ac:dyDescent="0.25">
      <c r="A95" t="s">
        <v>479</v>
      </c>
      <c r="B95" s="3">
        <v>35000</v>
      </c>
      <c r="C95" s="3" t="s">
        <v>350</v>
      </c>
      <c r="D95" s="17">
        <v>42926</v>
      </c>
      <c r="E95">
        <v>1384051</v>
      </c>
      <c r="F95" s="3">
        <v>39342.06</v>
      </c>
      <c r="G95" s="72">
        <v>42930</v>
      </c>
      <c r="H95" s="70">
        <f t="shared" si="3"/>
        <v>-4342.0599999999977</v>
      </c>
      <c r="I95" s="70">
        <f t="shared" si="4"/>
        <v>3875.9984000000204</v>
      </c>
    </row>
    <row r="96" spans="1:9" x14ac:dyDescent="0.25">
      <c r="A96" t="s">
        <v>480</v>
      </c>
      <c r="B96" s="3">
        <v>36000</v>
      </c>
      <c r="C96" s="3" t="s">
        <v>342</v>
      </c>
      <c r="D96" s="17">
        <v>42929</v>
      </c>
      <c r="E96">
        <v>1385754</v>
      </c>
      <c r="F96" s="3">
        <v>37941.300000000003</v>
      </c>
      <c r="G96" s="72">
        <v>42935</v>
      </c>
      <c r="H96" s="70">
        <f t="shared" si="3"/>
        <v>-1941.3000000000029</v>
      </c>
      <c r="I96" s="70">
        <f t="shared" si="4"/>
        <v>1934.6984000000175</v>
      </c>
    </row>
    <row r="97" spans="1:9" x14ac:dyDescent="0.25">
      <c r="A97" t="s">
        <v>481</v>
      </c>
      <c r="B97" s="3">
        <v>41000</v>
      </c>
      <c r="C97" s="3" t="s">
        <v>350</v>
      </c>
      <c r="D97" s="17">
        <v>42933</v>
      </c>
      <c r="E97">
        <v>1386216</v>
      </c>
      <c r="F97" s="3">
        <v>38161.760000000002</v>
      </c>
      <c r="G97" s="72">
        <v>42937</v>
      </c>
      <c r="H97" s="70">
        <f t="shared" si="3"/>
        <v>2838.239999999998</v>
      </c>
      <c r="I97" s="70">
        <f t="shared" si="4"/>
        <v>4772.9384000000155</v>
      </c>
    </row>
    <row r="98" spans="1:9" x14ac:dyDescent="0.25">
      <c r="A98" t="s">
        <v>482</v>
      </c>
      <c r="B98" s="3">
        <v>40500</v>
      </c>
      <c r="C98" s="3" t="s">
        <v>342</v>
      </c>
      <c r="D98" s="17">
        <v>42936</v>
      </c>
      <c r="E98">
        <v>1387510</v>
      </c>
      <c r="F98" s="3">
        <v>33590.54</v>
      </c>
      <c r="G98" s="72">
        <v>42942</v>
      </c>
      <c r="H98" s="70">
        <f t="shared" si="3"/>
        <v>6909.4599999999991</v>
      </c>
      <c r="I98" s="70">
        <f t="shared" si="4"/>
        <v>11682.398400000015</v>
      </c>
    </row>
    <row r="99" spans="1:9" x14ac:dyDescent="0.25">
      <c r="A99" t="s">
        <v>483</v>
      </c>
      <c r="B99" s="3">
        <v>39000</v>
      </c>
      <c r="C99" s="3" t="s">
        <v>350</v>
      </c>
      <c r="D99" s="17">
        <v>42940</v>
      </c>
      <c r="E99">
        <v>1388142</v>
      </c>
      <c r="F99" s="3">
        <v>36502.080000000002</v>
      </c>
      <c r="G99" s="72">
        <v>42944</v>
      </c>
      <c r="H99" s="70">
        <f t="shared" si="3"/>
        <v>2497.9199999999983</v>
      </c>
      <c r="I99" s="70">
        <f t="shared" si="4"/>
        <v>14180.318400000013</v>
      </c>
    </row>
    <row r="100" spans="1:9" x14ac:dyDescent="0.25">
      <c r="A100" t="s">
        <v>484</v>
      </c>
      <c r="B100" s="3">
        <v>38000</v>
      </c>
      <c r="C100" s="3" t="s">
        <v>342</v>
      </c>
      <c r="D100" s="17">
        <v>42974</v>
      </c>
      <c r="E100">
        <v>1389915</v>
      </c>
      <c r="F100" s="3">
        <v>34020.46</v>
      </c>
      <c r="G100" s="72">
        <v>42949</v>
      </c>
      <c r="H100" s="70">
        <f t="shared" si="3"/>
        <v>3979.5400000000009</v>
      </c>
      <c r="I100" s="70">
        <f t="shared" si="4"/>
        <v>18159.858400000012</v>
      </c>
    </row>
    <row r="101" spans="1:9" x14ac:dyDescent="0.25">
      <c r="A101" t="s">
        <v>485</v>
      </c>
      <c r="B101" s="3">
        <v>38000</v>
      </c>
      <c r="C101" s="3" t="s">
        <v>350</v>
      </c>
      <c r="D101" s="17">
        <v>42947</v>
      </c>
      <c r="E101">
        <v>1389916</v>
      </c>
      <c r="F101" s="3">
        <v>33951.360000000001</v>
      </c>
      <c r="G101" s="72">
        <v>42951</v>
      </c>
      <c r="H101" s="70">
        <f t="shared" si="3"/>
        <v>4048.6399999999994</v>
      </c>
      <c r="I101" s="70">
        <f t="shared" si="4"/>
        <v>22208.498400000011</v>
      </c>
    </row>
    <row r="102" spans="1:9" x14ac:dyDescent="0.25">
      <c r="A102" t="s">
        <v>486</v>
      </c>
      <c r="B102" s="3">
        <v>38000</v>
      </c>
      <c r="C102" s="3" t="s">
        <v>342</v>
      </c>
      <c r="D102" s="17">
        <v>42950</v>
      </c>
      <c r="E102">
        <v>1391888</v>
      </c>
      <c r="F102" s="3">
        <v>32811.160000000003</v>
      </c>
      <c r="G102" s="72">
        <v>42956</v>
      </c>
      <c r="H102" s="70">
        <f t="shared" ref="H102:H162" si="5">B102-F102</f>
        <v>5188.8399999999965</v>
      </c>
      <c r="I102" s="70">
        <f t="shared" si="4"/>
        <v>27397.338400000008</v>
      </c>
    </row>
    <row r="103" spans="1:9" x14ac:dyDescent="0.25">
      <c r="A103" t="s">
        <v>487</v>
      </c>
      <c r="B103" s="3">
        <v>10000</v>
      </c>
      <c r="C103" s="3" t="s">
        <v>350</v>
      </c>
      <c r="D103" s="17">
        <v>42954</v>
      </c>
      <c r="E103">
        <v>1392092</v>
      </c>
      <c r="F103" s="3">
        <v>32835.629999999997</v>
      </c>
      <c r="G103" s="72">
        <v>42958</v>
      </c>
      <c r="H103" s="70">
        <f t="shared" si="5"/>
        <v>-22835.629999999997</v>
      </c>
      <c r="I103" s="70">
        <f t="shared" si="4"/>
        <v>4561.7084000000104</v>
      </c>
    </row>
    <row r="104" spans="1:9" x14ac:dyDescent="0.25">
      <c r="A104" t="s">
        <v>488</v>
      </c>
      <c r="B104" s="3">
        <v>30000</v>
      </c>
      <c r="C104" s="3" t="s">
        <v>342</v>
      </c>
      <c r="D104" s="17">
        <v>42957</v>
      </c>
      <c r="E104">
        <v>1393699</v>
      </c>
      <c r="F104" s="3">
        <v>31667.41</v>
      </c>
      <c r="G104" s="72">
        <v>42963</v>
      </c>
      <c r="H104" s="70">
        <f t="shared" si="5"/>
        <v>-1667.4099999999999</v>
      </c>
      <c r="I104" s="70">
        <f t="shared" si="4"/>
        <v>2894.2984000000106</v>
      </c>
    </row>
    <row r="105" spans="1:9" x14ac:dyDescent="0.25">
      <c r="A105" t="s">
        <v>489</v>
      </c>
      <c r="B105" s="3">
        <v>33000</v>
      </c>
      <c r="C105" s="3" t="s">
        <v>350</v>
      </c>
      <c r="D105" s="17">
        <v>42961</v>
      </c>
      <c r="E105">
        <v>1394492</v>
      </c>
      <c r="F105" s="3">
        <v>31848.9</v>
      </c>
      <c r="G105" s="72">
        <v>42965</v>
      </c>
      <c r="H105" s="70">
        <f t="shared" si="5"/>
        <v>1151.0999999999985</v>
      </c>
      <c r="I105" s="70">
        <f t="shared" si="4"/>
        <v>4045.3984000000091</v>
      </c>
    </row>
    <row r="106" spans="1:9" x14ac:dyDescent="0.25">
      <c r="A106" t="s">
        <v>490</v>
      </c>
      <c r="B106" s="3">
        <v>32000</v>
      </c>
      <c r="C106" s="3" t="s">
        <v>342</v>
      </c>
      <c r="D106" s="17">
        <v>42964</v>
      </c>
      <c r="E106">
        <v>1396056</v>
      </c>
      <c r="F106" s="3">
        <v>33243.1</v>
      </c>
      <c r="G106" s="72">
        <v>42970</v>
      </c>
      <c r="H106" s="70">
        <f t="shared" si="5"/>
        <v>-1243.0999999999985</v>
      </c>
      <c r="I106" s="70">
        <f t="shared" si="4"/>
        <v>2802.2984000000106</v>
      </c>
    </row>
    <row r="107" spans="1:9" x14ac:dyDescent="0.25">
      <c r="A107" t="s">
        <v>491</v>
      </c>
      <c r="B107" s="3">
        <v>30000</v>
      </c>
      <c r="C107" s="3" t="s">
        <v>350</v>
      </c>
      <c r="D107" s="17">
        <v>42968</v>
      </c>
      <c r="E107">
        <v>1396474</v>
      </c>
      <c r="F107" s="3">
        <v>33580.39</v>
      </c>
      <c r="G107" s="72">
        <v>42972</v>
      </c>
      <c r="H107" s="70">
        <f t="shared" si="5"/>
        <v>-3580.3899999999994</v>
      </c>
      <c r="I107" s="70">
        <f t="shared" si="4"/>
        <v>-778.09159999998883</v>
      </c>
    </row>
    <row r="108" spans="1:9" x14ac:dyDescent="0.25">
      <c r="A108" t="s">
        <v>492</v>
      </c>
      <c r="B108" s="3">
        <v>31500</v>
      </c>
      <c r="C108" s="3" t="s">
        <v>342</v>
      </c>
      <c r="D108" s="17">
        <v>42971</v>
      </c>
      <c r="E108">
        <v>1398075</v>
      </c>
      <c r="F108" s="3">
        <v>34243.46</v>
      </c>
      <c r="G108" s="72">
        <v>42977</v>
      </c>
      <c r="H108" s="70">
        <f t="shared" si="5"/>
        <v>-2743.4599999999991</v>
      </c>
      <c r="I108" s="70">
        <f t="shared" si="4"/>
        <v>-3521.551599999988</v>
      </c>
    </row>
    <row r="109" spans="1:9" x14ac:dyDescent="0.25">
      <c r="A109" t="s">
        <v>493</v>
      </c>
      <c r="B109" s="3">
        <v>37000</v>
      </c>
      <c r="C109" s="3" t="s">
        <v>350</v>
      </c>
      <c r="D109" s="17">
        <v>42975</v>
      </c>
      <c r="E109">
        <v>1398533</v>
      </c>
      <c r="F109" s="3">
        <v>34679.699999999997</v>
      </c>
      <c r="G109" s="72">
        <v>42979</v>
      </c>
      <c r="H109" s="70">
        <f t="shared" si="5"/>
        <v>2320.3000000000029</v>
      </c>
      <c r="I109" s="70">
        <f t="shared" si="4"/>
        <v>-1201.251599999985</v>
      </c>
    </row>
    <row r="110" spans="1:9" x14ac:dyDescent="0.25">
      <c r="A110" t="s">
        <v>494</v>
      </c>
      <c r="B110" s="3">
        <v>35000</v>
      </c>
      <c r="C110" s="3" t="s">
        <v>342</v>
      </c>
      <c r="D110" s="17">
        <v>42978</v>
      </c>
      <c r="E110">
        <v>1400181</v>
      </c>
      <c r="F110" s="3">
        <v>35168.32</v>
      </c>
      <c r="G110" s="72">
        <v>42985</v>
      </c>
      <c r="H110" s="70">
        <f t="shared" si="5"/>
        <v>-168.31999999999971</v>
      </c>
      <c r="I110" s="70">
        <f t="shared" si="4"/>
        <v>-1369.5715999999848</v>
      </c>
    </row>
    <row r="111" spans="1:9" x14ac:dyDescent="0.25">
      <c r="A111" t="s">
        <v>495</v>
      </c>
      <c r="B111" s="3">
        <v>35000</v>
      </c>
      <c r="C111" s="3" t="s">
        <v>342</v>
      </c>
      <c r="D111" s="17">
        <v>42978</v>
      </c>
      <c r="E111">
        <v>1400375</v>
      </c>
      <c r="F111" s="3">
        <v>34630.25</v>
      </c>
      <c r="G111" s="72">
        <v>42985</v>
      </c>
      <c r="H111" s="70">
        <f t="shared" si="5"/>
        <v>369.75</v>
      </c>
      <c r="I111" s="70">
        <f t="shared" si="4"/>
        <v>-999.82159999998476</v>
      </c>
    </row>
    <row r="112" spans="1:9" x14ac:dyDescent="0.25">
      <c r="A112" t="s">
        <v>496</v>
      </c>
      <c r="B112" s="3">
        <v>37000</v>
      </c>
      <c r="C112" s="3" t="s">
        <v>355</v>
      </c>
      <c r="D112" s="17">
        <v>42983</v>
      </c>
      <c r="E112">
        <v>1400784</v>
      </c>
      <c r="F112" s="3">
        <v>34858.6</v>
      </c>
      <c r="G112" s="72">
        <v>42989</v>
      </c>
      <c r="H112" s="70">
        <f t="shared" si="5"/>
        <v>2141.4000000000015</v>
      </c>
      <c r="I112" s="70">
        <f t="shared" si="4"/>
        <v>1141.5784000000167</v>
      </c>
    </row>
    <row r="113" spans="1:9" x14ac:dyDescent="0.25">
      <c r="A113" t="s">
        <v>497</v>
      </c>
      <c r="B113" s="3">
        <v>36000</v>
      </c>
      <c r="C113" s="3" t="s">
        <v>342</v>
      </c>
      <c r="D113" s="17">
        <v>42985</v>
      </c>
      <c r="E113">
        <v>1402008</v>
      </c>
      <c r="F113" s="3">
        <v>35312.26</v>
      </c>
      <c r="G113" s="72">
        <v>42991</v>
      </c>
      <c r="H113" s="70">
        <f t="shared" si="5"/>
        <v>687.73999999999796</v>
      </c>
      <c r="I113" s="70">
        <f t="shared" si="4"/>
        <v>1829.3184000000147</v>
      </c>
    </row>
    <row r="114" spans="1:9" x14ac:dyDescent="0.25">
      <c r="A114" t="s">
        <v>498</v>
      </c>
      <c r="B114" s="3">
        <v>36000</v>
      </c>
      <c r="C114" s="3" t="s">
        <v>345</v>
      </c>
      <c r="D114" s="17">
        <v>42986</v>
      </c>
      <c r="E114">
        <v>1402290</v>
      </c>
      <c r="F114" s="3">
        <v>32895.94</v>
      </c>
      <c r="G114" s="72">
        <v>42992</v>
      </c>
      <c r="H114" s="70">
        <f t="shared" si="5"/>
        <v>3104.0599999999977</v>
      </c>
      <c r="I114" s="70">
        <f t="shared" si="4"/>
        <v>4933.3784000000123</v>
      </c>
    </row>
    <row r="115" spans="1:9" x14ac:dyDescent="0.25">
      <c r="A115" t="s">
        <v>499</v>
      </c>
      <c r="B115" s="3">
        <v>35000</v>
      </c>
      <c r="C115" s="3" t="s">
        <v>342</v>
      </c>
      <c r="D115" s="17">
        <v>42992</v>
      </c>
      <c r="E115">
        <v>1404689</v>
      </c>
      <c r="F115" s="3">
        <v>32097.25</v>
      </c>
      <c r="G115" s="72">
        <v>42998</v>
      </c>
      <c r="H115" s="70">
        <f t="shared" si="5"/>
        <v>2902.75</v>
      </c>
      <c r="I115" s="70">
        <f t="shared" si="4"/>
        <v>7836.1284000000123</v>
      </c>
    </row>
    <row r="116" spans="1:9" x14ac:dyDescent="0.25">
      <c r="A116" t="s">
        <v>500</v>
      </c>
      <c r="B116" s="3">
        <v>36000</v>
      </c>
      <c r="C116" s="3" t="s">
        <v>345</v>
      </c>
      <c r="D116" s="17">
        <v>42993</v>
      </c>
      <c r="E116">
        <v>1404420</v>
      </c>
      <c r="F116" s="3">
        <v>32371.919999999998</v>
      </c>
      <c r="G116" s="72">
        <v>42999</v>
      </c>
      <c r="H116" s="70">
        <f t="shared" si="5"/>
        <v>3628.0800000000017</v>
      </c>
      <c r="I116" s="70">
        <f t="shared" si="4"/>
        <v>11464.208400000014</v>
      </c>
    </row>
    <row r="117" spans="1:9" x14ac:dyDescent="0.25">
      <c r="A117" t="s">
        <v>501</v>
      </c>
      <c r="B117" s="3">
        <v>29000</v>
      </c>
      <c r="C117" s="3" t="s">
        <v>382</v>
      </c>
      <c r="D117" s="17">
        <v>42999</v>
      </c>
      <c r="E117">
        <v>1406398</v>
      </c>
      <c r="F117" s="3">
        <v>27306.99</v>
      </c>
      <c r="G117" s="72">
        <v>43005</v>
      </c>
      <c r="H117" s="70">
        <f t="shared" si="5"/>
        <v>1693.0099999999984</v>
      </c>
      <c r="I117" s="70">
        <f t="shared" si="4"/>
        <v>13157.218400000012</v>
      </c>
    </row>
    <row r="118" spans="1:9" x14ac:dyDescent="0.25">
      <c r="A118" t="s">
        <v>502</v>
      </c>
      <c r="B118" s="3">
        <v>29000</v>
      </c>
      <c r="C118" s="3" t="s">
        <v>345</v>
      </c>
      <c r="D118" s="17">
        <v>43000</v>
      </c>
      <c r="E118">
        <v>1406667</v>
      </c>
      <c r="F118" s="3">
        <v>28364.81</v>
      </c>
      <c r="G118" s="72">
        <v>43006</v>
      </c>
      <c r="H118" s="70">
        <f t="shared" si="5"/>
        <v>635.18999999999869</v>
      </c>
      <c r="I118" s="70">
        <f t="shared" si="4"/>
        <v>13792.408400000011</v>
      </c>
    </row>
    <row r="119" spans="1:9" x14ac:dyDescent="0.25">
      <c r="A119" t="s">
        <v>503</v>
      </c>
      <c r="B119" s="3">
        <v>25000</v>
      </c>
      <c r="C119" s="3" t="s">
        <v>342</v>
      </c>
      <c r="D119" s="17">
        <v>43006</v>
      </c>
      <c r="E119">
        <v>1408729</v>
      </c>
      <c r="F119" s="3">
        <v>29116.85</v>
      </c>
      <c r="G119" s="72">
        <v>43012</v>
      </c>
      <c r="H119" s="70">
        <f t="shared" si="5"/>
        <v>-4116.8499999999985</v>
      </c>
      <c r="I119" s="70">
        <f t="shared" si="4"/>
        <v>9675.5584000000126</v>
      </c>
    </row>
    <row r="120" spans="1:9" x14ac:dyDescent="0.25">
      <c r="A120" t="s">
        <v>504</v>
      </c>
      <c r="B120" s="3">
        <v>25000</v>
      </c>
      <c r="C120" s="3" t="s">
        <v>345</v>
      </c>
      <c r="D120" s="17">
        <v>43007</v>
      </c>
      <c r="E120">
        <v>1408730</v>
      </c>
      <c r="F120" s="3">
        <v>29428.880000000001</v>
      </c>
      <c r="G120" s="72">
        <v>43013</v>
      </c>
      <c r="H120" s="70">
        <f t="shared" si="5"/>
        <v>-4428.880000000001</v>
      </c>
      <c r="I120" s="70">
        <f t="shared" si="4"/>
        <v>5246.6784000000116</v>
      </c>
    </row>
    <row r="121" spans="1:9" x14ac:dyDescent="0.25">
      <c r="A121" t="s">
        <v>505</v>
      </c>
      <c r="B121" s="3">
        <v>25000</v>
      </c>
      <c r="C121" s="3" t="s">
        <v>350</v>
      </c>
      <c r="D121" s="17">
        <v>43010</v>
      </c>
      <c r="E121">
        <v>1408971</v>
      </c>
      <c r="F121" s="3">
        <v>29444.68</v>
      </c>
      <c r="G121" s="72">
        <v>43014</v>
      </c>
      <c r="H121" s="70">
        <f t="shared" si="5"/>
        <v>-4444.68</v>
      </c>
      <c r="I121" s="70">
        <f t="shared" si="4"/>
        <v>801.99840000001132</v>
      </c>
    </row>
    <row r="122" spans="1:9" x14ac:dyDescent="0.25">
      <c r="A122" t="s">
        <v>506</v>
      </c>
      <c r="B122" s="3">
        <v>30000</v>
      </c>
      <c r="C122" s="3" t="s">
        <v>342</v>
      </c>
      <c r="D122" s="17">
        <v>43013</v>
      </c>
      <c r="E122">
        <v>1410829</v>
      </c>
      <c r="F122" s="3">
        <v>30160.2</v>
      </c>
      <c r="G122" s="72">
        <v>43019</v>
      </c>
      <c r="H122" s="70">
        <f t="shared" si="5"/>
        <v>-160.20000000000073</v>
      </c>
      <c r="I122" s="70">
        <f t="shared" si="4"/>
        <v>641.79840000001059</v>
      </c>
    </row>
    <row r="123" spans="1:9" x14ac:dyDescent="0.25">
      <c r="A123" t="s">
        <v>507</v>
      </c>
      <c r="B123" s="3">
        <v>31000</v>
      </c>
      <c r="C123" s="3" t="s">
        <v>350</v>
      </c>
      <c r="D123" s="17">
        <v>43017</v>
      </c>
      <c r="E123">
        <v>1411397</v>
      </c>
      <c r="F123" s="3">
        <v>31023.7</v>
      </c>
      <c r="G123" s="72">
        <v>43021</v>
      </c>
      <c r="H123" s="70">
        <f t="shared" si="5"/>
        <v>-23.700000000000728</v>
      </c>
      <c r="I123" s="70">
        <f t="shared" si="4"/>
        <v>618.09840000000986</v>
      </c>
    </row>
    <row r="124" spans="1:9" x14ac:dyDescent="0.25">
      <c r="A124" t="s">
        <v>508</v>
      </c>
      <c r="B124" s="3">
        <v>32000</v>
      </c>
      <c r="C124" s="3" t="s">
        <v>342</v>
      </c>
      <c r="D124" s="17">
        <v>43020</v>
      </c>
      <c r="E124">
        <v>1413041</v>
      </c>
      <c r="F124" s="3">
        <v>32355.759999999998</v>
      </c>
      <c r="G124" s="72">
        <v>43026</v>
      </c>
      <c r="H124" s="70">
        <f t="shared" si="5"/>
        <v>-355.7599999999984</v>
      </c>
      <c r="I124" s="70">
        <f t="shared" si="4"/>
        <v>262.33840000001146</v>
      </c>
    </row>
    <row r="125" spans="1:9" x14ac:dyDescent="0.25">
      <c r="A125" t="s">
        <v>509</v>
      </c>
      <c r="B125" s="3">
        <v>33000</v>
      </c>
      <c r="C125" s="3" t="s">
        <v>350</v>
      </c>
      <c r="D125" s="17">
        <v>43024</v>
      </c>
      <c r="E125">
        <v>1414652</v>
      </c>
      <c r="F125" s="3">
        <v>33658.51</v>
      </c>
      <c r="G125" s="72">
        <v>43032</v>
      </c>
      <c r="H125" s="70">
        <f t="shared" si="5"/>
        <v>-658.51000000000204</v>
      </c>
      <c r="I125" s="70">
        <f t="shared" si="4"/>
        <v>-396.17159999999058</v>
      </c>
    </row>
    <row r="126" spans="1:9" x14ac:dyDescent="0.25">
      <c r="A126" t="s">
        <v>510</v>
      </c>
      <c r="B126" s="3">
        <v>33500</v>
      </c>
      <c r="C126" s="3" t="s">
        <v>342</v>
      </c>
      <c r="D126" s="17">
        <v>43027</v>
      </c>
      <c r="E126">
        <v>1415656</v>
      </c>
      <c r="F126" s="3">
        <v>34205.51</v>
      </c>
      <c r="G126" s="72">
        <v>43033</v>
      </c>
      <c r="H126" s="70">
        <f t="shared" si="5"/>
        <v>-705.51000000000204</v>
      </c>
      <c r="I126" s="70">
        <f t="shared" si="4"/>
        <v>-1101.6815999999926</v>
      </c>
    </row>
    <row r="127" spans="1:9" x14ac:dyDescent="0.25">
      <c r="A127" t="s">
        <v>511</v>
      </c>
      <c r="B127" s="3">
        <v>36000</v>
      </c>
      <c r="C127" s="3" t="s">
        <v>350</v>
      </c>
      <c r="D127" s="17">
        <v>43031</v>
      </c>
      <c r="E127">
        <v>1415901</v>
      </c>
      <c r="F127" s="3">
        <v>34726.42</v>
      </c>
      <c r="G127" s="72">
        <v>43035</v>
      </c>
      <c r="H127" s="70">
        <f t="shared" si="5"/>
        <v>1273.5800000000017</v>
      </c>
      <c r="I127" s="70">
        <f t="shared" si="4"/>
        <v>171.89840000000913</v>
      </c>
    </row>
    <row r="128" spans="1:9" x14ac:dyDescent="0.25">
      <c r="A128" t="s">
        <v>512</v>
      </c>
      <c r="B128" s="3">
        <v>35000</v>
      </c>
      <c r="C128" s="3" t="s">
        <v>342</v>
      </c>
      <c r="D128" s="17">
        <v>43034</v>
      </c>
      <c r="E128">
        <v>1417778</v>
      </c>
      <c r="F128" s="3">
        <v>35289.61</v>
      </c>
      <c r="G128" s="72">
        <v>43040</v>
      </c>
      <c r="H128" s="70">
        <f t="shared" si="5"/>
        <v>-289.61000000000058</v>
      </c>
      <c r="I128" s="70">
        <f t="shared" si="4"/>
        <v>-117.71159999999145</v>
      </c>
    </row>
    <row r="129" spans="1:10" x14ac:dyDescent="0.25">
      <c r="A129" t="s">
        <v>513</v>
      </c>
      <c r="B129" s="3">
        <v>36000</v>
      </c>
      <c r="C129" s="3" t="s">
        <v>350</v>
      </c>
      <c r="D129" s="17">
        <v>43038</v>
      </c>
      <c r="E129">
        <v>1445661</v>
      </c>
      <c r="F129" s="3">
        <v>34423.42</v>
      </c>
      <c r="G129" s="72">
        <v>43042</v>
      </c>
      <c r="H129" s="70">
        <f t="shared" si="5"/>
        <v>1576.5800000000017</v>
      </c>
      <c r="I129" s="70">
        <f t="shared" si="4"/>
        <v>1458.8684000000103</v>
      </c>
    </row>
    <row r="130" spans="1:10" x14ac:dyDescent="0.25">
      <c r="A130" t="s">
        <v>514</v>
      </c>
      <c r="B130" s="3">
        <v>34000</v>
      </c>
      <c r="C130" s="3" t="s">
        <v>355</v>
      </c>
      <c r="D130" s="17">
        <v>43039</v>
      </c>
      <c r="E130">
        <v>1418303</v>
      </c>
      <c r="F130" s="3">
        <v>35531.589999999997</v>
      </c>
      <c r="G130" s="72">
        <v>43042</v>
      </c>
      <c r="H130" s="70">
        <f t="shared" si="5"/>
        <v>-1531.5899999999965</v>
      </c>
      <c r="I130" s="70">
        <f t="shared" si="4"/>
        <v>-72.721599999986211</v>
      </c>
    </row>
    <row r="131" spans="1:10" x14ac:dyDescent="0.25">
      <c r="A131" t="s">
        <v>515</v>
      </c>
      <c r="B131" s="3">
        <v>36500</v>
      </c>
      <c r="C131" s="3" t="s">
        <v>342</v>
      </c>
      <c r="D131" s="17">
        <v>43042</v>
      </c>
      <c r="E131">
        <v>1420116</v>
      </c>
      <c r="F131" s="3">
        <v>34810.26</v>
      </c>
      <c r="G131" s="72">
        <v>43047</v>
      </c>
      <c r="H131" s="70">
        <f t="shared" si="5"/>
        <v>1689.739999999998</v>
      </c>
      <c r="I131" s="70">
        <f t="shared" si="4"/>
        <v>1617.0184000000118</v>
      </c>
    </row>
    <row r="132" spans="1:10" x14ac:dyDescent="0.25">
      <c r="A132" t="s">
        <v>516</v>
      </c>
      <c r="B132" s="3">
        <v>36000</v>
      </c>
      <c r="C132" s="3" t="s">
        <v>350</v>
      </c>
      <c r="D132" s="17">
        <v>43045</v>
      </c>
      <c r="E132">
        <v>1420733</v>
      </c>
      <c r="F132" s="3">
        <v>35089.82</v>
      </c>
      <c r="G132" s="72">
        <v>43049</v>
      </c>
      <c r="H132" s="70">
        <f t="shared" si="5"/>
        <v>910.18000000000029</v>
      </c>
      <c r="I132" s="70">
        <f t="shared" si="4"/>
        <v>2527.198400000012</v>
      </c>
    </row>
    <row r="133" spans="1:10" x14ac:dyDescent="0.25">
      <c r="A133" t="s">
        <v>517</v>
      </c>
      <c r="B133" s="3">
        <v>35000</v>
      </c>
      <c r="C133" s="3" t="s">
        <v>342</v>
      </c>
      <c r="D133" s="17">
        <v>43048</v>
      </c>
      <c r="E133">
        <v>1422464</v>
      </c>
      <c r="F133" s="3">
        <v>34826.300000000003</v>
      </c>
      <c r="G133" s="72">
        <v>43054</v>
      </c>
      <c r="H133" s="70">
        <f t="shared" si="5"/>
        <v>173.69999999999709</v>
      </c>
      <c r="I133" s="70">
        <f t="shared" si="4"/>
        <v>2700.8984000000091</v>
      </c>
    </row>
    <row r="134" spans="1:10" x14ac:dyDescent="0.25">
      <c r="A134" t="s">
        <v>518</v>
      </c>
      <c r="B134" s="3">
        <v>35000</v>
      </c>
      <c r="C134" s="3" t="s">
        <v>350</v>
      </c>
      <c r="D134" s="17">
        <v>43052</v>
      </c>
      <c r="E134">
        <v>1423004</v>
      </c>
      <c r="F134" s="3">
        <v>33705.49</v>
      </c>
      <c r="G134" s="72">
        <v>43056</v>
      </c>
      <c r="H134" s="70">
        <f t="shared" si="5"/>
        <v>1294.510000000002</v>
      </c>
      <c r="I134" s="70">
        <f t="shared" si="4"/>
        <v>3995.4084000000112</v>
      </c>
      <c r="J134" s="1"/>
    </row>
    <row r="135" spans="1:10" x14ac:dyDescent="0.25">
      <c r="A135" t="s">
        <v>519</v>
      </c>
      <c r="B135" s="3">
        <v>423.17</v>
      </c>
      <c r="C135" s="3" t="s">
        <v>381</v>
      </c>
      <c r="D135" s="17">
        <v>43059</v>
      </c>
      <c r="G135" s="72"/>
      <c r="H135" s="70">
        <f t="shared" si="5"/>
        <v>423.17</v>
      </c>
      <c r="I135" s="70">
        <f t="shared" si="4"/>
        <v>4418.5784000000112</v>
      </c>
      <c r="J135" s="1" t="s">
        <v>520</v>
      </c>
    </row>
    <row r="136" spans="1:10" x14ac:dyDescent="0.25">
      <c r="A136" t="s">
        <v>521</v>
      </c>
      <c r="B136" s="3">
        <v>33000</v>
      </c>
      <c r="C136" s="3" t="s">
        <v>342</v>
      </c>
      <c r="D136" s="17">
        <v>43055</v>
      </c>
      <c r="E136">
        <v>1424468</v>
      </c>
      <c r="F136" s="3">
        <v>30965.13</v>
      </c>
      <c r="G136" s="72">
        <v>43061</v>
      </c>
      <c r="H136" s="70">
        <f t="shared" si="5"/>
        <v>2034.869999999999</v>
      </c>
      <c r="I136" s="70">
        <f t="shared" si="4"/>
        <v>6453.4484000000102</v>
      </c>
    </row>
    <row r="137" spans="1:10" x14ac:dyDescent="0.25">
      <c r="A137" t="s">
        <v>522</v>
      </c>
      <c r="B137" s="3">
        <v>30000</v>
      </c>
      <c r="C137" s="3" t="s">
        <v>350</v>
      </c>
      <c r="D137" s="17">
        <v>43056</v>
      </c>
      <c r="E137">
        <v>1424987</v>
      </c>
      <c r="F137" s="3">
        <v>29890.41</v>
      </c>
      <c r="G137" s="72">
        <v>43063</v>
      </c>
      <c r="H137" s="70">
        <f t="shared" si="5"/>
        <v>109.59000000000015</v>
      </c>
      <c r="I137" s="70">
        <f t="shared" si="4"/>
        <v>6563.0384000000104</v>
      </c>
    </row>
    <row r="138" spans="1:10" x14ac:dyDescent="0.25">
      <c r="A138" t="s">
        <v>523</v>
      </c>
      <c r="B138" s="3">
        <v>28000</v>
      </c>
      <c r="C138" s="3" t="s">
        <v>342</v>
      </c>
      <c r="D138" s="17">
        <v>43061</v>
      </c>
      <c r="E138">
        <v>1426748</v>
      </c>
      <c r="F138" s="3">
        <v>30685.85</v>
      </c>
      <c r="G138" s="72">
        <v>43068</v>
      </c>
      <c r="H138" s="70">
        <f t="shared" si="5"/>
        <v>-2685.8499999999985</v>
      </c>
      <c r="I138" s="70">
        <f t="shared" si="4"/>
        <v>3877.1884000000118</v>
      </c>
    </row>
    <row r="139" spans="1:10" x14ac:dyDescent="0.25">
      <c r="A139" t="s">
        <v>524</v>
      </c>
      <c r="B139" s="3">
        <v>25000</v>
      </c>
      <c r="C139" s="3" t="s">
        <v>342</v>
      </c>
      <c r="D139" s="17">
        <v>43069</v>
      </c>
      <c r="E139">
        <v>1428939</v>
      </c>
      <c r="F139" s="3">
        <v>32426.5</v>
      </c>
      <c r="G139" s="72">
        <v>43075</v>
      </c>
      <c r="H139" s="70">
        <f t="shared" si="5"/>
        <v>-7426.5</v>
      </c>
      <c r="I139" s="70">
        <f t="shared" si="4"/>
        <v>-3549.3115999999882</v>
      </c>
    </row>
    <row r="140" spans="1:10" x14ac:dyDescent="0.25">
      <c r="A140" t="s">
        <v>525</v>
      </c>
      <c r="B140" s="3">
        <v>33000</v>
      </c>
      <c r="C140" s="3" t="s">
        <v>345</v>
      </c>
      <c r="D140" s="17">
        <v>43070</v>
      </c>
      <c r="E140">
        <v>1429248</v>
      </c>
      <c r="F140" s="3">
        <v>33511.54</v>
      </c>
      <c r="G140" s="72">
        <v>43076</v>
      </c>
      <c r="H140" s="70">
        <f t="shared" si="5"/>
        <v>-511.54000000000087</v>
      </c>
      <c r="I140" s="70">
        <f t="shared" si="4"/>
        <v>-4060.851599999989</v>
      </c>
    </row>
    <row r="141" spans="1:10" x14ac:dyDescent="0.25">
      <c r="A141" t="s">
        <v>526</v>
      </c>
      <c r="B141" s="3">
        <v>30000</v>
      </c>
      <c r="C141" s="3" t="s">
        <v>350</v>
      </c>
      <c r="D141" s="17">
        <v>43066</v>
      </c>
      <c r="E141">
        <v>1429438</v>
      </c>
      <c r="F141" s="3">
        <v>32335.24</v>
      </c>
      <c r="G141" s="72">
        <v>43070</v>
      </c>
      <c r="H141" s="70">
        <f t="shared" si="5"/>
        <v>-2335.2400000000016</v>
      </c>
      <c r="I141" s="70">
        <f t="shared" ref="I141:I156" si="6">I140+H141</f>
        <v>-6396.0915999999906</v>
      </c>
    </row>
    <row r="142" spans="1:10" x14ac:dyDescent="0.25">
      <c r="A142" t="s">
        <v>527</v>
      </c>
      <c r="B142" s="3">
        <v>40000</v>
      </c>
      <c r="C142" s="3" t="s">
        <v>350</v>
      </c>
      <c r="D142" s="17">
        <v>43073</v>
      </c>
      <c r="E142">
        <v>1429575</v>
      </c>
      <c r="F142" s="3">
        <v>33352.879999999997</v>
      </c>
      <c r="G142" s="72">
        <v>43077</v>
      </c>
      <c r="H142" s="70">
        <f t="shared" si="5"/>
        <v>6647.1200000000026</v>
      </c>
      <c r="I142" s="70">
        <f t="shared" si="6"/>
        <v>251.02840000001197</v>
      </c>
    </row>
    <row r="143" spans="1:10" x14ac:dyDescent="0.25">
      <c r="A143" t="s">
        <v>528</v>
      </c>
      <c r="B143" s="3">
        <v>35000</v>
      </c>
      <c r="C143" s="3" t="s">
        <v>342</v>
      </c>
      <c r="D143" s="17">
        <v>43076</v>
      </c>
      <c r="E143">
        <v>1431011</v>
      </c>
      <c r="F143" s="3">
        <v>34108.68</v>
      </c>
      <c r="G143" s="72">
        <v>43082</v>
      </c>
      <c r="H143" s="70">
        <f t="shared" si="5"/>
        <v>891.31999999999971</v>
      </c>
      <c r="I143" s="70">
        <f t="shared" si="6"/>
        <v>1142.3484000000117</v>
      </c>
    </row>
    <row r="144" spans="1:10" x14ac:dyDescent="0.25">
      <c r="A144" t="s">
        <v>529</v>
      </c>
      <c r="B144" s="3">
        <v>35000</v>
      </c>
      <c r="C144" s="3" t="s">
        <v>342</v>
      </c>
      <c r="D144" s="17">
        <v>43076</v>
      </c>
      <c r="E144">
        <v>1431012</v>
      </c>
      <c r="F144" s="3">
        <v>34778</v>
      </c>
      <c r="G144" s="72">
        <v>43082</v>
      </c>
      <c r="H144" s="70">
        <f t="shared" si="5"/>
        <v>222</v>
      </c>
      <c r="I144" s="70">
        <f t="shared" si="6"/>
        <v>1364.3484000000117</v>
      </c>
    </row>
    <row r="145" spans="1:10" x14ac:dyDescent="0.25">
      <c r="A145" t="s">
        <v>530</v>
      </c>
      <c r="B145" s="3">
        <v>35000</v>
      </c>
      <c r="C145" s="3" t="s">
        <v>345</v>
      </c>
      <c r="D145" s="17">
        <v>43077</v>
      </c>
      <c r="E145">
        <v>1431603</v>
      </c>
      <c r="F145" s="3">
        <v>32484.880000000001</v>
      </c>
      <c r="G145" s="72">
        <v>43083</v>
      </c>
      <c r="H145" s="70">
        <f t="shared" si="5"/>
        <v>2515.119999999999</v>
      </c>
      <c r="I145" s="70">
        <f t="shared" si="6"/>
        <v>3879.4684000000107</v>
      </c>
    </row>
    <row r="146" spans="1:10" x14ac:dyDescent="0.25">
      <c r="A146" t="s">
        <v>531</v>
      </c>
      <c r="B146" s="3">
        <v>35000</v>
      </c>
      <c r="C146" s="3" t="s">
        <v>350</v>
      </c>
      <c r="D146" s="17">
        <v>43080</v>
      </c>
      <c r="E146">
        <v>1431604</v>
      </c>
      <c r="F146" s="3">
        <v>32335.22</v>
      </c>
      <c r="G146" s="72">
        <v>43084</v>
      </c>
      <c r="H146" s="70">
        <f t="shared" si="5"/>
        <v>2664.7799999999988</v>
      </c>
      <c r="I146" s="70">
        <f t="shared" si="6"/>
        <v>6544.2484000000095</v>
      </c>
    </row>
    <row r="147" spans="1:10" x14ac:dyDescent="0.25">
      <c r="A147" t="s">
        <v>532</v>
      </c>
      <c r="B147" s="3">
        <v>35000</v>
      </c>
      <c r="C147" s="3" t="s">
        <v>350</v>
      </c>
      <c r="D147" s="17">
        <v>43080</v>
      </c>
      <c r="E147">
        <v>1431963</v>
      </c>
      <c r="F147" s="3">
        <v>32503.79</v>
      </c>
      <c r="G147" s="72">
        <v>43084</v>
      </c>
      <c r="H147" s="70">
        <f t="shared" si="5"/>
        <v>2496.2099999999991</v>
      </c>
      <c r="I147" s="70">
        <f t="shared" si="6"/>
        <v>9040.4584000000086</v>
      </c>
    </row>
    <row r="148" spans="1:10" x14ac:dyDescent="0.25">
      <c r="A148" t="s">
        <v>533</v>
      </c>
      <c r="B148" s="3">
        <v>32000</v>
      </c>
      <c r="C148" s="3" t="s">
        <v>342</v>
      </c>
      <c r="D148" s="17">
        <v>43083</v>
      </c>
      <c r="E148">
        <v>1433790</v>
      </c>
      <c r="F148" s="3">
        <v>28609.85</v>
      </c>
      <c r="G148" s="72">
        <v>43089</v>
      </c>
      <c r="H148" s="70">
        <f t="shared" si="5"/>
        <v>3390.1500000000015</v>
      </c>
      <c r="I148" s="70">
        <f t="shared" si="6"/>
        <v>12430.60840000001</v>
      </c>
    </row>
    <row r="149" spans="1:10" x14ac:dyDescent="0.25">
      <c r="A149" t="s">
        <v>534</v>
      </c>
      <c r="B149" s="3">
        <v>32000</v>
      </c>
      <c r="C149" s="3" t="s">
        <v>342</v>
      </c>
      <c r="D149" s="17">
        <v>43083</v>
      </c>
      <c r="E149">
        <v>1433791</v>
      </c>
      <c r="F149" s="3">
        <v>28125.360000000001</v>
      </c>
      <c r="G149" s="72">
        <v>43089</v>
      </c>
      <c r="H149" s="70">
        <f t="shared" si="5"/>
        <v>3874.6399999999994</v>
      </c>
      <c r="I149" s="70">
        <f t="shared" si="6"/>
        <v>16305.248400000009</v>
      </c>
    </row>
    <row r="150" spans="1:10" x14ac:dyDescent="0.25">
      <c r="A150" t="s">
        <v>535</v>
      </c>
      <c r="B150" s="3">
        <v>32000</v>
      </c>
      <c r="C150" s="3" t="s">
        <v>345</v>
      </c>
      <c r="D150" s="17">
        <v>43084</v>
      </c>
      <c r="E150">
        <v>1434096</v>
      </c>
      <c r="F150" s="3">
        <v>27961.200000000001</v>
      </c>
      <c r="G150" s="72">
        <v>43090</v>
      </c>
      <c r="H150" s="70">
        <f t="shared" si="5"/>
        <v>4038.7999999999993</v>
      </c>
      <c r="I150" s="70">
        <f t="shared" si="6"/>
        <v>20344.048400000007</v>
      </c>
    </row>
    <row r="151" spans="1:10" x14ac:dyDescent="0.25">
      <c r="A151" t="s">
        <v>536</v>
      </c>
      <c r="B151" s="3">
        <v>25000</v>
      </c>
      <c r="C151" s="3" t="s">
        <v>350</v>
      </c>
      <c r="D151" s="17">
        <v>43087</v>
      </c>
      <c r="E151">
        <v>1434428</v>
      </c>
      <c r="F151" s="3">
        <v>26990.55</v>
      </c>
      <c r="G151" s="72">
        <v>43091</v>
      </c>
      <c r="H151" s="70">
        <f t="shared" si="5"/>
        <v>-1990.5499999999993</v>
      </c>
      <c r="I151" s="70">
        <f t="shared" si="6"/>
        <v>18353.498400000008</v>
      </c>
    </row>
    <row r="152" spans="1:10" x14ac:dyDescent="0.25">
      <c r="A152" t="s">
        <v>537</v>
      </c>
      <c r="B152" s="3">
        <v>25000</v>
      </c>
      <c r="C152" s="3" t="s">
        <v>350</v>
      </c>
      <c r="D152" s="17">
        <v>43087</v>
      </c>
      <c r="E152">
        <v>1434429</v>
      </c>
      <c r="F152" s="3">
        <v>26924.65</v>
      </c>
      <c r="G152" s="72">
        <v>43091</v>
      </c>
      <c r="H152" s="70">
        <f t="shared" si="5"/>
        <v>-1924.6500000000015</v>
      </c>
      <c r="I152" s="70">
        <f t="shared" si="6"/>
        <v>16428.848400000006</v>
      </c>
    </row>
    <row r="153" spans="1:10" x14ac:dyDescent="0.25">
      <c r="A153" t="s">
        <v>538</v>
      </c>
      <c r="B153" s="3">
        <v>25000</v>
      </c>
      <c r="C153" s="3" t="s">
        <v>342</v>
      </c>
      <c r="D153" s="17">
        <v>43090</v>
      </c>
      <c r="E153">
        <v>1435446</v>
      </c>
      <c r="F153" s="3">
        <v>27480.6</v>
      </c>
      <c r="G153" s="72">
        <v>43096</v>
      </c>
      <c r="H153" s="70">
        <f t="shared" si="5"/>
        <v>-2480.5999999999985</v>
      </c>
      <c r="I153" s="70">
        <f t="shared" si="6"/>
        <v>13948.248400000008</v>
      </c>
    </row>
    <row r="154" spans="1:10" x14ac:dyDescent="0.25">
      <c r="A154" t="s">
        <v>539</v>
      </c>
      <c r="B154" s="3">
        <v>694.14</v>
      </c>
      <c r="C154" s="3" t="s">
        <v>540</v>
      </c>
      <c r="D154" s="17"/>
      <c r="G154" s="72"/>
      <c r="H154" s="70">
        <f t="shared" si="5"/>
        <v>694.14</v>
      </c>
      <c r="I154" s="70">
        <f t="shared" si="6"/>
        <v>14642.388400000007</v>
      </c>
      <c r="J154" t="s">
        <v>541</v>
      </c>
    </row>
    <row r="155" spans="1:10" x14ac:dyDescent="0.25">
      <c r="A155" t="s">
        <v>542</v>
      </c>
      <c r="B155" s="3">
        <v>25000</v>
      </c>
      <c r="C155" s="3" t="s">
        <v>345</v>
      </c>
      <c r="D155" s="17">
        <v>43091</v>
      </c>
      <c r="E155">
        <v>1435965</v>
      </c>
      <c r="F155" s="3">
        <v>27874.3</v>
      </c>
      <c r="G155" s="72">
        <v>43097</v>
      </c>
      <c r="H155" s="70">
        <f t="shared" si="5"/>
        <v>-2874.2999999999993</v>
      </c>
      <c r="I155" s="70">
        <f t="shared" si="6"/>
        <v>11768.088400000008</v>
      </c>
    </row>
    <row r="156" spans="1:10" x14ac:dyDescent="0.25">
      <c r="A156" t="s">
        <v>543</v>
      </c>
      <c r="C156" s="3" t="s">
        <v>355</v>
      </c>
      <c r="D156" s="17">
        <v>43095</v>
      </c>
      <c r="G156" s="78" t="s">
        <v>384</v>
      </c>
      <c r="H156" s="70">
        <f t="shared" si="5"/>
        <v>0</v>
      </c>
      <c r="I156" s="70">
        <f t="shared" si="6"/>
        <v>11768.088400000008</v>
      </c>
      <c r="J156" t="s">
        <v>544</v>
      </c>
    </row>
    <row r="157" spans="1:10" x14ac:dyDescent="0.25">
      <c r="A157" t="s">
        <v>545</v>
      </c>
      <c r="B157" s="3">
        <v>20000</v>
      </c>
      <c r="C157" s="3" t="s">
        <v>355</v>
      </c>
      <c r="D157" s="17">
        <v>43095</v>
      </c>
      <c r="E157">
        <v>1438178</v>
      </c>
      <c r="F157" s="3">
        <v>28759.41</v>
      </c>
      <c r="G157" s="72">
        <v>43105</v>
      </c>
      <c r="H157" s="70">
        <f t="shared" si="5"/>
        <v>-8759.41</v>
      </c>
      <c r="I157" s="70">
        <f t="shared" ref="I157:I162" si="7">I156+H157</f>
        <v>3008.678400000008</v>
      </c>
    </row>
    <row r="158" spans="1:10" x14ac:dyDescent="0.25">
      <c r="A158" t="s">
        <v>546</v>
      </c>
      <c r="B158" s="3">
        <v>25000</v>
      </c>
      <c r="C158" s="3" t="s">
        <v>345</v>
      </c>
      <c r="D158" s="17">
        <v>43098</v>
      </c>
      <c r="E158">
        <v>1439735</v>
      </c>
      <c r="F158" s="3">
        <v>28354.98</v>
      </c>
      <c r="G158" s="72">
        <v>43109</v>
      </c>
      <c r="H158" s="70">
        <f t="shared" si="5"/>
        <v>-3354.9799999999996</v>
      </c>
      <c r="I158" s="70">
        <f t="shared" si="7"/>
        <v>-346.30159999999159</v>
      </c>
    </row>
    <row r="159" spans="1:10" x14ac:dyDescent="0.25">
      <c r="A159" t="s">
        <v>547</v>
      </c>
      <c r="B159" s="3">
        <v>28000</v>
      </c>
      <c r="C159" s="3" t="s">
        <v>342</v>
      </c>
      <c r="D159" s="17">
        <v>43104</v>
      </c>
      <c r="E159">
        <v>1440209</v>
      </c>
      <c r="F159" s="3">
        <v>28121.61</v>
      </c>
      <c r="G159" s="72">
        <v>43110</v>
      </c>
      <c r="H159" s="70">
        <f t="shared" si="5"/>
        <v>-121.61000000000058</v>
      </c>
      <c r="I159" s="70">
        <f t="shared" si="7"/>
        <v>-467.91159999999218</v>
      </c>
    </row>
    <row r="160" spans="1:10" x14ac:dyDescent="0.25">
      <c r="A160" t="s">
        <v>548</v>
      </c>
      <c r="B160" s="3">
        <v>29500</v>
      </c>
      <c r="C160" s="3" t="s">
        <v>350</v>
      </c>
      <c r="D160" s="17">
        <v>43108</v>
      </c>
      <c r="E160">
        <v>1440472</v>
      </c>
      <c r="F160" s="3">
        <v>29250.39</v>
      </c>
      <c r="G160" s="72">
        <v>43112</v>
      </c>
      <c r="H160" s="70">
        <f t="shared" si="5"/>
        <v>249.61000000000058</v>
      </c>
      <c r="I160" s="70">
        <f t="shared" si="7"/>
        <v>-218.30159999999159</v>
      </c>
    </row>
    <row r="161" spans="1:10" x14ac:dyDescent="0.25">
      <c r="A161" t="s">
        <v>549</v>
      </c>
      <c r="B161" s="3">
        <v>30000</v>
      </c>
      <c r="C161" s="3" t="s">
        <v>342</v>
      </c>
      <c r="D161" s="17">
        <v>43111</v>
      </c>
      <c r="E161">
        <v>1442682</v>
      </c>
      <c r="F161" s="3">
        <v>33025.07</v>
      </c>
      <c r="G161" s="72">
        <v>43117</v>
      </c>
      <c r="H161" s="70">
        <f t="shared" si="5"/>
        <v>-3025.0699999999997</v>
      </c>
      <c r="I161" s="70">
        <f t="shared" si="7"/>
        <v>-3243.3715999999913</v>
      </c>
    </row>
    <row r="162" spans="1:10" x14ac:dyDescent="0.25">
      <c r="A162" t="s">
        <v>550</v>
      </c>
      <c r="B162" s="3">
        <v>30000</v>
      </c>
      <c r="C162" s="3" t="s">
        <v>355</v>
      </c>
      <c r="D162" s="17">
        <v>43116</v>
      </c>
      <c r="E162">
        <v>1444147</v>
      </c>
      <c r="F162" s="3">
        <v>32771.06</v>
      </c>
      <c r="G162" s="72">
        <v>43119</v>
      </c>
      <c r="H162" s="70">
        <f t="shared" si="5"/>
        <v>-2771.0599999999977</v>
      </c>
      <c r="I162" s="70">
        <f t="shared" si="7"/>
        <v>-6014.431599999989</v>
      </c>
    </row>
    <row r="163" spans="1:10" x14ac:dyDescent="0.25">
      <c r="A163" t="s">
        <v>551</v>
      </c>
      <c r="B163" s="3">
        <v>40000</v>
      </c>
      <c r="C163" s="3" t="s">
        <v>342</v>
      </c>
      <c r="D163" s="17">
        <v>43118</v>
      </c>
      <c r="E163">
        <v>1444623</v>
      </c>
      <c r="F163" s="3">
        <v>33279.72</v>
      </c>
      <c r="G163" s="72">
        <v>43124</v>
      </c>
      <c r="H163" s="70">
        <f t="shared" ref="H163:H168" si="8">B163-F163</f>
        <v>6720.2799999999988</v>
      </c>
      <c r="I163" s="70">
        <f t="shared" ref="I163:I168" si="9">I162+H163</f>
        <v>705.84840000000986</v>
      </c>
    </row>
    <row r="164" spans="1:10" x14ac:dyDescent="0.25">
      <c r="A164" t="s">
        <v>552</v>
      </c>
      <c r="B164" s="3">
        <v>33000</v>
      </c>
      <c r="C164" s="3" t="s">
        <v>350</v>
      </c>
      <c r="D164" s="17">
        <v>43122</v>
      </c>
      <c r="E164">
        <v>1444974</v>
      </c>
      <c r="F164" s="3">
        <v>34548.32</v>
      </c>
      <c r="G164" s="72">
        <v>43126</v>
      </c>
      <c r="H164" s="70">
        <f t="shared" si="8"/>
        <v>-1548.3199999999997</v>
      </c>
      <c r="I164" s="70">
        <f t="shared" si="9"/>
        <v>-842.47159999998985</v>
      </c>
    </row>
    <row r="165" spans="1:10" x14ac:dyDescent="0.25">
      <c r="A165" t="s">
        <v>553</v>
      </c>
      <c r="B165" s="3">
        <v>33000</v>
      </c>
      <c r="C165" s="3" t="s">
        <v>342</v>
      </c>
      <c r="D165" s="17">
        <v>43125</v>
      </c>
      <c r="E165">
        <v>1447141</v>
      </c>
      <c r="F165" s="3">
        <v>33721.379999999997</v>
      </c>
      <c r="G165" s="72">
        <v>43132</v>
      </c>
      <c r="H165" s="70">
        <f t="shared" si="8"/>
        <v>-721.37999999999738</v>
      </c>
      <c r="I165" s="70">
        <f t="shared" si="9"/>
        <v>-1563.8515999999872</v>
      </c>
    </row>
    <row r="166" spans="1:10" x14ac:dyDescent="0.25">
      <c r="A166" t="s">
        <v>1282</v>
      </c>
      <c r="B166" s="3">
        <v>34000</v>
      </c>
      <c r="C166" s="3" t="s">
        <v>350</v>
      </c>
      <c r="D166" s="17">
        <v>43129</v>
      </c>
      <c r="E166">
        <v>1447785</v>
      </c>
      <c r="F166" s="3">
        <v>31917.99</v>
      </c>
      <c r="G166" s="72">
        <v>43133</v>
      </c>
      <c r="H166" s="70">
        <f t="shared" si="8"/>
        <v>2082.0099999999984</v>
      </c>
      <c r="I166" s="70">
        <f t="shared" si="9"/>
        <v>518.15840000001117</v>
      </c>
    </row>
    <row r="167" spans="1:10" x14ac:dyDescent="0.25">
      <c r="A167" t="s">
        <v>1283</v>
      </c>
      <c r="B167" s="3">
        <v>37000</v>
      </c>
      <c r="C167" s="3" t="s">
        <v>342</v>
      </c>
      <c r="D167" s="17">
        <v>43132</v>
      </c>
      <c r="E167">
        <v>1449573</v>
      </c>
      <c r="F167" s="3">
        <v>31206.18</v>
      </c>
      <c r="G167" s="72">
        <v>43138</v>
      </c>
      <c r="H167" s="70">
        <f t="shared" si="8"/>
        <v>5793.82</v>
      </c>
      <c r="I167" s="70">
        <f t="shared" si="9"/>
        <v>6311.9784000000109</v>
      </c>
    </row>
    <row r="168" spans="1:10" x14ac:dyDescent="0.25">
      <c r="A168" t="s">
        <v>1284</v>
      </c>
      <c r="B168" s="3">
        <v>31000</v>
      </c>
      <c r="C168" s="3" t="s">
        <v>355</v>
      </c>
      <c r="D168" s="17">
        <v>43137</v>
      </c>
      <c r="E168">
        <v>1450207</v>
      </c>
      <c r="F168" s="3">
        <v>28857.51</v>
      </c>
      <c r="G168" s="72">
        <v>43140</v>
      </c>
      <c r="H168" s="70">
        <f t="shared" si="8"/>
        <v>2142.4900000000016</v>
      </c>
      <c r="I168" s="70">
        <f t="shared" si="9"/>
        <v>8454.4684000000125</v>
      </c>
    </row>
    <row r="169" spans="1:10" x14ac:dyDescent="0.25">
      <c r="A169" t="s">
        <v>1458</v>
      </c>
      <c r="B169" s="3">
        <v>30000</v>
      </c>
      <c r="C169" s="3" t="s">
        <v>331</v>
      </c>
      <c r="D169" s="17">
        <v>43138</v>
      </c>
      <c r="E169">
        <v>1450756</v>
      </c>
      <c r="F169" s="3">
        <v>27037.759999999998</v>
      </c>
      <c r="G169" s="72">
        <v>43143</v>
      </c>
      <c r="H169" s="70">
        <f>B169-F169</f>
        <v>2962.2400000000016</v>
      </c>
      <c r="I169" s="70">
        <f>I168+H169</f>
        <v>11416.708400000014</v>
      </c>
    </row>
    <row r="170" spans="1:10" x14ac:dyDescent="0.25">
      <c r="A170" t="s">
        <v>1459</v>
      </c>
      <c r="B170" s="3">
        <v>30000</v>
      </c>
      <c r="C170" s="3" t="s">
        <v>331</v>
      </c>
      <c r="D170" s="17">
        <v>43138</v>
      </c>
      <c r="E170">
        <v>1451581</v>
      </c>
      <c r="F170" s="3">
        <v>26921.06</v>
      </c>
      <c r="G170" s="72">
        <v>43144</v>
      </c>
      <c r="H170" s="70">
        <f>B170-F170</f>
        <v>3078.9399999999987</v>
      </c>
      <c r="I170" s="70">
        <f>I169+H170</f>
        <v>14495.648400000013</v>
      </c>
    </row>
    <row r="171" spans="1:10" x14ac:dyDescent="0.25">
      <c r="A171" t="s">
        <v>1449</v>
      </c>
      <c r="B171" s="3">
        <v>30000</v>
      </c>
      <c r="C171" s="3" t="s">
        <v>342</v>
      </c>
      <c r="D171" s="17">
        <v>43139</v>
      </c>
      <c r="E171">
        <v>1452038</v>
      </c>
      <c r="F171" s="3">
        <v>27590.59</v>
      </c>
      <c r="G171" s="72">
        <v>43145</v>
      </c>
      <c r="H171" s="70">
        <f>B171-F171</f>
        <v>2409.41</v>
      </c>
      <c r="I171" s="70">
        <f>I170+H171</f>
        <v>16905.058400000013</v>
      </c>
    </row>
    <row r="172" spans="1:10" x14ac:dyDescent="0.25">
      <c r="A172" t="s">
        <v>1450</v>
      </c>
      <c r="B172" s="3">
        <v>25000</v>
      </c>
      <c r="C172" s="3" t="s">
        <v>345</v>
      </c>
      <c r="D172" s="17">
        <v>43140</v>
      </c>
      <c r="E172">
        <v>1452634</v>
      </c>
      <c r="F172" s="3">
        <v>28173</v>
      </c>
      <c r="G172" s="72">
        <v>43146</v>
      </c>
      <c r="H172" s="70">
        <f>B172-F172</f>
        <v>-3173</v>
      </c>
      <c r="I172" s="70">
        <f>I171+H172</f>
        <v>13732.058400000013</v>
      </c>
    </row>
    <row r="173" spans="1:10" x14ac:dyDescent="0.25">
      <c r="A173" t="s">
        <v>1451</v>
      </c>
      <c r="B173" s="3">
        <v>25000</v>
      </c>
      <c r="C173" s="3" t="s">
        <v>350</v>
      </c>
      <c r="D173" s="17">
        <v>43143</v>
      </c>
      <c r="E173">
        <v>1452353</v>
      </c>
      <c r="F173" s="3">
        <v>29477.25</v>
      </c>
      <c r="G173" s="72">
        <v>43147</v>
      </c>
      <c r="H173" s="70">
        <f t="shared" ref="H173:H182" si="10">B173-F173</f>
        <v>-4477.25</v>
      </c>
      <c r="I173" s="70">
        <f t="shared" ref="I173:I182" si="11">I172+H173</f>
        <v>9254.8084000000126</v>
      </c>
    </row>
    <row r="174" spans="1:10" x14ac:dyDescent="0.25">
      <c r="A174" t="s">
        <v>1569</v>
      </c>
      <c r="B174" s="3">
        <v>25000</v>
      </c>
      <c r="C174" s="3" t="s">
        <v>331</v>
      </c>
      <c r="D174" s="17">
        <v>43145</v>
      </c>
      <c r="E174">
        <v>1453253</v>
      </c>
      <c r="F174" s="3">
        <v>29881.09</v>
      </c>
      <c r="G174" s="72">
        <v>43151</v>
      </c>
      <c r="H174" s="70">
        <f>B174-F174</f>
        <v>-4881.09</v>
      </c>
      <c r="I174" s="70">
        <f>I173+H174</f>
        <v>4373.7184000000125</v>
      </c>
    </row>
    <row r="175" spans="1:10" x14ac:dyDescent="0.25">
      <c r="A175" t="s">
        <v>1452</v>
      </c>
      <c r="B175" s="3">
        <v>25000</v>
      </c>
      <c r="C175" s="3" t="s">
        <v>342</v>
      </c>
      <c r="D175" s="17">
        <v>43146</v>
      </c>
      <c r="E175">
        <v>1454480</v>
      </c>
      <c r="F175" s="3">
        <v>30211.919999999998</v>
      </c>
      <c r="G175" s="72">
        <v>43152</v>
      </c>
      <c r="H175" s="70">
        <f>B175-F175</f>
        <v>-5211.9199999999983</v>
      </c>
      <c r="I175" s="70">
        <f>I174+H175</f>
        <v>-838.20159999998577</v>
      </c>
    </row>
    <row r="176" spans="1:10" x14ac:dyDescent="0.25">
      <c r="A176" t="s">
        <v>1453</v>
      </c>
      <c r="C176" s="3" t="s">
        <v>345</v>
      </c>
      <c r="D176" s="74" t="s">
        <v>384</v>
      </c>
      <c r="G176" s="72">
        <v>43153</v>
      </c>
      <c r="H176" s="70">
        <f>B176-F176</f>
        <v>0</v>
      </c>
      <c r="I176" s="70">
        <f>I175+H176</f>
        <v>-838.20159999998577</v>
      </c>
      <c r="J176" s="74" t="s">
        <v>384</v>
      </c>
    </row>
    <row r="177" spans="1:9" x14ac:dyDescent="0.25">
      <c r="A177" t="s">
        <v>1454</v>
      </c>
      <c r="B177" s="3">
        <v>25000</v>
      </c>
      <c r="C177" s="3" t="s">
        <v>342</v>
      </c>
      <c r="D177" s="17">
        <v>43147</v>
      </c>
      <c r="E177">
        <v>1456892</v>
      </c>
      <c r="F177" s="3">
        <v>31889.9</v>
      </c>
      <c r="G177" s="72">
        <v>43159</v>
      </c>
      <c r="H177" s="70">
        <f t="shared" si="10"/>
        <v>-6889.9000000000015</v>
      </c>
      <c r="I177" s="70">
        <f t="shared" si="11"/>
        <v>-7728.1015999999872</v>
      </c>
    </row>
    <row r="178" spans="1:9" x14ac:dyDescent="0.25">
      <c r="A178" t="s">
        <v>1455</v>
      </c>
      <c r="B178" s="3">
        <v>35000</v>
      </c>
      <c r="C178" s="3" t="s">
        <v>350</v>
      </c>
      <c r="D178" s="17">
        <v>43157</v>
      </c>
      <c r="E178">
        <v>1457141</v>
      </c>
      <c r="F178" s="3">
        <v>32230.89</v>
      </c>
      <c r="G178" s="72">
        <v>43161</v>
      </c>
      <c r="H178" s="70">
        <f t="shared" si="10"/>
        <v>2769.1100000000006</v>
      </c>
      <c r="I178" s="70">
        <f t="shared" si="11"/>
        <v>-4958.9915999999866</v>
      </c>
    </row>
    <row r="179" spans="1:9" x14ac:dyDescent="0.25">
      <c r="A179" t="s">
        <v>1639</v>
      </c>
      <c r="B179" s="3">
        <v>44000</v>
      </c>
      <c r="C179" s="3" t="s">
        <v>350</v>
      </c>
      <c r="D179" s="17">
        <v>43157</v>
      </c>
      <c r="E179">
        <v>1457248</v>
      </c>
      <c r="F179" s="3">
        <v>43212.160000000003</v>
      </c>
      <c r="G179" s="72">
        <v>43161</v>
      </c>
      <c r="H179" s="70">
        <f>B179-F179</f>
        <v>787.83999999999651</v>
      </c>
      <c r="I179" s="70">
        <f>I178+H179</f>
        <v>-4171.1515999999901</v>
      </c>
    </row>
    <row r="180" spans="1:9" x14ac:dyDescent="0.25">
      <c r="A180" t="s">
        <v>1456</v>
      </c>
      <c r="B180" s="3">
        <v>38000</v>
      </c>
      <c r="C180" s="3" t="s">
        <v>342</v>
      </c>
      <c r="D180" s="17">
        <v>43160</v>
      </c>
      <c r="E180">
        <v>1459314</v>
      </c>
      <c r="F180" s="3">
        <v>32081.5</v>
      </c>
      <c r="G180" s="72">
        <v>43166</v>
      </c>
      <c r="H180" s="70">
        <f>B180-F180</f>
        <v>5918.5</v>
      </c>
      <c r="I180" s="70">
        <f>I179+H180</f>
        <v>1747.3484000000099</v>
      </c>
    </row>
    <row r="181" spans="1:9" x14ac:dyDescent="0.25">
      <c r="A181" t="s">
        <v>1457</v>
      </c>
      <c r="B181" s="3">
        <v>33500</v>
      </c>
      <c r="C181" s="3" t="s">
        <v>350</v>
      </c>
      <c r="D181" s="17">
        <v>43164</v>
      </c>
      <c r="E181">
        <v>1459800</v>
      </c>
      <c r="F181" s="3">
        <v>31928.54</v>
      </c>
      <c r="G181" s="72">
        <v>43168</v>
      </c>
      <c r="H181" s="70">
        <f t="shared" si="10"/>
        <v>1571.4599999999991</v>
      </c>
      <c r="I181" s="70">
        <f t="shared" si="11"/>
        <v>3318.808400000009</v>
      </c>
    </row>
    <row r="182" spans="1:9" x14ac:dyDescent="0.25">
      <c r="A182" t="s">
        <v>1862</v>
      </c>
      <c r="B182" s="3">
        <v>32500</v>
      </c>
      <c r="C182" s="3" t="s">
        <v>342</v>
      </c>
      <c r="D182" s="17">
        <v>43259</v>
      </c>
      <c r="E182">
        <v>1461449</v>
      </c>
      <c r="F182" s="3">
        <v>29152.91</v>
      </c>
      <c r="G182" s="72">
        <v>43173</v>
      </c>
      <c r="H182" s="70">
        <f t="shared" si="10"/>
        <v>3347.09</v>
      </c>
      <c r="I182" s="70">
        <f t="shared" si="11"/>
        <v>6665.8984000000091</v>
      </c>
    </row>
    <row r="183" spans="1:9" x14ac:dyDescent="0.25">
      <c r="A183" t="s">
        <v>1863</v>
      </c>
      <c r="B183" s="3">
        <v>33000</v>
      </c>
      <c r="C183" s="3" t="s">
        <v>350</v>
      </c>
      <c r="D183" s="17">
        <v>43171</v>
      </c>
      <c r="E183">
        <v>1462432</v>
      </c>
      <c r="F183" s="3">
        <v>27120.04</v>
      </c>
      <c r="G183" s="72">
        <v>43175</v>
      </c>
      <c r="H183" s="70">
        <f t="shared" ref="H183:H189" si="12">B183-F183</f>
        <v>5879.9599999999991</v>
      </c>
      <c r="I183" s="70">
        <f t="shared" ref="I183:I189" si="13">I182+H183</f>
        <v>12545.858400000008</v>
      </c>
    </row>
    <row r="184" spans="1:9" x14ac:dyDescent="0.25">
      <c r="A184" t="s">
        <v>1864</v>
      </c>
      <c r="B184" s="3">
        <v>25000</v>
      </c>
      <c r="C184" s="3" t="s">
        <v>342</v>
      </c>
      <c r="D184" s="17">
        <v>43174</v>
      </c>
      <c r="E184">
        <v>1464397</v>
      </c>
      <c r="F184" s="3">
        <v>26819.55</v>
      </c>
      <c r="G184" s="72">
        <v>43180</v>
      </c>
      <c r="H184" s="70">
        <f t="shared" si="12"/>
        <v>-1819.5499999999993</v>
      </c>
      <c r="I184" s="70">
        <f t="shared" si="13"/>
        <v>10726.308400000009</v>
      </c>
    </row>
    <row r="185" spans="1:9" x14ac:dyDescent="0.25">
      <c r="A185" t="s">
        <v>1865</v>
      </c>
      <c r="B185" s="3">
        <v>20000</v>
      </c>
      <c r="C185" s="3" t="s">
        <v>355</v>
      </c>
      <c r="D185" s="17">
        <v>43179</v>
      </c>
      <c r="E185">
        <v>1464693</v>
      </c>
      <c r="F185" s="3">
        <v>26082.42</v>
      </c>
      <c r="G185" s="72">
        <v>43182</v>
      </c>
      <c r="H185" s="70">
        <f t="shared" si="12"/>
        <v>-6082.4199999999983</v>
      </c>
      <c r="I185" s="70">
        <f t="shared" si="13"/>
        <v>4643.8884000000107</v>
      </c>
    </row>
    <row r="186" spans="1:9" x14ac:dyDescent="0.25">
      <c r="A186" t="s">
        <v>1866</v>
      </c>
      <c r="B186" s="3">
        <v>20000</v>
      </c>
      <c r="C186" s="3" t="s">
        <v>342</v>
      </c>
      <c r="D186" s="17">
        <v>43181</v>
      </c>
      <c r="E186">
        <v>1466469</v>
      </c>
      <c r="F186" s="3">
        <v>26576.55</v>
      </c>
      <c r="G186" s="72">
        <v>43187</v>
      </c>
      <c r="H186" s="70">
        <f t="shared" si="12"/>
        <v>-6576.5499999999993</v>
      </c>
      <c r="I186" s="70">
        <f t="shared" si="13"/>
        <v>-1932.6615999999885</v>
      </c>
    </row>
    <row r="187" spans="1:9" x14ac:dyDescent="0.25">
      <c r="A187" t="s">
        <v>1867</v>
      </c>
      <c r="B187" s="3">
        <v>20000</v>
      </c>
      <c r="C187" s="3" t="s">
        <v>342</v>
      </c>
      <c r="D187" s="17">
        <v>43181</v>
      </c>
      <c r="E187">
        <v>1466470</v>
      </c>
      <c r="F187" s="3">
        <v>26481.14</v>
      </c>
      <c r="G187" s="72">
        <v>43187</v>
      </c>
      <c r="H187" s="70">
        <f t="shared" si="12"/>
        <v>-6481.1399999999994</v>
      </c>
      <c r="I187" s="70">
        <f t="shared" si="13"/>
        <v>-8413.801599999988</v>
      </c>
    </row>
    <row r="188" spans="1:9" x14ac:dyDescent="0.25">
      <c r="A188" t="s">
        <v>1868</v>
      </c>
      <c r="B188" s="3">
        <v>26000</v>
      </c>
      <c r="C188" s="3" t="s">
        <v>331</v>
      </c>
      <c r="D188" s="17">
        <v>43187</v>
      </c>
      <c r="E188">
        <v>1468880</v>
      </c>
      <c r="F188" s="3">
        <v>26900.57</v>
      </c>
      <c r="G188" s="72">
        <v>43194</v>
      </c>
      <c r="H188" s="70">
        <f t="shared" si="12"/>
        <v>-900.56999999999971</v>
      </c>
      <c r="I188" s="70">
        <f t="shared" si="13"/>
        <v>-9314.3715999999877</v>
      </c>
    </row>
    <row r="189" spans="1:9" x14ac:dyDescent="0.25">
      <c r="A189" t="s">
        <v>1869</v>
      </c>
      <c r="B189" s="3">
        <v>26000</v>
      </c>
      <c r="C189" s="3" t="s">
        <v>331</v>
      </c>
      <c r="D189" s="17">
        <v>43187</v>
      </c>
      <c r="E189">
        <v>1469167</v>
      </c>
      <c r="F189" s="3">
        <v>26505.24</v>
      </c>
      <c r="G189" s="72">
        <v>43195</v>
      </c>
      <c r="H189" s="70">
        <f t="shared" si="12"/>
        <v>-505.2400000000016</v>
      </c>
      <c r="I189" s="70">
        <f t="shared" si="13"/>
        <v>-9819.6115999999893</v>
      </c>
    </row>
    <row r="190" spans="1:9" x14ac:dyDescent="0.25">
      <c r="A190" t="s">
        <v>2107</v>
      </c>
      <c r="B190" s="3">
        <v>28000</v>
      </c>
      <c r="C190" s="3" t="s">
        <v>342</v>
      </c>
      <c r="D190" s="17">
        <v>43195</v>
      </c>
      <c r="E190">
        <v>1471409</v>
      </c>
      <c r="F190" s="3">
        <v>27677.46</v>
      </c>
      <c r="G190" s="72">
        <v>43201</v>
      </c>
      <c r="H190" s="70">
        <f t="shared" ref="H190:H198" si="14">B190-F190</f>
        <v>322.54000000000087</v>
      </c>
      <c r="I190" s="70">
        <f t="shared" ref="I190:I198" si="15">I189+H190</f>
        <v>-9497.0715999999884</v>
      </c>
    </row>
    <row r="191" spans="1:9" x14ac:dyDescent="0.25">
      <c r="A191" t="s">
        <v>2108</v>
      </c>
      <c r="B191" s="3">
        <v>28000</v>
      </c>
      <c r="C191" s="3" t="s">
        <v>350</v>
      </c>
      <c r="D191" s="17">
        <v>43199</v>
      </c>
      <c r="E191">
        <v>1472031</v>
      </c>
      <c r="F191" s="3">
        <v>27220.16</v>
      </c>
      <c r="G191" s="72">
        <v>43203</v>
      </c>
      <c r="H191" s="70">
        <f t="shared" si="14"/>
        <v>779.84000000000015</v>
      </c>
      <c r="I191" s="70">
        <f t="shared" si="15"/>
        <v>-8717.2315999999882</v>
      </c>
    </row>
    <row r="192" spans="1:9" x14ac:dyDescent="0.25">
      <c r="A192" t="s">
        <v>2109</v>
      </c>
      <c r="B192" s="3">
        <v>28000</v>
      </c>
      <c r="C192" s="3" t="s">
        <v>342</v>
      </c>
      <c r="D192" s="17">
        <v>43202</v>
      </c>
      <c r="E192">
        <v>1473841</v>
      </c>
      <c r="F192" s="3">
        <v>28247.38</v>
      </c>
      <c r="G192" s="72">
        <v>43208</v>
      </c>
      <c r="H192" s="70">
        <f t="shared" si="14"/>
        <v>-247.38000000000102</v>
      </c>
      <c r="I192" s="70">
        <f t="shared" si="15"/>
        <v>-8964.6115999999893</v>
      </c>
    </row>
    <row r="193" spans="1:9" x14ac:dyDescent="0.25">
      <c r="A193" t="s">
        <v>2110</v>
      </c>
      <c r="B193" s="3">
        <v>27500</v>
      </c>
      <c r="C193" s="3" t="s">
        <v>350</v>
      </c>
      <c r="D193" s="17">
        <v>43206</v>
      </c>
      <c r="E193">
        <v>1475578</v>
      </c>
      <c r="F193" s="3">
        <v>28167.200000000001</v>
      </c>
      <c r="G193" s="72">
        <v>43210</v>
      </c>
      <c r="H193" s="70">
        <f t="shared" si="14"/>
        <v>-667.20000000000073</v>
      </c>
      <c r="I193" s="70">
        <f t="shared" si="15"/>
        <v>-9631.81159999999</v>
      </c>
    </row>
    <row r="194" spans="1:9" x14ac:dyDescent="0.25">
      <c r="A194" t="s">
        <v>2111</v>
      </c>
      <c r="B194" s="3">
        <v>29000</v>
      </c>
      <c r="C194" s="3" t="s">
        <v>342</v>
      </c>
      <c r="D194" s="17">
        <v>43209</v>
      </c>
      <c r="E194">
        <v>1476253</v>
      </c>
      <c r="F194" s="3">
        <v>28786.85</v>
      </c>
      <c r="G194" s="72">
        <v>43215</v>
      </c>
      <c r="H194" s="70">
        <f t="shared" si="14"/>
        <v>213.15000000000146</v>
      </c>
      <c r="I194" s="70">
        <f t="shared" si="15"/>
        <v>-9418.6615999999885</v>
      </c>
    </row>
    <row r="195" spans="1:9" x14ac:dyDescent="0.25">
      <c r="A195" t="s">
        <v>2112</v>
      </c>
      <c r="B195" s="3">
        <v>29500</v>
      </c>
      <c r="C195" s="3" t="s">
        <v>350</v>
      </c>
      <c r="D195" s="17">
        <v>43213</v>
      </c>
      <c r="E195">
        <v>1476899</v>
      </c>
      <c r="F195" s="3">
        <v>27758.07</v>
      </c>
      <c r="G195" s="72">
        <v>43217</v>
      </c>
      <c r="H195" s="70">
        <f t="shared" si="14"/>
        <v>1741.9300000000003</v>
      </c>
      <c r="I195" s="70">
        <f t="shared" si="15"/>
        <v>-7676.7315999999882</v>
      </c>
    </row>
    <row r="196" spans="1:9" x14ac:dyDescent="0.25">
      <c r="A196" t="s">
        <v>2113</v>
      </c>
      <c r="B196" s="3">
        <v>34500</v>
      </c>
      <c r="C196" s="3" t="s">
        <v>342</v>
      </c>
      <c r="D196" s="17">
        <v>43216</v>
      </c>
      <c r="E196">
        <v>1479069</v>
      </c>
      <c r="F196" s="3">
        <v>26997.439999999999</v>
      </c>
      <c r="G196" s="72">
        <v>43222</v>
      </c>
      <c r="H196" s="70">
        <f t="shared" si="14"/>
        <v>7502.5600000000013</v>
      </c>
      <c r="I196" s="70">
        <f t="shared" si="15"/>
        <v>-174.17159999998694</v>
      </c>
    </row>
    <row r="197" spans="1:9" x14ac:dyDescent="0.25">
      <c r="A197" t="s">
        <v>2114</v>
      </c>
      <c r="B197" s="3">
        <v>31000</v>
      </c>
      <c r="C197" s="3" t="s">
        <v>345</v>
      </c>
      <c r="D197" s="17">
        <v>43217</v>
      </c>
      <c r="E197">
        <v>1479070</v>
      </c>
      <c r="F197" s="3">
        <v>27045.38</v>
      </c>
      <c r="G197" s="72">
        <v>43223</v>
      </c>
      <c r="H197" s="70">
        <f t="shared" si="14"/>
        <v>3954.619999999999</v>
      </c>
      <c r="I197" s="70">
        <f t="shared" si="15"/>
        <v>3780.448400000012</v>
      </c>
    </row>
    <row r="198" spans="1:9" x14ac:dyDescent="0.25">
      <c r="A198" t="s">
        <v>2115</v>
      </c>
      <c r="B198" s="3">
        <v>25000</v>
      </c>
      <c r="C198" s="3" t="s">
        <v>342</v>
      </c>
      <c r="D198" s="17">
        <v>43223</v>
      </c>
      <c r="E198">
        <v>1481491</v>
      </c>
      <c r="F198" s="3">
        <v>25361.59</v>
      </c>
      <c r="G198" s="72">
        <v>43229</v>
      </c>
      <c r="H198" s="70">
        <f t="shared" si="14"/>
        <v>-361.59000000000015</v>
      </c>
      <c r="I198" s="70">
        <f t="shared" si="15"/>
        <v>3418.8584000000119</v>
      </c>
    </row>
    <row r="199" spans="1:9" x14ac:dyDescent="0.25">
      <c r="A199" t="s">
        <v>2422</v>
      </c>
      <c r="B199" s="3">
        <v>25000</v>
      </c>
      <c r="C199" s="3" t="s">
        <v>350</v>
      </c>
      <c r="D199" s="17">
        <v>43227</v>
      </c>
      <c r="E199">
        <v>1482235</v>
      </c>
      <c r="F199" s="3">
        <v>25514.73</v>
      </c>
      <c r="G199" s="72">
        <v>43231</v>
      </c>
      <c r="H199" s="70">
        <f t="shared" ref="H199:H208" si="16">B199-F199</f>
        <v>-514.72999999999956</v>
      </c>
      <c r="I199" s="70">
        <f t="shared" ref="I199:I208" si="17">I198+H199</f>
        <v>2904.1284000000123</v>
      </c>
    </row>
    <row r="200" spans="1:9" x14ac:dyDescent="0.25">
      <c r="A200" t="s">
        <v>2423</v>
      </c>
      <c r="B200" s="3">
        <v>25000</v>
      </c>
      <c r="C200" s="3" t="s">
        <v>342</v>
      </c>
      <c r="D200" s="17">
        <v>43230</v>
      </c>
      <c r="E200">
        <v>1483955</v>
      </c>
      <c r="F200" s="3">
        <v>25650.28</v>
      </c>
      <c r="G200" s="72">
        <v>43236</v>
      </c>
      <c r="H200" s="70">
        <f t="shared" si="16"/>
        <v>-650.27999999999884</v>
      </c>
      <c r="I200" s="70">
        <f t="shared" si="17"/>
        <v>2253.8484000000135</v>
      </c>
    </row>
    <row r="201" spans="1:9" x14ac:dyDescent="0.25">
      <c r="A201" t="s">
        <v>2424</v>
      </c>
      <c r="B201" s="3">
        <v>25000</v>
      </c>
      <c r="C201" s="3" t="s">
        <v>350</v>
      </c>
      <c r="D201" s="17">
        <v>43234</v>
      </c>
      <c r="E201">
        <v>1484904</v>
      </c>
      <c r="F201" s="3">
        <v>25431.49</v>
      </c>
      <c r="G201" s="72">
        <v>43238</v>
      </c>
      <c r="H201" s="70">
        <f t="shared" si="16"/>
        <v>-431.4900000000016</v>
      </c>
      <c r="I201" s="70">
        <f t="shared" si="17"/>
        <v>1822.3584000000119</v>
      </c>
    </row>
    <row r="202" spans="1:9" x14ac:dyDescent="0.25">
      <c r="A202" t="s">
        <v>2431</v>
      </c>
      <c r="B202" s="3">
        <v>25000</v>
      </c>
      <c r="C202" s="3" t="s">
        <v>331</v>
      </c>
      <c r="D202" s="17">
        <v>43206</v>
      </c>
      <c r="E202">
        <v>1485225</v>
      </c>
      <c r="F202" s="3">
        <v>26202.51</v>
      </c>
      <c r="G202" s="72">
        <v>43242</v>
      </c>
      <c r="H202" s="70">
        <f t="shared" ref="H202:H205" si="18">B202-F202</f>
        <v>-1202.5099999999984</v>
      </c>
      <c r="I202" s="70">
        <f t="shared" ref="I202:I205" si="19">I201+H202</f>
        <v>619.8484000000135</v>
      </c>
    </row>
    <row r="203" spans="1:9" x14ac:dyDescent="0.25">
      <c r="A203" t="s">
        <v>2425</v>
      </c>
      <c r="B203" s="3">
        <v>26000</v>
      </c>
      <c r="C203" s="3" t="s">
        <v>342</v>
      </c>
      <c r="D203" s="17">
        <v>43237</v>
      </c>
      <c r="E203">
        <v>1486410</v>
      </c>
      <c r="F203" s="3">
        <v>27445.46</v>
      </c>
      <c r="G203" s="72">
        <v>43243</v>
      </c>
      <c r="H203" s="70">
        <f t="shared" si="18"/>
        <v>-1445.4599999999991</v>
      </c>
      <c r="I203" s="70">
        <f t="shared" si="19"/>
        <v>-825.61159999998563</v>
      </c>
    </row>
    <row r="204" spans="1:9" x14ac:dyDescent="0.25">
      <c r="A204" t="s">
        <v>2426</v>
      </c>
      <c r="B204" s="3">
        <v>28000</v>
      </c>
      <c r="C204" s="3" t="s">
        <v>350</v>
      </c>
      <c r="D204" s="17">
        <v>43241</v>
      </c>
      <c r="E204">
        <v>1487469</v>
      </c>
      <c r="F204" s="3">
        <v>26529.34</v>
      </c>
      <c r="G204" s="72">
        <v>43245</v>
      </c>
      <c r="H204" s="70">
        <f t="shared" si="18"/>
        <v>1470.6599999999999</v>
      </c>
      <c r="I204" s="70">
        <f t="shared" si="19"/>
        <v>645.04840000001423</v>
      </c>
    </row>
    <row r="205" spans="1:9" x14ac:dyDescent="0.25">
      <c r="A205" t="s">
        <v>2427</v>
      </c>
      <c r="B205" s="3">
        <v>28000</v>
      </c>
      <c r="C205" s="3" t="s">
        <v>342</v>
      </c>
      <c r="D205" s="17">
        <v>43244</v>
      </c>
      <c r="E205">
        <v>1489056</v>
      </c>
      <c r="F205" s="3">
        <v>29066.84</v>
      </c>
      <c r="G205" s="72">
        <v>43250</v>
      </c>
      <c r="H205" s="70">
        <f t="shared" si="18"/>
        <v>-1066.8400000000001</v>
      </c>
      <c r="I205" s="70">
        <f t="shared" si="19"/>
        <v>-421.79159999998592</v>
      </c>
    </row>
    <row r="206" spans="1:9" x14ac:dyDescent="0.25">
      <c r="A206" t="s">
        <v>2428</v>
      </c>
      <c r="B206" s="3">
        <v>29500</v>
      </c>
      <c r="C206" s="3" t="s">
        <v>350</v>
      </c>
      <c r="D206" s="17">
        <v>43248</v>
      </c>
      <c r="E206">
        <v>1489294</v>
      </c>
      <c r="F206" s="3">
        <v>30169.34</v>
      </c>
      <c r="G206" s="72">
        <v>43252</v>
      </c>
      <c r="H206" s="70">
        <f t="shared" si="16"/>
        <v>-669.34000000000015</v>
      </c>
      <c r="I206" s="70">
        <f t="shared" si="17"/>
        <v>-1091.1315999999861</v>
      </c>
    </row>
    <row r="207" spans="1:9" x14ac:dyDescent="0.25">
      <c r="A207" t="s">
        <v>2429</v>
      </c>
      <c r="B207" s="3">
        <v>32000</v>
      </c>
      <c r="C207" s="3" t="s">
        <v>342</v>
      </c>
      <c r="D207" s="17">
        <v>43251</v>
      </c>
      <c r="E207">
        <v>1491243</v>
      </c>
      <c r="F207" s="3">
        <v>30960.77</v>
      </c>
      <c r="G207" s="72">
        <v>43257</v>
      </c>
      <c r="H207" s="70">
        <f t="shared" si="16"/>
        <v>1039.2299999999996</v>
      </c>
      <c r="I207" s="70">
        <f t="shared" si="17"/>
        <v>-51.901599999986502</v>
      </c>
    </row>
    <row r="208" spans="1:9" x14ac:dyDescent="0.25">
      <c r="A208" t="s">
        <v>2430</v>
      </c>
      <c r="B208" s="3">
        <v>32500</v>
      </c>
      <c r="C208" s="3" t="s">
        <v>350</v>
      </c>
      <c r="D208" s="17">
        <v>43255</v>
      </c>
      <c r="E208">
        <v>1492286</v>
      </c>
      <c r="F208" s="3">
        <v>31512.73</v>
      </c>
      <c r="G208" s="72">
        <v>43259</v>
      </c>
      <c r="H208" s="70">
        <f t="shared" si="16"/>
        <v>987.27000000000044</v>
      </c>
      <c r="I208" s="70">
        <f t="shared" si="17"/>
        <v>935.36840000001393</v>
      </c>
    </row>
    <row r="209" spans="1:9" x14ac:dyDescent="0.25">
      <c r="A209" t="s">
        <v>2432</v>
      </c>
      <c r="B209" s="3">
        <v>32000</v>
      </c>
      <c r="C209" s="3" t="s">
        <v>342</v>
      </c>
      <c r="D209" s="17">
        <v>43258</v>
      </c>
      <c r="E209">
        <v>1493868</v>
      </c>
      <c r="F209" s="3">
        <v>30352.49</v>
      </c>
      <c r="G209" s="72">
        <v>43264</v>
      </c>
      <c r="H209" s="70">
        <f t="shared" ref="H209:H228" si="20">B209-F209</f>
        <v>1647.5099999999984</v>
      </c>
      <c r="I209" s="70">
        <f t="shared" ref="I209:I228" si="21">I208+H209</f>
        <v>2582.8784000000123</v>
      </c>
    </row>
    <row r="210" spans="1:9" x14ac:dyDescent="0.25">
      <c r="A210" t="s">
        <v>2865</v>
      </c>
      <c r="B210" s="3">
        <v>31000</v>
      </c>
      <c r="C210" s="3" t="s">
        <v>350</v>
      </c>
      <c r="D210" s="17">
        <v>43262</v>
      </c>
      <c r="E210">
        <v>1494729</v>
      </c>
      <c r="F210" s="3">
        <v>30220.560000000001</v>
      </c>
      <c r="G210" s="72">
        <v>43266</v>
      </c>
      <c r="H210" s="70">
        <f t="shared" si="20"/>
        <v>779.43999999999869</v>
      </c>
      <c r="I210" s="70">
        <f t="shared" si="21"/>
        <v>3362.318400000011</v>
      </c>
    </row>
    <row r="211" spans="1:9" x14ac:dyDescent="0.25">
      <c r="A211" t="s">
        <v>2866</v>
      </c>
      <c r="B211" s="3">
        <v>31000</v>
      </c>
      <c r="C211" s="3" t="s">
        <v>342</v>
      </c>
      <c r="D211" s="17">
        <v>43265</v>
      </c>
      <c r="E211">
        <v>1496474</v>
      </c>
      <c r="F211" s="3">
        <v>31090.6</v>
      </c>
      <c r="G211" s="72">
        <v>43271</v>
      </c>
      <c r="H211" s="70">
        <f t="shared" si="20"/>
        <v>-90.599999999998545</v>
      </c>
      <c r="I211" s="70">
        <f t="shared" si="21"/>
        <v>3271.7184000000125</v>
      </c>
    </row>
    <row r="212" spans="1:9" x14ac:dyDescent="0.25">
      <c r="A212" t="s">
        <v>2867</v>
      </c>
      <c r="B212" s="3">
        <v>30000</v>
      </c>
      <c r="C212" s="3" t="s">
        <v>350</v>
      </c>
      <c r="D212" s="17">
        <v>43269</v>
      </c>
      <c r="E212">
        <v>1497230</v>
      </c>
      <c r="F212" s="3">
        <v>30720.87</v>
      </c>
      <c r="G212" s="72">
        <v>43273</v>
      </c>
      <c r="H212" s="70">
        <f t="shared" si="20"/>
        <v>-720.86999999999898</v>
      </c>
      <c r="I212" s="70">
        <f t="shared" si="21"/>
        <v>2550.8484000000135</v>
      </c>
    </row>
    <row r="213" spans="1:9" x14ac:dyDescent="0.25">
      <c r="A213" t="s">
        <v>2868</v>
      </c>
      <c r="B213" s="3">
        <v>30000</v>
      </c>
      <c r="C213" s="3" t="s">
        <v>342</v>
      </c>
      <c r="D213" s="17">
        <v>43272</v>
      </c>
      <c r="E213">
        <v>1499180</v>
      </c>
      <c r="F213" s="3">
        <v>30444.74</v>
      </c>
      <c r="G213" s="72">
        <v>43278</v>
      </c>
      <c r="H213" s="70">
        <f t="shared" si="20"/>
        <v>-444.7400000000016</v>
      </c>
      <c r="I213" s="70">
        <f t="shared" si="21"/>
        <v>2106.1084000000119</v>
      </c>
    </row>
    <row r="214" spans="1:9" x14ac:dyDescent="0.25">
      <c r="A214" t="s">
        <v>2869</v>
      </c>
      <c r="B214" s="3">
        <v>30000</v>
      </c>
      <c r="C214" s="3" t="s">
        <v>350</v>
      </c>
      <c r="D214" s="17">
        <v>43276</v>
      </c>
      <c r="E214">
        <v>1499859</v>
      </c>
      <c r="F214" s="3">
        <v>34469.35</v>
      </c>
      <c r="G214" s="72">
        <v>43280</v>
      </c>
      <c r="H214" s="70">
        <f t="shared" si="20"/>
        <v>-4469.3499999999985</v>
      </c>
      <c r="I214" s="70">
        <f t="shared" si="21"/>
        <v>-2363.2415999999866</v>
      </c>
    </row>
    <row r="215" spans="1:9" x14ac:dyDescent="0.25">
      <c r="A215" t="s">
        <v>2870</v>
      </c>
      <c r="B215" s="3">
        <v>31000</v>
      </c>
      <c r="C215" s="3" t="s">
        <v>342</v>
      </c>
      <c r="D215" s="17">
        <v>43279</v>
      </c>
      <c r="E215">
        <v>1501198</v>
      </c>
      <c r="F215" s="3">
        <v>28542.73</v>
      </c>
      <c r="G215" s="72">
        <v>43285</v>
      </c>
      <c r="H215" s="70">
        <f t="shared" si="20"/>
        <v>2457.2700000000004</v>
      </c>
      <c r="I215" s="70">
        <f t="shared" si="21"/>
        <v>94.028400000013789</v>
      </c>
    </row>
    <row r="216" spans="1:9" x14ac:dyDescent="0.25">
      <c r="A216" t="s">
        <v>2871</v>
      </c>
      <c r="B216" s="3">
        <v>34000</v>
      </c>
      <c r="C216" s="3" t="s">
        <v>350</v>
      </c>
      <c r="D216" s="17">
        <v>43283</v>
      </c>
      <c r="E216">
        <v>1502149</v>
      </c>
      <c r="F216" s="3">
        <v>27630.59</v>
      </c>
      <c r="G216" s="72">
        <v>43287</v>
      </c>
      <c r="H216" s="70">
        <f t="shared" si="20"/>
        <v>6369.41</v>
      </c>
      <c r="I216" s="70">
        <f t="shared" si="21"/>
        <v>6463.4384000000136</v>
      </c>
    </row>
    <row r="217" spans="1:9" x14ac:dyDescent="0.25">
      <c r="A217" t="s">
        <v>3226</v>
      </c>
      <c r="B217" s="3">
        <v>25000</v>
      </c>
      <c r="C217" s="3" t="s">
        <v>331</v>
      </c>
      <c r="D217" s="17">
        <v>43285</v>
      </c>
      <c r="E217">
        <v>1502539</v>
      </c>
      <c r="F217" s="3">
        <v>26511.74</v>
      </c>
      <c r="G217" s="72">
        <v>43290</v>
      </c>
      <c r="H217" s="70">
        <f t="shared" si="20"/>
        <v>-1511.7400000000016</v>
      </c>
      <c r="I217" s="70">
        <f t="shared" si="21"/>
        <v>4951.698400000012</v>
      </c>
    </row>
    <row r="218" spans="1:9" x14ac:dyDescent="0.25">
      <c r="A218" t="s">
        <v>3227</v>
      </c>
      <c r="B218" s="3">
        <v>25000</v>
      </c>
      <c r="C218" s="3" t="s">
        <v>381</v>
      </c>
      <c r="D218" s="17">
        <v>43290</v>
      </c>
      <c r="E218">
        <v>1503927</v>
      </c>
      <c r="F218" s="3">
        <v>26812.5</v>
      </c>
      <c r="G218" s="72">
        <v>43294</v>
      </c>
      <c r="H218" s="70">
        <f t="shared" si="20"/>
        <v>-1812.5</v>
      </c>
      <c r="I218" s="70">
        <f t="shared" si="21"/>
        <v>3139.198400000012</v>
      </c>
    </row>
    <row r="219" spans="1:9" x14ac:dyDescent="0.25">
      <c r="A219" t="s">
        <v>3228</v>
      </c>
      <c r="B219" s="3">
        <v>25000</v>
      </c>
      <c r="C219" s="3" t="s">
        <v>355</v>
      </c>
      <c r="D219" s="17">
        <v>43291</v>
      </c>
      <c r="E219">
        <v>1504803</v>
      </c>
      <c r="F219" s="3">
        <v>25704.7</v>
      </c>
      <c r="G219" s="72">
        <v>43297</v>
      </c>
      <c r="H219" s="70">
        <f t="shared" si="20"/>
        <v>-704.70000000000073</v>
      </c>
      <c r="I219" s="70">
        <f t="shared" si="21"/>
        <v>2434.4984000000113</v>
      </c>
    </row>
    <row r="220" spans="1:9" x14ac:dyDescent="0.25">
      <c r="A220" t="s">
        <v>3229</v>
      </c>
      <c r="B220" s="3">
        <v>25000</v>
      </c>
      <c r="C220" s="3" t="s">
        <v>350</v>
      </c>
      <c r="D220" s="17">
        <v>43297</v>
      </c>
      <c r="F220" s="20">
        <v>26300</v>
      </c>
      <c r="G220" s="72">
        <v>43301</v>
      </c>
      <c r="H220" s="70">
        <f t="shared" si="20"/>
        <v>-1300</v>
      </c>
      <c r="I220" s="70">
        <f t="shared" si="21"/>
        <v>1134.4984000000113</v>
      </c>
    </row>
    <row r="221" spans="1:9" x14ac:dyDescent="0.25">
      <c r="A221" t="s">
        <v>3230</v>
      </c>
      <c r="B221" s="3">
        <v>26000</v>
      </c>
      <c r="C221" s="3" t="s">
        <v>355</v>
      </c>
      <c r="D221" s="17">
        <v>43298</v>
      </c>
      <c r="F221" s="20">
        <v>26300</v>
      </c>
      <c r="G221" s="72">
        <v>43304</v>
      </c>
      <c r="H221" s="70">
        <f t="shared" si="20"/>
        <v>-300</v>
      </c>
      <c r="I221" s="70">
        <f t="shared" si="21"/>
        <v>834.49840000001132</v>
      </c>
    </row>
    <row r="222" spans="1:9" x14ac:dyDescent="0.25">
      <c r="A222" t="s">
        <v>3231</v>
      </c>
      <c r="F222" s="20"/>
      <c r="H222" s="70">
        <f t="shared" si="20"/>
        <v>0</v>
      </c>
      <c r="I222" s="70">
        <f t="shared" si="21"/>
        <v>834.49840000001132</v>
      </c>
    </row>
    <row r="223" spans="1:9" x14ac:dyDescent="0.25">
      <c r="A223" t="s">
        <v>3232</v>
      </c>
      <c r="F223" s="20"/>
      <c r="H223" s="70">
        <f t="shared" si="20"/>
        <v>0</v>
      </c>
      <c r="I223" s="70">
        <f t="shared" si="21"/>
        <v>834.49840000001132</v>
      </c>
    </row>
    <row r="224" spans="1:9" x14ac:dyDescent="0.25">
      <c r="A224" t="s">
        <v>3233</v>
      </c>
      <c r="F224" s="20"/>
      <c r="H224" s="70">
        <f t="shared" si="20"/>
        <v>0</v>
      </c>
      <c r="I224" s="70">
        <f t="shared" si="21"/>
        <v>834.49840000001132</v>
      </c>
    </row>
    <row r="225" spans="6:9" x14ac:dyDescent="0.25">
      <c r="F225" s="20"/>
      <c r="H225" s="70">
        <f t="shared" si="20"/>
        <v>0</v>
      </c>
      <c r="I225" s="70">
        <f t="shared" si="21"/>
        <v>834.49840000001132</v>
      </c>
    </row>
    <row r="226" spans="6:9" x14ac:dyDescent="0.25">
      <c r="F226" s="20"/>
      <c r="H226" s="70">
        <f t="shared" si="20"/>
        <v>0</v>
      </c>
      <c r="I226" s="70">
        <f t="shared" si="21"/>
        <v>834.49840000001132</v>
      </c>
    </row>
    <row r="227" spans="6:9" x14ac:dyDescent="0.25">
      <c r="H227" s="70">
        <f t="shared" si="20"/>
        <v>0</v>
      </c>
      <c r="I227" s="70">
        <f t="shared" si="21"/>
        <v>834.49840000001132</v>
      </c>
    </row>
    <row r="228" spans="6:9" x14ac:dyDescent="0.25">
      <c r="H228" s="70">
        <f t="shared" si="20"/>
        <v>0</v>
      </c>
      <c r="I228" s="70">
        <f t="shared" si="21"/>
        <v>834.49840000001132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K156"/>
  <sheetViews>
    <sheetView workbookViewId="0">
      <pane ySplit="4" topLeftCell="A135" activePane="bottomLeft" state="frozen"/>
      <selection pane="bottomLeft" activeCell="E149" sqref="E149"/>
    </sheetView>
  </sheetViews>
  <sheetFormatPr baseColWidth="10" defaultRowHeight="15" x14ac:dyDescent="0.25"/>
  <cols>
    <col min="2" max="2" width="11.42578125" customWidth="1"/>
    <col min="3" max="3" width="4" customWidth="1"/>
    <col min="5" max="5" width="11.85546875" customWidth="1"/>
    <col min="6" max="6" width="12.140625" style="3" customWidth="1"/>
  </cols>
  <sheetData>
    <row r="1" spans="1:9" x14ac:dyDescent="0.25">
      <c r="B1" s="3"/>
      <c r="H1" s="3"/>
      <c r="I1" s="3"/>
    </row>
    <row r="2" spans="1:9" x14ac:dyDescent="0.25">
      <c r="A2" t="s">
        <v>554</v>
      </c>
      <c r="B2" s="3"/>
      <c r="C2" s="3"/>
      <c r="F2" s="3" t="s">
        <v>370</v>
      </c>
      <c r="G2" s="3"/>
      <c r="H2" s="3"/>
      <c r="I2" s="3"/>
    </row>
    <row r="3" spans="1:9" x14ac:dyDescent="0.25">
      <c r="B3" s="3"/>
      <c r="C3" s="3"/>
      <c r="G3" s="71" t="s">
        <v>371</v>
      </c>
      <c r="H3" s="3"/>
      <c r="I3" s="3"/>
    </row>
    <row r="4" spans="1:9" x14ac:dyDescent="0.25">
      <c r="A4" t="s">
        <v>372</v>
      </c>
      <c r="B4" s="3" t="s">
        <v>373</v>
      </c>
      <c r="C4" s="3" t="s">
        <v>314</v>
      </c>
      <c r="D4" t="s">
        <v>374</v>
      </c>
      <c r="E4" t="s">
        <v>375</v>
      </c>
      <c r="F4" s="3" t="s">
        <v>376</v>
      </c>
      <c r="G4" s="71" t="s">
        <v>377</v>
      </c>
      <c r="H4" s="3" t="s">
        <v>378</v>
      </c>
      <c r="I4" s="3" t="s">
        <v>379</v>
      </c>
    </row>
    <row r="5" spans="1:9" x14ac:dyDescent="0.25">
      <c r="A5" t="s">
        <v>555</v>
      </c>
      <c r="B5" s="3">
        <v>35000</v>
      </c>
      <c r="C5" s="17" t="s">
        <v>355</v>
      </c>
      <c r="D5" s="17">
        <v>42766</v>
      </c>
      <c r="E5" t="s">
        <v>556</v>
      </c>
      <c r="F5" s="3">
        <v>28528.240000000002</v>
      </c>
      <c r="G5" s="17">
        <v>42773</v>
      </c>
      <c r="H5" s="70">
        <f t="shared" ref="H5:H37" si="0">B5-F5</f>
        <v>6471.7599999999984</v>
      </c>
      <c r="I5" s="70">
        <f>H5</f>
        <v>6471.7599999999984</v>
      </c>
    </row>
    <row r="6" spans="1:9" x14ac:dyDescent="0.25">
      <c r="A6" t="s">
        <v>557</v>
      </c>
      <c r="B6" s="3">
        <v>25000</v>
      </c>
      <c r="C6" s="17" t="s">
        <v>355</v>
      </c>
      <c r="D6" s="17">
        <v>42773</v>
      </c>
      <c r="E6" t="s">
        <v>558</v>
      </c>
      <c r="F6" s="3">
        <v>29562.04</v>
      </c>
      <c r="G6" s="17">
        <v>42779</v>
      </c>
      <c r="H6" s="70">
        <f t="shared" si="0"/>
        <v>-4562.0400000000009</v>
      </c>
      <c r="I6" s="70">
        <f t="shared" ref="I6:I69" si="1">I5+H6</f>
        <v>1909.7199999999975</v>
      </c>
    </row>
    <row r="7" spans="1:9" x14ac:dyDescent="0.25">
      <c r="A7" t="s">
        <v>559</v>
      </c>
      <c r="B7" s="3">
        <v>33000</v>
      </c>
      <c r="C7" s="17" t="s">
        <v>355</v>
      </c>
      <c r="D7" s="17">
        <v>42780</v>
      </c>
      <c r="E7" t="s">
        <v>560</v>
      </c>
      <c r="F7" s="3">
        <v>27979.68</v>
      </c>
      <c r="G7" s="17">
        <v>42787</v>
      </c>
      <c r="H7" s="70">
        <f t="shared" si="0"/>
        <v>5020.32</v>
      </c>
      <c r="I7" s="70">
        <f t="shared" si="1"/>
        <v>6930.0399999999972</v>
      </c>
    </row>
    <row r="8" spans="1:9" x14ac:dyDescent="0.25">
      <c r="A8" t="s">
        <v>561</v>
      </c>
      <c r="B8" s="3">
        <v>25000</v>
      </c>
      <c r="C8" s="17" t="s">
        <v>355</v>
      </c>
      <c r="D8" s="17">
        <v>42787</v>
      </c>
      <c r="E8" t="s">
        <v>562</v>
      </c>
      <c r="F8" s="3">
        <v>26628.18</v>
      </c>
      <c r="G8" s="17">
        <v>42794</v>
      </c>
      <c r="H8" s="70">
        <f t="shared" si="0"/>
        <v>-1628.1800000000003</v>
      </c>
      <c r="I8" s="70">
        <f t="shared" si="1"/>
        <v>5301.8599999999969</v>
      </c>
    </row>
    <row r="9" spans="1:9" x14ac:dyDescent="0.25">
      <c r="A9" t="s">
        <v>563</v>
      </c>
      <c r="B9" s="3">
        <v>26000</v>
      </c>
      <c r="C9" s="17" t="s">
        <v>564</v>
      </c>
      <c r="D9" s="17">
        <v>42794</v>
      </c>
      <c r="E9" s="79" t="s">
        <v>565</v>
      </c>
      <c r="F9" s="3">
        <v>26792.67</v>
      </c>
      <c r="G9" s="17">
        <v>42800</v>
      </c>
      <c r="H9" s="70">
        <f t="shared" si="0"/>
        <v>-792.66999999999825</v>
      </c>
      <c r="I9" s="70">
        <f t="shared" si="1"/>
        <v>4509.1899999999987</v>
      </c>
    </row>
    <row r="10" spans="1:9" x14ac:dyDescent="0.25">
      <c r="A10" t="s">
        <v>566</v>
      </c>
      <c r="B10" s="3">
        <v>25000</v>
      </c>
      <c r="C10" s="17" t="s">
        <v>331</v>
      </c>
      <c r="D10" s="17">
        <v>42795</v>
      </c>
      <c r="E10" s="79" t="s">
        <v>567</v>
      </c>
      <c r="F10" s="3">
        <v>27532.16</v>
      </c>
      <c r="G10" s="17">
        <v>42801</v>
      </c>
      <c r="H10" s="70">
        <f t="shared" si="0"/>
        <v>-2532.16</v>
      </c>
      <c r="I10" s="70">
        <f t="shared" si="1"/>
        <v>1977.0299999999988</v>
      </c>
    </row>
    <row r="11" spans="1:9" x14ac:dyDescent="0.25">
      <c r="A11" t="s">
        <v>568</v>
      </c>
      <c r="B11" s="3">
        <v>30000</v>
      </c>
      <c r="C11" s="17" t="s">
        <v>355</v>
      </c>
      <c r="D11" s="17">
        <v>42801</v>
      </c>
      <c r="E11" s="79" t="s">
        <v>569</v>
      </c>
      <c r="F11" s="3">
        <v>29216.58</v>
      </c>
      <c r="G11" s="17">
        <v>42807</v>
      </c>
      <c r="H11" s="70">
        <f t="shared" si="0"/>
        <v>783.41999999999825</v>
      </c>
      <c r="I11" s="70">
        <f t="shared" si="1"/>
        <v>2760.4499999999971</v>
      </c>
    </row>
    <row r="12" spans="1:9" x14ac:dyDescent="0.25">
      <c r="A12" t="s">
        <v>570</v>
      </c>
      <c r="B12" s="3">
        <v>28000</v>
      </c>
      <c r="C12" s="17" t="s">
        <v>331</v>
      </c>
      <c r="D12" s="17">
        <v>42802</v>
      </c>
      <c r="E12" s="79" t="s">
        <v>571</v>
      </c>
      <c r="F12" s="3">
        <v>28948.47</v>
      </c>
      <c r="G12" s="17">
        <v>42808</v>
      </c>
      <c r="H12" s="70">
        <f t="shared" si="0"/>
        <v>-948.47000000000116</v>
      </c>
      <c r="I12" s="70">
        <f t="shared" si="1"/>
        <v>1811.9799999999959</v>
      </c>
    </row>
    <row r="13" spans="1:9" x14ac:dyDescent="0.25">
      <c r="A13" t="s">
        <v>572</v>
      </c>
      <c r="B13" s="3">
        <v>31500</v>
      </c>
      <c r="C13" s="17" t="s">
        <v>331</v>
      </c>
      <c r="D13" s="17">
        <v>42808</v>
      </c>
      <c r="E13" s="79" t="s">
        <v>573</v>
      </c>
      <c r="F13" s="3">
        <v>30190.74</v>
      </c>
      <c r="G13" s="17">
        <v>42815</v>
      </c>
      <c r="H13" s="70">
        <f t="shared" si="0"/>
        <v>1309.2599999999984</v>
      </c>
      <c r="I13" s="70">
        <f t="shared" si="1"/>
        <v>3121.2399999999943</v>
      </c>
    </row>
    <row r="14" spans="1:9" x14ac:dyDescent="0.25">
      <c r="A14" t="s">
        <v>574</v>
      </c>
      <c r="B14" s="3">
        <v>31500</v>
      </c>
      <c r="C14" s="17" t="s">
        <v>331</v>
      </c>
      <c r="D14" s="17">
        <v>42808</v>
      </c>
      <c r="E14" s="79" t="s">
        <v>575</v>
      </c>
      <c r="F14" s="3">
        <v>30120.29</v>
      </c>
      <c r="G14" s="17">
        <v>42815</v>
      </c>
      <c r="H14" s="70">
        <f t="shared" si="0"/>
        <v>1379.7099999999991</v>
      </c>
      <c r="I14" s="70">
        <f t="shared" si="1"/>
        <v>4500.9499999999935</v>
      </c>
    </row>
    <row r="15" spans="1:9" x14ac:dyDescent="0.25">
      <c r="A15" t="s">
        <v>576</v>
      </c>
      <c r="B15" s="3">
        <v>33000</v>
      </c>
      <c r="C15" s="17" t="s">
        <v>355</v>
      </c>
      <c r="D15" s="17">
        <v>42815</v>
      </c>
      <c r="E15" s="79" t="s">
        <v>577</v>
      </c>
      <c r="F15" s="3">
        <v>30066.91</v>
      </c>
      <c r="G15" s="17">
        <v>42821</v>
      </c>
      <c r="H15" s="70">
        <f t="shared" si="0"/>
        <v>2933.09</v>
      </c>
      <c r="I15" s="70">
        <f t="shared" si="1"/>
        <v>7434.0399999999936</v>
      </c>
    </row>
    <row r="16" spans="1:9" x14ac:dyDescent="0.25">
      <c r="A16" t="s">
        <v>578</v>
      </c>
      <c r="B16" s="3">
        <v>30000</v>
      </c>
      <c r="C16" s="17" t="s">
        <v>355</v>
      </c>
      <c r="D16" s="17">
        <v>42815</v>
      </c>
      <c r="E16" s="79" t="s">
        <v>579</v>
      </c>
      <c r="F16" s="3">
        <v>29673.58</v>
      </c>
      <c r="G16" s="17">
        <v>42822</v>
      </c>
      <c r="H16" s="70">
        <f t="shared" si="0"/>
        <v>326.41999999999825</v>
      </c>
      <c r="I16" s="70">
        <f t="shared" si="1"/>
        <v>7760.4599999999919</v>
      </c>
    </row>
    <row r="17" spans="1:11" x14ac:dyDescent="0.25">
      <c r="A17" t="s">
        <v>580</v>
      </c>
      <c r="B17" s="3">
        <v>29000</v>
      </c>
      <c r="C17" s="17" t="s">
        <v>355</v>
      </c>
      <c r="D17" s="17">
        <v>42822</v>
      </c>
      <c r="E17" s="79" t="s">
        <v>581</v>
      </c>
      <c r="F17" s="3">
        <v>27113.15</v>
      </c>
      <c r="G17" s="17">
        <v>42828</v>
      </c>
      <c r="H17" s="70">
        <f t="shared" si="0"/>
        <v>1886.8499999999985</v>
      </c>
      <c r="I17" s="70">
        <f t="shared" si="1"/>
        <v>9647.3099999999904</v>
      </c>
    </row>
    <row r="18" spans="1:11" x14ac:dyDescent="0.25">
      <c r="A18" t="s">
        <v>582</v>
      </c>
      <c r="B18" s="3">
        <v>28000</v>
      </c>
      <c r="C18" s="17" t="s">
        <v>331</v>
      </c>
      <c r="D18" s="17">
        <v>42823</v>
      </c>
      <c r="E18" s="79" t="s">
        <v>583</v>
      </c>
      <c r="F18" s="3">
        <v>26672.05</v>
      </c>
      <c r="G18" s="17">
        <v>42829</v>
      </c>
      <c r="H18" s="70">
        <f t="shared" si="0"/>
        <v>1327.9500000000007</v>
      </c>
      <c r="I18" s="70">
        <f t="shared" si="1"/>
        <v>10975.259999999991</v>
      </c>
    </row>
    <row r="19" spans="1:11" x14ac:dyDescent="0.25">
      <c r="A19" t="s">
        <v>584</v>
      </c>
      <c r="B19" s="3">
        <v>26000</v>
      </c>
      <c r="C19" s="17" t="s">
        <v>345</v>
      </c>
      <c r="D19" s="17">
        <v>42825</v>
      </c>
      <c r="E19" s="79" t="s">
        <v>585</v>
      </c>
      <c r="F19" s="3">
        <v>27048.07</v>
      </c>
      <c r="G19" s="17">
        <v>42831</v>
      </c>
      <c r="H19" s="70">
        <f t="shared" si="0"/>
        <v>-1048.0699999999997</v>
      </c>
      <c r="I19" s="70">
        <f t="shared" si="1"/>
        <v>9927.1899999999914</v>
      </c>
    </row>
    <row r="20" spans="1:11" x14ac:dyDescent="0.25">
      <c r="A20" t="s">
        <v>586</v>
      </c>
      <c r="B20" s="3">
        <v>24000</v>
      </c>
      <c r="C20" s="17" t="s">
        <v>355</v>
      </c>
      <c r="D20" s="17">
        <v>42829</v>
      </c>
      <c r="E20" s="79" t="s">
        <v>587</v>
      </c>
      <c r="F20" s="3">
        <v>27139.08</v>
      </c>
      <c r="G20" s="17">
        <v>42835</v>
      </c>
      <c r="H20" s="70">
        <f t="shared" si="0"/>
        <v>-3139.0800000000017</v>
      </c>
      <c r="I20" s="70">
        <f t="shared" si="1"/>
        <v>6788.1099999999897</v>
      </c>
      <c r="J20" t="s">
        <v>588</v>
      </c>
    </row>
    <row r="21" spans="1:11" x14ac:dyDescent="0.25">
      <c r="A21" t="s">
        <v>589</v>
      </c>
      <c r="B21" s="3">
        <v>24000</v>
      </c>
      <c r="C21" s="17" t="s">
        <v>331</v>
      </c>
      <c r="D21" s="17">
        <v>42830</v>
      </c>
      <c r="E21" s="79" t="s">
        <v>590</v>
      </c>
      <c r="F21" s="3">
        <v>28089.07</v>
      </c>
      <c r="G21" s="17">
        <v>42836</v>
      </c>
      <c r="H21" s="70">
        <f t="shared" si="0"/>
        <v>-4089.0699999999997</v>
      </c>
      <c r="I21" s="70">
        <f t="shared" si="1"/>
        <v>2699.03999999999</v>
      </c>
      <c r="J21" t="s">
        <v>591</v>
      </c>
    </row>
    <row r="22" spans="1:11" x14ac:dyDescent="0.25">
      <c r="A22" t="s">
        <v>592</v>
      </c>
      <c r="B22" s="3">
        <v>27000</v>
      </c>
      <c r="C22" s="17" t="s">
        <v>355</v>
      </c>
      <c r="D22" s="17">
        <v>42836</v>
      </c>
      <c r="E22" s="79" t="s">
        <v>593</v>
      </c>
      <c r="F22" s="3">
        <v>27974.99</v>
      </c>
      <c r="G22" s="17">
        <v>42842</v>
      </c>
      <c r="H22" s="70">
        <f t="shared" si="0"/>
        <v>-974.9900000000016</v>
      </c>
      <c r="I22" s="70">
        <f t="shared" si="1"/>
        <v>1724.0499999999884</v>
      </c>
    </row>
    <row r="23" spans="1:11" x14ac:dyDescent="0.25">
      <c r="A23" t="s">
        <v>594</v>
      </c>
      <c r="B23" s="3">
        <v>27500</v>
      </c>
      <c r="C23" s="17" t="s">
        <v>331</v>
      </c>
      <c r="D23" s="17">
        <v>42837</v>
      </c>
      <c r="E23" s="79" t="s">
        <v>595</v>
      </c>
      <c r="F23" s="3">
        <v>28014.2</v>
      </c>
      <c r="G23" s="17">
        <v>42843</v>
      </c>
      <c r="H23" s="70">
        <f t="shared" si="0"/>
        <v>-514.20000000000073</v>
      </c>
      <c r="I23" s="70">
        <f t="shared" si="1"/>
        <v>1209.8499999999876</v>
      </c>
    </row>
    <row r="24" spans="1:11" x14ac:dyDescent="0.25">
      <c r="A24" t="s">
        <v>596</v>
      </c>
      <c r="B24" s="3">
        <v>27500</v>
      </c>
      <c r="C24" s="17" t="s">
        <v>331</v>
      </c>
      <c r="D24" s="17">
        <v>42837</v>
      </c>
      <c r="E24" s="79" t="s">
        <v>597</v>
      </c>
      <c r="F24" s="3">
        <v>28283.71</v>
      </c>
      <c r="G24" s="17">
        <v>42845</v>
      </c>
      <c r="H24" s="70">
        <f t="shared" si="0"/>
        <v>-783.70999999999913</v>
      </c>
      <c r="I24" s="70">
        <f t="shared" si="1"/>
        <v>426.1399999999885</v>
      </c>
    </row>
    <row r="25" spans="1:11" x14ac:dyDescent="0.25">
      <c r="A25" t="s">
        <v>598</v>
      </c>
      <c r="B25" s="3">
        <v>29500</v>
      </c>
      <c r="C25" s="17" t="s">
        <v>355</v>
      </c>
      <c r="D25" s="17">
        <v>42843</v>
      </c>
      <c r="E25" s="79" t="s">
        <v>599</v>
      </c>
      <c r="F25" s="3">
        <v>29315.32</v>
      </c>
      <c r="G25" s="17">
        <v>42849</v>
      </c>
      <c r="H25" s="70">
        <f t="shared" si="0"/>
        <v>184.68000000000029</v>
      </c>
      <c r="I25" s="70">
        <f t="shared" si="1"/>
        <v>610.8199999999888</v>
      </c>
    </row>
    <row r="26" spans="1:11" x14ac:dyDescent="0.25">
      <c r="A26" t="s">
        <v>600</v>
      </c>
      <c r="B26" s="3">
        <v>29500</v>
      </c>
      <c r="C26" s="17" t="s">
        <v>331</v>
      </c>
      <c r="D26" s="17">
        <v>42844</v>
      </c>
      <c r="E26" s="79" t="s">
        <v>601</v>
      </c>
      <c r="F26" s="3">
        <v>29743.45</v>
      </c>
      <c r="G26" s="17">
        <v>42850</v>
      </c>
      <c r="H26" s="70">
        <f t="shared" si="0"/>
        <v>-243.45000000000073</v>
      </c>
      <c r="I26" s="70">
        <f t="shared" si="1"/>
        <v>367.36999999998807</v>
      </c>
    </row>
    <row r="27" spans="1:11" x14ac:dyDescent="0.25">
      <c r="A27" t="s">
        <v>602</v>
      </c>
      <c r="B27" s="3">
        <v>30000</v>
      </c>
      <c r="C27" s="17" t="s">
        <v>345</v>
      </c>
      <c r="D27" s="17">
        <v>42846</v>
      </c>
      <c r="E27" s="79" t="s">
        <v>603</v>
      </c>
      <c r="F27" s="3">
        <v>30427.32</v>
      </c>
      <c r="G27" s="17">
        <v>42852</v>
      </c>
      <c r="H27" s="70">
        <f t="shared" si="0"/>
        <v>-427.31999999999971</v>
      </c>
      <c r="I27" s="70">
        <f t="shared" si="1"/>
        <v>-59.950000000011642</v>
      </c>
    </row>
    <row r="28" spans="1:11" x14ac:dyDescent="0.25">
      <c r="A28">
        <v>32610</v>
      </c>
      <c r="B28" s="3">
        <v>31000</v>
      </c>
      <c r="C28" s="17" t="s">
        <v>331</v>
      </c>
      <c r="D28" s="17">
        <v>42851</v>
      </c>
      <c r="E28" s="79" t="s">
        <v>604</v>
      </c>
      <c r="F28" s="3">
        <v>30453.87</v>
      </c>
      <c r="G28" s="17">
        <v>42857</v>
      </c>
      <c r="H28" s="70">
        <f t="shared" si="0"/>
        <v>546.13000000000102</v>
      </c>
      <c r="I28" s="70">
        <f t="shared" si="1"/>
        <v>486.17999999998938</v>
      </c>
    </row>
    <row r="29" spans="1:11" x14ac:dyDescent="0.25">
      <c r="A29">
        <v>32632</v>
      </c>
      <c r="B29" s="3">
        <v>31000</v>
      </c>
      <c r="C29" s="17" t="s">
        <v>345</v>
      </c>
      <c r="D29" s="17">
        <v>42853</v>
      </c>
      <c r="E29" s="79" t="s">
        <v>605</v>
      </c>
      <c r="F29" s="3">
        <v>30235.759999999998</v>
      </c>
      <c r="G29" s="17">
        <v>42859</v>
      </c>
      <c r="H29" s="70">
        <f t="shared" si="0"/>
        <v>764.2400000000016</v>
      </c>
      <c r="I29" s="70">
        <f t="shared" si="1"/>
        <v>1250.419999999991</v>
      </c>
    </row>
    <row r="30" spans="1:11" x14ac:dyDescent="0.25">
      <c r="A30">
        <v>32633</v>
      </c>
      <c r="B30" s="3">
        <v>32000</v>
      </c>
      <c r="C30" s="17" t="s">
        <v>355</v>
      </c>
      <c r="D30" s="17">
        <v>42857</v>
      </c>
      <c r="E30" s="79" t="s">
        <v>606</v>
      </c>
      <c r="F30" s="3">
        <v>31829.03</v>
      </c>
      <c r="G30" s="17">
        <v>42863</v>
      </c>
      <c r="H30" s="70">
        <f t="shared" si="0"/>
        <v>170.97000000000116</v>
      </c>
      <c r="I30" s="70">
        <f t="shared" si="1"/>
        <v>1421.3899999999921</v>
      </c>
    </row>
    <row r="31" spans="1:11" x14ac:dyDescent="0.25">
      <c r="A31">
        <v>60879</v>
      </c>
      <c r="B31" s="3">
        <v>32000</v>
      </c>
      <c r="C31" s="17" t="s">
        <v>342</v>
      </c>
      <c r="D31" s="17">
        <v>42859</v>
      </c>
      <c r="E31" s="79" t="s">
        <v>607</v>
      </c>
      <c r="F31" s="3">
        <v>31423.66</v>
      </c>
      <c r="G31" s="17">
        <v>42863</v>
      </c>
      <c r="H31" s="70">
        <f t="shared" si="0"/>
        <v>576.34000000000015</v>
      </c>
      <c r="I31" s="70">
        <f t="shared" si="1"/>
        <v>1997.7299999999923</v>
      </c>
    </row>
    <row r="32" spans="1:11" x14ac:dyDescent="0.25">
      <c r="A32">
        <v>32634</v>
      </c>
      <c r="B32" s="3"/>
      <c r="C32" s="17" t="s">
        <v>331</v>
      </c>
      <c r="D32" s="17">
        <v>42858</v>
      </c>
      <c r="E32" s="75" t="s">
        <v>380</v>
      </c>
      <c r="G32" s="17">
        <v>42864</v>
      </c>
      <c r="H32" s="70">
        <f t="shared" si="0"/>
        <v>0</v>
      </c>
      <c r="I32" s="70">
        <f t="shared" si="1"/>
        <v>1997.7299999999923</v>
      </c>
      <c r="J32" s="75" t="s">
        <v>380</v>
      </c>
      <c r="K32" t="s">
        <v>608</v>
      </c>
    </row>
    <row r="33" spans="1:10" x14ac:dyDescent="0.25">
      <c r="A33">
        <v>32635</v>
      </c>
      <c r="B33" s="3">
        <v>31500</v>
      </c>
      <c r="C33" s="17" t="s">
        <v>355</v>
      </c>
      <c r="D33" s="17">
        <v>42864</v>
      </c>
      <c r="E33" s="79" t="s">
        <v>609</v>
      </c>
      <c r="F33" s="3">
        <v>32317.86</v>
      </c>
      <c r="G33" s="17">
        <v>42870</v>
      </c>
      <c r="H33" s="70">
        <f t="shared" si="0"/>
        <v>-817.86000000000058</v>
      </c>
      <c r="I33" s="70">
        <f t="shared" si="1"/>
        <v>1179.8699999999917</v>
      </c>
    </row>
    <row r="34" spans="1:10" x14ac:dyDescent="0.25">
      <c r="A34">
        <v>32636</v>
      </c>
      <c r="B34" s="3">
        <v>31500</v>
      </c>
      <c r="C34" s="17" t="s">
        <v>331</v>
      </c>
      <c r="D34" s="17">
        <v>42865</v>
      </c>
      <c r="E34" s="79" t="s">
        <v>610</v>
      </c>
      <c r="F34" s="3">
        <v>32196.51</v>
      </c>
      <c r="G34" s="17">
        <v>42871</v>
      </c>
      <c r="H34" s="70">
        <f t="shared" si="0"/>
        <v>-696.5099999999984</v>
      </c>
      <c r="I34" s="70">
        <f t="shared" si="1"/>
        <v>483.35999999999331</v>
      </c>
    </row>
    <row r="35" spans="1:10" x14ac:dyDescent="0.25">
      <c r="A35">
        <v>81550</v>
      </c>
      <c r="B35" s="3">
        <v>32000</v>
      </c>
      <c r="C35" s="17" t="s">
        <v>331</v>
      </c>
      <c r="D35" s="17">
        <v>42858</v>
      </c>
      <c r="E35" s="79" t="s">
        <v>611</v>
      </c>
      <c r="F35" s="3">
        <v>32827.629999999997</v>
      </c>
      <c r="G35" s="17">
        <v>42877</v>
      </c>
      <c r="H35" s="70">
        <f t="shared" si="0"/>
        <v>-827.62999999999738</v>
      </c>
      <c r="I35" s="70">
        <f t="shared" si="1"/>
        <v>-344.27000000000407</v>
      </c>
      <c r="J35" t="s">
        <v>612</v>
      </c>
    </row>
    <row r="36" spans="1:10" x14ac:dyDescent="0.25">
      <c r="A36">
        <v>32637</v>
      </c>
      <c r="B36" s="3">
        <v>33000</v>
      </c>
      <c r="C36" s="17" t="s">
        <v>355</v>
      </c>
      <c r="D36" s="17">
        <v>42871</v>
      </c>
      <c r="E36" s="79" t="s">
        <v>613</v>
      </c>
      <c r="F36" s="3">
        <v>32909.72</v>
      </c>
      <c r="G36" s="17">
        <v>42877</v>
      </c>
      <c r="H36" s="70">
        <f t="shared" si="0"/>
        <v>90.279999999998836</v>
      </c>
      <c r="I36" s="70">
        <f t="shared" si="1"/>
        <v>-253.99000000000524</v>
      </c>
    </row>
    <row r="37" spans="1:10" x14ac:dyDescent="0.25">
      <c r="A37">
        <v>32638</v>
      </c>
      <c r="B37" s="3">
        <v>34000</v>
      </c>
      <c r="C37" s="17" t="s">
        <v>331</v>
      </c>
      <c r="D37" s="17">
        <v>42872</v>
      </c>
      <c r="E37" s="79" t="s">
        <v>614</v>
      </c>
      <c r="F37" s="3">
        <v>31541.56</v>
      </c>
      <c r="G37" s="17">
        <v>42878</v>
      </c>
      <c r="H37" s="70">
        <f t="shared" si="0"/>
        <v>2458.4399999999987</v>
      </c>
      <c r="I37" s="70">
        <f t="shared" si="1"/>
        <v>2204.4499999999935</v>
      </c>
    </row>
    <row r="38" spans="1:10" x14ac:dyDescent="0.25">
      <c r="A38">
        <v>32639</v>
      </c>
      <c r="B38" s="3">
        <v>33000</v>
      </c>
      <c r="C38" s="17" t="s">
        <v>355</v>
      </c>
      <c r="D38" s="17">
        <v>42878</v>
      </c>
      <c r="E38" s="79" t="s">
        <v>615</v>
      </c>
      <c r="F38" s="3">
        <v>32782.89</v>
      </c>
      <c r="G38" s="17">
        <v>42884</v>
      </c>
      <c r="H38" s="70">
        <f>B38-F38</f>
        <v>217.11000000000058</v>
      </c>
      <c r="I38" s="70">
        <f t="shared" si="1"/>
        <v>2421.559999999994</v>
      </c>
    </row>
    <row r="39" spans="1:10" x14ac:dyDescent="0.25">
      <c r="A39">
        <v>32640</v>
      </c>
      <c r="B39" s="3">
        <v>32000</v>
      </c>
      <c r="C39" s="17" t="s">
        <v>331</v>
      </c>
      <c r="D39" s="17">
        <v>42879</v>
      </c>
      <c r="E39" s="79" t="s">
        <v>616</v>
      </c>
      <c r="F39" s="3">
        <v>33963.15</v>
      </c>
      <c r="G39" s="17">
        <v>42885</v>
      </c>
      <c r="H39" s="70">
        <f>B39-F39</f>
        <v>-1963.1500000000015</v>
      </c>
      <c r="I39" s="70">
        <f t="shared" si="1"/>
        <v>458.40999999999258</v>
      </c>
    </row>
    <row r="40" spans="1:10" x14ac:dyDescent="0.25">
      <c r="A40">
        <v>90287</v>
      </c>
      <c r="B40" s="3">
        <v>35000</v>
      </c>
      <c r="C40" s="17" t="s">
        <v>355</v>
      </c>
      <c r="D40" s="17">
        <v>42885</v>
      </c>
      <c r="E40" s="79" t="s">
        <v>617</v>
      </c>
      <c r="F40" s="3">
        <v>32465.82</v>
      </c>
      <c r="G40" s="17">
        <v>42891</v>
      </c>
      <c r="H40" s="70">
        <f>B40-F40</f>
        <v>2534.1800000000003</v>
      </c>
      <c r="I40" s="70">
        <f t="shared" si="1"/>
        <v>2992.5899999999929</v>
      </c>
    </row>
    <row r="41" spans="1:10" x14ac:dyDescent="0.25">
      <c r="A41">
        <v>90328</v>
      </c>
      <c r="B41" s="3">
        <v>35000</v>
      </c>
      <c r="C41" s="17" t="s">
        <v>331</v>
      </c>
      <c r="D41" s="17">
        <v>42886</v>
      </c>
      <c r="E41" s="79" t="s">
        <v>618</v>
      </c>
      <c r="F41" s="3">
        <v>31071.759999999998</v>
      </c>
      <c r="G41" s="17">
        <v>42892</v>
      </c>
      <c r="H41" s="70">
        <f t="shared" ref="H41:H101" si="2">B41-F41</f>
        <v>3928.2400000000016</v>
      </c>
      <c r="I41" s="70">
        <f t="shared" si="1"/>
        <v>6920.8299999999945</v>
      </c>
    </row>
    <row r="42" spans="1:10" x14ac:dyDescent="0.25">
      <c r="A42">
        <v>90329</v>
      </c>
      <c r="B42" s="3">
        <v>30000</v>
      </c>
      <c r="C42" s="17" t="s">
        <v>355</v>
      </c>
      <c r="D42" s="17">
        <v>42892</v>
      </c>
      <c r="E42" s="79" t="s">
        <v>619</v>
      </c>
      <c r="F42" s="3">
        <v>29384.67</v>
      </c>
      <c r="G42" s="17">
        <v>42898</v>
      </c>
      <c r="H42" s="70">
        <f t="shared" si="2"/>
        <v>615.33000000000175</v>
      </c>
      <c r="I42" s="70">
        <f t="shared" si="1"/>
        <v>7536.1599999999962</v>
      </c>
    </row>
    <row r="43" spans="1:10" x14ac:dyDescent="0.25">
      <c r="A43">
        <v>90373</v>
      </c>
      <c r="B43" s="3">
        <v>30000</v>
      </c>
      <c r="C43" s="17" t="s">
        <v>331</v>
      </c>
      <c r="D43" s="17">
        <v>42893</v>
      </c>
      <c r="E43" s="79" t="s">
        <v>620</v>
      </c>
      <c r="F43" s="3">
        <v>30307.119999999999</v>
      </c>
      <c r="G43" s="17">
        <v>42899</v>
      </c>
      <c r="H43" s="70">
        <f t="shared" si="2"/>
        <v>-307.11999999999898</v>
      </c>
      <c r="I43" s="70">
        <f t="shared" si="1"/>
        <v>7229.0399999999972</v>
      </c>
    </row>
    <row r="44" spans="1:10" x14ac:dyDescent="0.25">
      <c r="A44">
        <v>90331</v>
      </c>
      <c r="B44" s="3">
        <v>30000</v>
      </c>
      <c r="C44" s="17" t="s">
        <v>355</v>
      </c>
      <c r="D44" s="17">
        <v>42899</v>
      </c>
      <c r="E44" s="79" t="s">
        <v>621</v>
      </c>
      <c r="F44" s="3">
        <v>32882.85</v>
      </c>
      <c r="G44" s="17">
        <v>42905</v>
      </c>
      <c r="H44" s="70">
        <f t="shared" si="2"/>
        <v>-2882.8499999999985</v>
      </c>
      <c r="I44" s="70">
        <f t="shared" si="1"/>
        <v>4346.1899999999987</v>
      </c>
    </row>
    <row r="45" spans="1:10" x14ac:dyDescent="0.25">
      <c r="A45">
        <v>90336</v>
      </c>
      <c r="B45" s="3">
        <v>30000</v>
      </c>
      <c r="C45" s="17" t="s">
        <v>331</v>
      </c>
      <c r="D45" s="17">
        <v>42900</v>
      </c>
      <c r="E45" s="79" t="s">
        <v>622</v>
      </c>
      <c r="F45" s="3">
        <v>32207.33</v>
      </c>
      <c r="G45" s="17">
        <v>42906</v>
      </c>
      <c r="H45" s="70">
        <f t="shared" si="2"/>
        <v>-2207.3300000000017</v>
      </c>
      <c r="I45" s="70">
        <f t="shared" si="1"/>
        <v>2138.8599999999969</v>
      </c>
    </row>
    <row r="46" spans="1:10" x14ac:dyDescent="0.25">
      <c r="A46">
        <v>90338</v>
      </c>
      <c r="B46" s="3">
        <v>34500</v>
      </c>
      <c r="C46" s="17" t="s">
        <v>355</v>
      </c>
      <c r="D46" s="17">
        <v>42906</v>
      </c>
      <c r="E46" s="79" t="s">
        <v>623</v>
      </c>
      <c r="F46" s="3">
        <v>33421.769999999997</v>
      </c>
      <c r="G46" s="17">
        <v>42912</v>
      </c>
      <c r="H46" s="70">
        <f t="shared" si="2"/>
        <v>1078.2300000000032</v>
      </c>
      <c r="I46" s="70">
        <f t="shared" si="1"/>
        <v>3217.09</v>
      </c>
    </row>
    <row r="47" spans="1:10" x14ac:dyDescent="0.25">
      <c r="A47">
        <v>90339</v>
      </c>
      <c r="B47" s="3">
        <v>34500</v>
      </c>
      <c r="C47" s="17" t="s">
        <v>331</v>
      </c>
      <c r="D47" s="17">
        <v>42907</v>
      </c>
      <c r="E47" s="79" t="s">
        <v>624</v>
      </c>
      <c r="F47" s="3">
        <v>33081.83</v>
      </c>
      <c r="G47" s="17">
        <v>42913</v>
      </c>
      <c r="H47" s="70">
        <f t="shared" si="2"/>
        <v>1418.1699999999983</v>
      </c>
      <c r="I47" s="70">
        <f t="shared" si="1"/>
        <v>4635.2599999999984</v>
      </c>
    </row>
    <row r="48" spans="1:10" x14ac:dyDescent="0.25">
      <c r="A48" t="s">
        <v>625</v>
      </c>
      <c r="B48" s="3">
        <v>34000</v>
      </c>
      <c r="C48" s="17" t="s">
        <v>355</v>
      </c>
      <c r="D48" s="17">
        <v>42913</v>
      </c>
      <c r="E48" s="79" t="s">
        <v>626</v>
      </c>
      <c r="F48" s="3">
        <v>35245.519999999997</v>
      </c>
      <c r="G48" s="17">
        <v>42919</v>
      </c>
      <c r="H48" s="70">
        <f t="shared" si="2"/>
        <v>-1245.5199999999968</v>
      </c>
      <c r="I48" s="70">
        <f t="shared" si="1"/>
        <v>3389.7400000000016</v>
      </c>
    </row>
    <row r="49" spans="1:9" x14ac:dyDescent="0.25">
      <c r="A49" t="s">
        <v>627</v>
      </c>
      <c r="B49" s="3">
        <v>34000</v>
      </c>
      <c r="C49" s="17" t="s">
        <v>331</v>
      </c>
      <c r="D49" s="17">
        <v>42914</v>
      </c>
      <c r="E49" s="79" t="s">
        <v>628</v>
      </c>
      <c r="F49" s="3">
        <v>35871.230000000003</v>
      </c>
      <c r="G49" s="17">
        <v>42919</v>
      </c>
      <c r="H49" s="70">
        <f t="shared" si="2"/>
        <v>-1871.2300000000032</v>
      </c>
      <c r="I49" s="70">
        <f t="shared" si="1"/>
        <v>1518.5099999999984</v>
      </c>
    </row>
    <row r="50" spans="1:9" x14ac:dyDescent="0.25">
      <c r="A50" t="s">
        <v>629</v>
      </c>
      <c r="B50" s="3">
        <v>35000</v>
      </c>
      <c r="C50" s="17" t="s">
        <v>350</v>
      </c>
      <c r="D50" s="17">
        <v>42919</v>
      </c>
      <c r="E50" s="79" t="s">
        <v>630</v>
      </c>
      <c r="F50" s="3">
        <v>37566.410000000003</v>
      </c>
      <c r="G50" s="17">
        <v>42926</v>
      </c>
      <c r="H50" s="70">
        <f t="shared" si="2"/>
        <v>-2566.4100000000035</v>
      </c>
      <c r="I50" s="70">
        <f t="shared" si="1"/>
        <v>-1047.9000000000051</v>
      </c>
    </row>
    <row r="51" spans="1:9" x14ac:dyDescent="0.25">
      <c r="A51" t="s">
        <v>631</v>
      </c>
      <c r="B51" s="3">
        <v>37000</v>
      </c>
      <c r="C51" s="17" t="s">
        <v>331</v>
      </c>
      <c r="D51" s="17">
        <v>42921</v>
      </c>
      <c r="E51" s="79" t="s">
        <v>632</v>
      </c>
      <c r="F51" s="3">
        <v>38122.910000000003</v>
      </c>
      <c r="G51" s="17">
        <v>42927</v>
      </c>
      <c r="H51" s="70">
        <f t="shared" si="2"/>
        <v>-1122.9100000000035</v>
      </c>
      <c r="I51" s="70">
        <f t="shared" si="1"/>
        <v>-2170.8100000000086</v>
      </c>
    </row>
    <row r="52" spans="1:9" x14ac:dyDescent="0.25">
      <c r="A52" t="s">
        <v>633</v>
      </c>
      <c r="B52" s="3">
        <v>40500</v>
      </c>
      <c r="C52" s="17" t="s">
        <v>564</v>
      </c>
      <c r="D52" s="17">
        <v>42927</v>
      </c>
      <c r="E52" s="79" t="s">
        <v>634</v>
      </c>
      <c r="F52" s="3">
        <v>37884.9</v>
      </c>
      <c r="G52" s="17">
        <v>42933</v>
      </c>
      <c r="H52" s="70">
        <f t="shared" si="2"/>
        <v>2615.0999999999985</v>
      </c>
      <c r="I52" s="70">
        <f t="shared" si="1"/>
        <v>444.28999999998996</v>
      </c>
    </row>
    <row r="53" spans="1:9" x14ac:dyDescent="0.25">
      <c r="A53" t="s">
        <v>635</v>
      </c>
      <c r="B53" s="3">
        <v>40500</v>
      </c>
      <c r="C53" s="17" t="s">
        <v>355</v>
      </c>
      <c r="D53" s="17">
        <v>42927</v>
      </c>
      <c r="E53" s="79" t="s">
        <v>636</v>
      </c>
      <c r="F53" s="3">
        <v>37593.71</v>
      </c>
      <c r="G53" s="17">
        <v>42933</v>
      </c>
      <c r="H53" s="70">
        <f t="shared" si="2"/>
        <v>2906.2900000000009</v>
      </c>
      <c r="I53" s="70">
        <f t="shared" si="1"/>
        <v>3350.5799999999908</v>
      </c>
    </row>
    <row r="54" spans="1:9" x14ac:dyDescent="0.25">
      <c r="A54" t="s">
        <v>637</v>
      </c>
      <c r="B54" s="3">
        <v>40500</v>
      </c>
      <c r="C54" s="17" t="s">
        <v>355</v>
      </c>
      <c r="D54" s="17">
        <v>42934</v>
      </c>
      <c r="E54" s="79" t="s">
        <v>638</v>
      </c>
      <c r="F54" s="3">
        <v>38068.32</v>
      </c>
      <c r="G54" s="17">
        <v>42940</v>
      </c>
      <c r="H54" s="70">
        <f t="shared" si="2"/>
        <v>2431.6800000000003</v>
      </c>
      <c r="I54" s="70">
        <f t="shared" si="1"/>
        <v>5782.2599999999911</v>
      </c>
    </row>
    <row r="55" spans="1:9" x14ac:dyDescent="0.25">
      <c r="A55" t="s">
        <v>639</v>
      </c>
      <c r="B55" s="3">
        <v>40500</v>
      </c>
      <c r="C55" s="17" t="s">
        <v>355</v>
      </c>
      <c r="D55" s="17">
        <v>42934</v>
      </c>
      <c r="E55" s="79" t="s">
        <v>640</v>
      </c>
      <c r="F55" s="3">
        <v>37844.69</v>
      </c>
      <c r="G55" s="17">
        <v>42940</v>
      </c>
      <c r="H55" s="70">
        <f t="shared" si="2"/>
        <v>2655.3099999999977</v>
      </c>
      <c r="I55" s="70">
        <f t="shared" si="1"/>
        <v>8437.5699999999888</v>
      </c>
    </row>
    <row r="56" spans="1:9" x14ac:dyDescent="0.25">
      <c r="A56" t="s">
        <v>641</v>
      </c>
      <c r="B56" s="3">
        <v>38000</v>
      </c>
      <c r="C56" s="17" t="s">
        <v>355</v>
      </c>
      <c r="D56" s="17">
        <v>42941</v>
      </c>
      <c r="E56" s="79" t="s">
        <v>642</v>
      </c>
      <c r="F56" s="3">
        <v>35214.120000000003</v>
      </c>
      <c r="G56" s="17">
        <v>42947</v>
      </c>
      <c r="H56" s="70">
        <f t="shared" si="2"/>
        <v>2785.8799999999974</v>
      </c>
      <c r="I56" s="70">
        <f t="shared" si="1"/>
        <v>11223.449999999986</v>
      </c>
    </row>
    <row r="57" spans="1:9" x14ac:dyDescent="0.25">
      <c r="A57" t="s">
        <v>643</v>
      </c>
      <c r="B57" s="3">
        <v>38000</v>
      </c>
      <c r="C57" s="17" t="s">
        <v>331</v>
      </c>
      <c r="D57" s="17">
        <v>42942</v>
      </c>
      <c r="E57" t="s">
        <v>644</v>
      </c>
      <c r="F57" s="3">
        <v>33664.620000000003</v>
      </c>
      <c r="G57" s="17">
        <v>42948</v>
      </c>
      <c r="H57" s="70">
        <f t="shared" si="2"/>
        <v>4335.3799999999974</v>
      </c>
      <c r="I57" s="70">
        <f t="shared" si="1"/>
        <v>15558.829999999984</v>
      </c>
    </row>
    <row r="58" spans="1:9" x14ac:dyDescent="0.25">
      <c r="A58" t="s">
        <v>645</v>
      </c>
      <c r="B58" s="3">
        <v>38000</v>
      </c>
      <c r="C58" s="17" t="s">
        <v>564</v>
      </c>
      <c r="D58" s="17">
        <v>42948</v>
      </c>
      <c r="E58" s="79" t="s">
        <v>646</v>
      </c>
      <c r="F58" s="3">
        <v>32164.86</v>
      </c>
      <c r="G58" s="17">
        <v>42954</v>
      </c>
      <c r="H58" s="70">
        <f t="shared" si="2"/>
        <v>5835.1399999999994</v>
      </c>
      <c r="I58" s="70">
        <f t="shared" si="1"/>
        <v>21393.969999999983</v>
      </c>
    </row>
    <row r="59" spans="1:9" x14ac:dyDescent="0.25">
      <c r="A59" t="s">
        <v>647</v>
      </c>
      <c r="B59" s="3">
        <v>38000</v>
      </c>
      <c r="C59" s="17" t="s">
        <v>331</v>
      </c>
      <c r="D59" s="17">
        <v>42949</v>
      </c>
      <c r="E59" s="79" t="s">
        <v>648</v>
      </c>
      <c r="F59" s="3">
        <v>31738.17</v>
      </c>
      <c r="G59" s="17">
        <v>42955</v>
      </c>
      <c r="H59" s="70">
        <f t="shared" si="2"/>
        <v>6261.8300000000017</v>
      </c>
      <c r="I59" s="70">
        <f t="shared" si="1"/>
        <v>27655.799999999985</v>
      </c>
    </row>
    <row r="60" spans="1:9" x14ac:dyDescent="0.25">
      <c r="A60" t="s">
        <v>649</v>
      </c>
      <c r="B60" s="3">
        <v>20000</v>
      </c>
      <c r="C60" s="17" t="s">
        <v>355</v>
      </c>
      <c r="D60" s="17">
        <v>42955</v>
      </c>
      <c r="E60" s="79" t="s">
        <v>650</v>
      </c>
      <c r="F60" s="3">
        <v>31497.81</v>
      </c>
      <c r="G60" s="17">
        <v>42961</v>
      </c>
      <c r="H60" s="70">
        <f t="shared" si="2"/>
        <v>-11497.810000000001</v>
      </c>
      <c r="I60" s="70">
        <f t="shared" si="1"/>
        <v>16157.989999999983</v>
      </c>
    </row>
    <row r="61" spans="1:9" x14ac:dyDescent="0.25">
      <c r="A61" t="s">
        <v>651</v>
      </c>
      <c r="B61" s="3">
        <v>20000</v>
      </c>
      <c r="C61" s="17" t="s">
        <v>331</v>
      </c>
      <c r="D61" s="17">
        <v>42956</v>
      </c>
      <c r="E61" s="79" t="s">
        <v>652</v>
      </c>
      <c r="F61" s="3">
        <v>30506.12</v>
      </c>
      <c r="G61" s="17">
        <v>42962</v>
      </c>
      <c r="H61" s="70">
        <f t="shared" si="2"/>
        <v>-10506.119999999999</v>
      </c>
      <c r="I61" s="70">
        <f t="shared" si="1"/>
        <v>5651.8699999999844</v>
      </c>
    </row>
    <row r="62" spans="1:9" x14ac:dyDescent="0.25">
      <c r="A62" t="s">
        <v>653</v>
      </c>
      <c r="B62" s="3">
        <v>28000</v>
      </c>
      <c r="C62" s="17" t="s">
        <v>355</v>
      </c>
      <c r="D62" s="17">
        <v>42962</v>
      </c>
      <c r="E62" s="79" t="s">
        <v>654</v>
      </c>
      <c r="F62" s="3">
        <v>31013.66</v>
      </c>
      <c r="G62" s="17">
        <v>42968</v>
      </c>
      <c r="H62" s="70">
        <f t="shared" si="2"/>
        <v>-3013.66</v>
      </c>
      <c r="I62" s="70">
        <f t="shared" si="1"/>
        <v>2638.2099999999846</v>
      </c>
    </row>
    <row r="63" spans="1:9" x14ac:dyDescent="0.25">
      <c r="A63" t="s">
        <v>655</v>
      </c>
      <c r="B63" s="3">
        <v>30000</v>
      </c>
      <c r="C63" s="17" t="s">
        <v>331</v>
      </c>
      <c r="D63" s="17">
        <v>42963</v>
      </c>
      <c r="E63" s="79" t="s">
        <v>656</v>
      </c>
      <c r="F63" s="3">
        <v>31553.34</v>
      </c>
      <c r="G63" s="17">
        <v>42969</v>
      </c>
      <c r="H63" s="70">
        <f t="shared" si="2"/>
        <v>-1553.3400000000001</v>
      </c>
      <c r="I63" s="70">
        <f t="shared" si="1"/>
        <v>1084.8699999999844</v>
      </c>
    </row>
    <row r="64" spans="1:9" x14ac:dyDescent="0.25">
      <c r="A64" t="s">
        <v>657</v>
      </c>
      <c r="B64" s="3">
        <v>31000</v>
      </c>
      <c r="C64" s="17" t="s">
        <v>355</v>
      </c>
      <c r="D64" s="17">
        <v>42969</v>
      </c>
      <c r="E64" s="79" t="s">
        <v>658</v>
      </c>
      <c r="F64" s="3">
        <v>32450.61</v>
      </c>
      <c r="G64" s="17">
        <v>42975</v>
      </c>
      <c r="H64" s="70">
        <f t="shared" si="2"/>
        <v>-1450.6100000000006</v>
      </c>
      <c r="I64" s="70">
        <f t="shared" si="1"/>
        <v>-365.74000000001615</v>
      </c>
    </row>
    <row r="65" spans="1:10" x14ac:dyDescent="0.25">
      <c r="A65" t="s">
        <v>659</v>
      </c>
      <c r="B65" s="3">
        <v>31000</v>
      </c>
      <c r="C65" s="17" t="s">
        <v>331</v>
      </c>
      <c r="D65" s="17">
        <v>42970</v>
      </c>
      <c r="E65" s="79" t="s">
        <v>660</v>
      </c>
      <c r="F65" s="3">
        <v>32801.22</v>
      </c>
      <c r="G65" s="17">
        <v>42976</v>
      </c>
      <c r="H65" s="70">
        <f t="shared" si="2"/>
        <v>-1801.2200000000012</v>
      </c>
      <c r="I65" s="70">
        <f t="shared" si="1"/>
        <v>-2166.9600000000173</v>
      </c>
      <c r="J65" t="s">
        <v>661</v>
      </c>
    </row>
    <row r="66" spans="1:10" x14ac:dyDescent="0.25">
      <c r="A66" t="s">
        <v>659</v>
      </c>
      <c r="B66" s="3">
        <v>2166.96</v>
      </c>
      <c r="C66" s="17" t="s">
        <v>331</v>
      </c>
      <c r="D66" s="17">
        <v>42977</v>
      </c>
      <c r="E66" s="79"/>
      <c r="G66" s="17"/>
      <c r="H66" s="70">
        <f t="shared" si="2"/>
        <v>2166.96</v>
      </c>
      <c r="I66" s="70">
        <f t="shared" si="1"/>
        <v>-1.7280399333685637E-11</v>
      </c>
    </row>
    <row r="67" spans="1:10" x14ac:dyDescent="0.25">
      <c r="A67" t="s">
        <v>662</v>
      </c>
      <c r="B67" s="3">
        <v>35000</v>
      </c>
      <c r="C67" s="17" t="s">
        <v>355</v>
      </c>
      <c r="D67" s="17">
        <v>42983</v>
      </c>
      <c r="E67" s="79" t="s">
        <v>663</v>
      </c>
      <c r="F67" s="3">
        <v>33830.79</v>
      </c>
      <c r="G67" s="17">
        <v>42989</v>
      </c>
      <c r="H67" s="70">
        <f t="shared" si="2"/>
        <v>1169.2099999999991</v>
      </c>
      <c r="I67" s="70">
        <f t="shared" si="1"/>
        <v>1169.2099999999818</v>
      </c>
    </row>
    <row r="68" spans="1:10" x14ac:dyDescent="0.25">
      <c r="A68" t="s">
        <v>664</v>
      </c>
      <c r="B68" s="3">
        <v>35000</v>
      </c>
      <c r="C68" s="17" t="s">
        <v>331</v>
      </c>
      <c r="D68" s="17">
        <v>42984</v>
      </c>
      <c r="E68" s="79" t="s">
        <v>665</v>
      </c>
      <c r="F68" s="3">
        <v>33484.699999999997</v>
      </c>
      <c r="G68" s="17">
        <v>42990</v>
      </c>
      <c r="H68" s="70">
        <f t="shared" si="2"/>
        <v>1515.3000000000029</v>
      </c>
      <c r="I68" s="70">
        <f t="shared" si="1"/>
        <v>2684.5099999999848</v>
      </c>
    </row>
    <row r="69" spans="1:10" x14ac:dyDescent="0.25">
      <c r="A69" t="s">
        <v>666</v>
      </c>
      <c r="B69" s="3">
        <v>32000</v>
      </c>
      <c r="C69" s="17" t="s">
        <v>355</v>
      </c>
      <c r="D69" s="17">
        <v>42990</v>
      </c>
      <c r="G69" s="17">
        <v>42996</v>
      </c>
      <c r="H69" s="70">
        <f t="shared" si="2"/>
        <v>32000</v>
      </c>
      <c r="I69" s="70">
        <f t="shared" si="1"/>
        <v>34684.509999999987</v>
      </c>
    </row>
    <row r="70" spans="1:10" x14ac:dyDescent="0.25">
      <c r="A70" t="s">
        <v>666</v>
      </c>
      <c r="B70" s="3">
        <v>4000</v>
      </c>
      <c r="C70" s="17" t="s">
        <v>331</v>
      </c>
      <c r="D70" s="17">
        <v>42991</v>
      </c>
      <c r="E70" s="79" t="s">
        <v>667</v>
      </c>
      <c r="F70" s="3">
        <v>32367.29</v>
      </c>
      <c r="G70" s="17">
        <v>42996</v>
      </c>
      <c r="H70" s="70">
        <f t="shared" si="2"/>
        <v>-28367.29</v>
      </c>
      <c r="I70" s="70">
        <f t="shared" ref="I70:I101" si="3">I69+H70</f>
        <v>6317.2199999999866</v>
      </c>
    </row>
    <row r="71" spans="1:10" x14ac:dyDescent="0.25">
      <c r="A71" t="s">
        <v>668</v>
      </c>
      <c r="B71" s="3">
        <v>36000</v>
      </c>
      <c r="C71" s="17" t="s">
        <v>331</v>
      </c>
      <c r="D71" s="17">
        <v>42991</v>
      </c>
      <c r="E71" s="79" t="s">
        <v>669</v>
      </c>
      <c r="F71" s="3">
        <v>31976.86</v>
      </c>
      <c r="G71" s="17">
        <v>42997</v>
      </c>
      <c r="H71" s="70">
        <f t="shared" si="2"/>
        <v>4023.1399999999994</v>
      </c>
      <c r="I71" s="70">
        <f t="shared" si="3"/>
        <v>10340.359999999986</v>
      </c>
    </row>
    <row r="72" spans="1:10" x14ac:dyDescent="0.25">
      <c r="A72" t="s">
        <v>670</v>
      </c>
      <c r="B72" s="3">
        <v>36000</v>
      </c>
      <c r="C72" s="17" t="s">
        <v>331</v>
      </c>
      <c r="D72" s="17">
        <v>42991</v>
      </c>
      <c r="E72" s="79" t="s">
        <v>671</v>
      </c>
      <c r="F72" s="3">
        <v>31487.08</v>
      </c>
      <c r="G72" s="17">
        <v>42997</v>
      </c>
      <c r="H72" s="70">
        <f t="shared" si="2"/>
        <v>4512.9199999999983</v>
      </c>
      <c r="I72" s="70">
        <f t="shared" si="3"/>
        <v>14853.279999999984</v>
      </c>
    </row>
    <row r="73" spans="1:10" x14ac:dyDescent="0.25">
      <c r="A73" t="s">
        <v>672</v>
      </c>
      <c r="B73" s="3">
        <v>28000</v>
      </c>
      <c r="C73" s="17" t="s">
        <v>355</v>
      </c>
      <c r="D73" s="17">
        <v>42997</v>
      </c>
      <c r="E73" s="79" t="s">
        <v>673</v>
      </c>
      <c r="F73" s="3">
        <v>28927</v>
      </c>
      <c r="G73" s="17">
        <v>43003</v>
      </c>
      <c r="H73" s="70">
        <f t="shared" si="2"/>
        <v>-927</v>
      </c>
      <c r="I73" s="70">
        <f t="shared" si="3"/>
        <v>13926.279999999984</v>
      </c>
    </row>
    <row r="74" spans="1:10" x14ac:dyDescent="0.25">
      <c r="A74" t="s">
        <v>674</v>
      </c>
      <c r="B74" s="3">
        <v>28000</v>
      </c>
      <c r="C74" s="17" t="s">
        <v>331</v>
      </c>
      <c r="D74" s="17">
        <v>42998</v>
      </c>
      <c r="E74" s="79" t="s">
        <v>675</v>
      </c>
      <c r="F74" s="3">
        <v>28003.43</v>
      </c>
      <c r="G74" s="17">
        <v>43004</v>
      </c>
      <c r="H74" s="70">
        <f t="shared" si="2"/>
        <v>-3.430000000000291</v>
      </c>
      <c r="I74" s="70">
        <f t="shared" si="3"/>
        <v>13922.849999999984</v>
      </c>
    </row>
    <row r="75" spans="1:10" x14ac:dyDescent="0.25">
      <c r="A75" s="1" t="s">
        <v>676</v>
      </c>
      <c r="B75" s="3">
        <v>28000</v>
      </c>
      <c r="C75" s="17" t="s">
        <v>355</v>
      </c>
      <c r="D75" s="17">
        <v>43004</v>
      </c>
      <c r="E75" s="79" t="s">
        <v>677</v>
      </c>
      <c r="F75" s="3">
        <v>27084.42</v>
      </c>
      <c r="G75" s="17">
        <v>43010</v>
      </c>
      <c r="H75" s="70">
        <f t="shared" si="2"/>
        <v>915.58000000000175</v>
      </c>
      <c r="I75" s="70">
        <f t="shared" si="3"/>
        <v>14838.429999999986</v>
      </c>
    </row>
    <row r="76" spans="1:10" x14ac:dyDescent="0.25">
      <c r="A76" s="1" t="s">
        <v>678</v>
      </c>
      <c r="B76" s="3">
        <v>20000</v>
      </c>
      <c r="C76" s="17" t="s">
        <v>331</v>
      </c>
      <c r="D76" s="17">
        <v>43005</v>
      </c>
      <c r="E76" s="79" t="s">
        <v>679</v>
      </c>
      <c r="F76" s="3">
        <v>28484.44</v>
      </c>
      <c r="G76" s="17">
        <v>43011</v>
      </c>
      <c r="H76" s="70">
        <f t="shared" si="2"/>
        <v>-8484.4399999999987</v>
      </c>
      <c r="I76" s="70">
        <f t="shared" si="3"/>
        <v>6353.989999999987</v>
      </c>
    </row>
    <row r="77" spans="1:10" x14ac:dyDescent="0.25">
      <c r="A77" s="1" t="s">
        <v>680</v>
      </c>
      <c r="B77" s="3">
        <v>26000</v>
      </c>
      <c r="C77" s="17" t="s">
        <v>355</v>
      </c>
      <c r="D77" s="17">
        <v>43011</v>
      </c>
      <c r="E77" s="79" t="s">
        <v>681</v>
      </c>
      <c r="F77" s="3">
        <v>29023.78</v>
      </c>
      <c r="G77" s="17">
        <v>43017</v>
      </c>
      <c r="H77" s="70">
        <f t="shared" si="2"/>
        <v>-3023.7799999999988</v>
      </c>
      <c r="I77" s="70">
        <f t="shared" si="3"/>
        <v>3330.2099999999882</v>
      </c>
    </row>
    <row r="78" spans="1:10" x14ac:dyDescent="0.25">
      <c r="A78" s="1" t="s">
        <v>682</v>
      </c>
      <c r="B78" s="3">
        <v>27000</v>
      </c>
      <c r="C78" s="17" t="s">
        <v>331</v>
      </c>
      <c r="D78" s="17">
        <v>43012</v>
      </c>
      <c r="E78" s="79" t="s">
        <v>683</v>
      </c>
      <c r="F78" s="3">
        <v>28988.77</v>
      </c>
      <c r="G78" s="17">
        <v>43018</v>
      </c>
      <c r="H78" s="70">
        <f t="shared" si="2"/>
        <v>-1988.7700000000004</v>
      </c>
      <c r="I78" s="70">
        <f t="shared" si="3"/>
        <v>1341.4399999999878</v>
      </c>
    </row>
    <row r="79" spans="1:10" x14ac:dyDescent="0.25">
      <c r="A79" s="1" t="s">
        <v>684</v>
      </c>
      <c r="B79" s="3">
        <v>30500</v>
      </c>
      <c r="C79" s="17" t="s">
        <v>355</v>
      </c>
      <c r="D79" s="17">
        <v>43018</v>
      </c>
      <c r="E79" s="79" t="s">
        <v>685</v>
      </c>
      <c r="F79" s="3">
        <v>29206</v>
      </c>
      <c r="G79" s="17">
        <v>43024</v>
      </c>
      <c r="H79" s="70">
        <f t="shared" si="2"/>
        <v>1294</v>
      </c>
      <c r="I79" s="70">
        <f t="shared" si="3"/>
        <v>2635.4399999999878</v>
      </c>
    </row>
    <row r="80" spans="1:10" x14ac:dyDescent="0.25">
      <c r="A80" s="1" t="s">
        <v>686</v>
      </c>
      <c r="B80" s="3">
        <v>31000</v>
      </c>
      <c r="C80" s="17" t="s">
        <v>331</v>
      </c>
      <c r="D80" s="17">
        <v>43019</v>
      </c>
      <c r="E80" s="79" t="s">
        <v>687</v>
      </c>
      <c r="F80" s="3">
        <v>29191.599999999999</v>
      </c>
      <c r="G80" s="17">
        <v>43025</v>
      </c>
      <c r="H80" s="70">
        <f t="shared" si="2"/>
        <v>1808.4000000000015</v>
      </c>
      <c r="I80" s="70">
        <f t="shared" si="3"/>
        <v>4443.8399999999892</v>
      </c>
    </row>
    <row r="81" spans="1:9" x14ac:dyDescent="0.25">
      <c r="A81" s="1" t="s">
        <v>688</v>
      </c>
      <c r="B81" s="3">
        <v>31000</v>
      </c>
      <c r="C81" s="17" t="s">
        <v>331</v>
      </c>
      <c r="D81" s="17">
        <v>43019</v>
      </c>
      <c r="E81" s="79" t="s">
        <v>689</v>
      </c>
      <c r="F81" s="3">
        <v>31015.06</v>
      </c>
      <c r="G81" s="17">
        <v>43025</v>
      </c>
      <c r="H81" s="70">
        <f t="shared" si="2"/>
        <v>-15.06000000000131</v>
      </c>
      <c r="I81" s="70">
        <f t="shared" si="3"/>
        <v>4428.7799999999879</v>
      </c>
    </row>
    <row r="82" spans="1:9" x14ac:dyDescent="0.25">
      <c r="A82" s="1" t="s">
        <v>690</v>
      </c>
      <c r="B82" s="3">
        <v>32000</v>
      </c>
      <c r="C82" s="17" t="s">
        <v>355</v>
      </c>
      <c r="D82" s="17">
        <v>43025</v>
      </c>
      <c r="E82" s="79" t="s">
        <v>691</v>
      </c>
      <c r="F82" s="3">
        <v>31999.7</v>
      </c>
      <c r="G82" s="17">
        <v>43031</v>
      </c>
      <c r="H82" s="70">
        <f t="shared" si="2"/>
        <v>0.2999999999992724</v>
      </c>
      <c r="I82" s="70">
        <f t="shared" si="3"/>
        <v>4429.0799999999872</v>
      </c>
    </row>
    <row r="83" spans="1:9" x14ac:dyDescent="0.25">
      <c r="A83" s="1" t="s">
        <v>692</v>
      </c>
      <c r="B83" s="3">
        <v>32000</v>
      </c>
      <c r="C83" s="17" t="s">
        <v>331</v>
      </c>
      <c r="D83" s="17">
        <v>43026</v>
      </c>
      <c r="E83" s="79" t="s">
        <v>693</v>
      </c>
      <c r="F83" s="3">
        <v>32471.1</v>
      </c>
      <c r="G83" s="17">
        <v>43032</v>
      </c>
      <c r="H83" s="70">
        <f t="shared" si="2"/>
        <v>-471.09999999999854</v>
      </c>
      <c r="I83" s="70">
        <f t="shared" si="3"/>
        <v>3957.9799999999886</v>
      </c>
    </row>
    <row r="84" spans="1:9" x14ac:dyDescent="0.25">
      <c r="A84" s="1" t="s">
        <v>694</v>
      </c>
      <c r="B84" s="3">
        <v>33000</v>
      </c>
      <c r="C84" s="17" t="s">
        <v>355</v>
      </c>
      <c r="D84" s="17">
        <v>43032</v>
      </c>
      <c r="E84" s="79" t="s">
        <v>695</v>
      </c>
      <c r="F84" s="3">
        <v>33508.730000000003</v>
      </c>
      <c r="G84" s="17">
        <v>43038</v>
      </c>
      <c r="H84" s="70">
        <f t="shared" si="2"/>
        <v>-508.7300000000032</v>
      </c>
      <c r="I84" s="70">
        <f t="shared" si="3"/>
        <v>3449.2499999999854</v>
      </c>
    </row>
    <row r="85" spans="1:9" x14ac:dyDescent="0.25">
      <c r="A85" s="1" t="s">
        <v>696</v>
      </c>
      <c r="B85" s="3">
        <v>33500</v>
      </c>
      <c r="C85" s="17" t="s">
        <v>331</v>
      </c>
      <c r="D85" s="17">
        <v>43033</v>
      </c>
      <c r="E85" s="79" t="s">
        <v>697</v>
      </c>
      <c r="F85" s="3">
        <v>34136.199999999997</v>
      </c>
      <c r="G85" s="17">
        <v>43039</v>
      </c>
      <c r="H85" s="70">
        <f t="shared" si="2"/>
        <v>-636.19999999999709</v>
      </c>
      <c r="I85" s="70">
        <f t="shared" si="3"/>
        <v>2813.0499999999884</v>
      </c>
    </row>
    <row r="86" spans="1:9" x14ac:dyDescent="0.25">
      <c r="A86" s="1" t="s">
        <v>698</v>
      </c>
      <c r="B86" s="73">
        <v>0</v>
      </c>
      <c r="C86" s="17" t="s">
        <v>331</v>
      </c>
      <c r="D86" s="73" t="s">
        <v>384</v>
      </c>
      <c r="G86" s="74" t="s">
        <v>384</v>
      </c>
      <c r="H86" s="70">
        <f t="shared" si="2"/>
        <v>0</v>
      </c>
      <c r="I86" s="70">
        <f t="shared" si="3"/>
        <v>2813.0499999999884</v>
      </c>
    </row>
    <row r="87" spans="1:9" x14ac:dyDescent="0.25">
      <c r="A87" s="1">
        <v>79396</v>
      </c>
      <c r="B87" s="3">
        <v>33500</v>
      </c>
      <c r="C87" s="17" t="s">
        <v>355</v>
      </c>
      <c r="D87" s="17">
        <v>43033</v>
      </c>
      <c r="E87" s="79" t="s">
        <v>699</v>
      </c>
      <c r="F87" s="3">
        <v>33744.720000000001</v>
      </c>
      <c r="G87" s="17">
        <v>43045</v>
      </c>
      <c r="H87" s="70">
        <f t="shared" si="2"/>
        <v>-244.72000000000116</v>
      </c>
      <c r="I87" s="70">
        <f t="shared" si="3"/>
        <v>2568.3299999999872</v>
      </c>
    </row>
    <row r="88" spans="1:9" x14ac:dyDescent="0.25">
      <c r="A88" s="1">
        <v>79412</v>
      </c>
      <c r="B88" s="3">
        <v>34000</v>
      </c>
      <c r="C88" s="17" t="s">
        <v>355</v>
      </c>
      <c r="D88" s="17">
        <v>43046</v>
      </c>
      <c r="E88" s="79" t="s">
        <v>700</v>
      </c>
      <c r="F88" s="3">
        <v>34133.1</v>
      </c>
      <c r="G88" s="17">
        <v>43052</v>
      </c>
      <c r="H88" s="70">
        <f t="shared" si="2"/>
        <v>-133.09999999999854</v>
      </c>
      <c r="I88" s="70">
        <f t="shared" si="3"/>
        <v>2435.2299999999886</v>
      </c>
    </row>
    <row r="89" spans="1:9" x14ac:dyDescent="0.25">
      <c r="A89" s="1">
        <v>79414</v>
      </c>
      <c r="B89" s="3">
        <v>34500</v>
      </c>
      <c r="C89" s="17" t="s">
        <v>331</v>
      </c>
      <c r="D89" s="17">
        <v>43047</v>
      </c>
      <c r="E89" s="79" t="s">
        <v>701</v>
      </c>
      <c r="F89" s="3">
        <v>34330.120000000003</v>
      </c>
      <c r="G89" s="17">
        <v>43053</v>
      </c>
      <c r="H89" s="70">
        <f t="shared" si="2"/>
        <v>169.87999999999738</v>
      </c>
      <c r="I89" s="70">
        <f t="shared" si="3"/>
        <v>2605.109999999986</v>
      </c>
    </row>
    <row r="90" spans="1:9" x14ac:dyDescent="0.25">
      <c r="A90">
        <v>79415</v>
      </c>
      <c r="B90" s="3">
        <v>34500</v>
      </c>
      <c r="C90" s="17" t="s">
        <v>331</v>
      </c>
      <c r="D90" s="17">
        <v>43054</v>
      </c>
      <c r="E90" s="79" t="s">
        <v>702</v>
      </c>
      <c r="F90" s="3">
        <v>29613.55</v>
      </c>
      <c r="G90" s="17">
        <v>43060</v>
      </c>
      <c r="H90" s="70">
        <f t="shared" si="2"/>
        <v>4886.4500000000007</v>
      </c>
      <c r="I90" s="70">
        <f t="shared" si="3"/>
        <v>7491.5599999999868</v>
      </c>
    </row>
    <row r="91" spans="1:9" x14ac:dyDescent="0.25">
      <c r="A91">
        <v>79416</v>
      </c>
      <c r="B91" s="3">
        <v>34500</v>
      </c>
      <c r="C91" s="17" t="s">
        <v>331</v>
      </c>
      <c r="D91" s="17">
        <v>43054</v>
      </c>
      <c r="E91" s="79" t="s">
        <v>703</v>
      </c>
      <c r="F91" s="3">
        <v>29785.39</v>
      </c>
      <c r="G91" s="17">
        <v>43060</v>
      </c>
      <c r="H91" s="70">
        <f t="shared" si="2"/>
        <v>4714.6100000000006</v>
      </c>
      <c r="I91" s="70">
        <f t="shared" si="3"/>
        <v>12206.169999999987</v>
      </c>
    </row>
    <row r="92" spans="1:9" x14ac:dyDescent="0.25">
      <c r="A92">
        <v>79417</v>
      </c>
      <c r="B92" s="3">
        <v>25000</v>
      </c>
      <c r="C92" s="17" t="s">
        <v>345</v>
      </c>
      <c r="D92" s="17">
        <v>17</v>
      </c>
      <c r="E92" s="79" t="s">
        <v>704</v>
      </c>
      <c r="F92" s="3">
        <v>28735.61</v>
      </c>
      <c r="G92" s="17">
        <v>43063</v>
      </c>
      <c r="H92" s="70">
        <f t="shared" si="2"/>
        <v>-3735.6100000000006</v>
      </c>
      <c r="I92" s="70">
        <f t="shared" si="3"/>
        <v>8470.5599999999868</v>
      </c>
    </row>
    <row r="93" spans="1:9" x14ac:dyDescent="0.25">
      <c r="A93" t="s">
        <v>705</v>
      </c>
      <c r="B93" s="3">
        <v>30000</v>
      </c>
      <c r="C93" s="17" t="s">
        <v>355</v>
      </c>
      <c r="D93" s="17">
        <v>43074</v>
      </c>
      <c r="E93" s="79" t="s">
        <v>40</v>
      </c>
      <c r="F93" s="3">
        <v>32098.52</v>
      </c>
      <c r="G93" s="17">
        <v>43080</v>
      </c>
      <c r="H93" s="70">
        <f t="shared" si="2"/>
        <v>-2098.5200000000004</v>
      </c>
      <c r="I93" s="70">
        <f t="shared" si="3"/>
        <v>6372.0399999999863</v>
      </c>
    </row>
    <row r="94" spans="1:9" x14ac:dyDescent="0.25">
      <c r="A94" t="s">
        <v>706</v>
      </c>
      <c r="B94" s="3">
        <v>30000</v>
      </c>
      <c r="C94" s="17" t="s">
        <v>355</v>
      </c>
      <c r="D94" s="17">
        <v>43074</v>
      </c>
      <c r="E94" s="79" t="s">
        <v>43</v>
      </c>
      <c r="F94" s="3">
        <v>32292.400000000001</v>
      </c>
      <c r="G94" s="17">
        <v>43080</v>
      </c>
      <c r="H94" s="70">
        <f t="shared" si="2"/>
        <v>-2292.4000000000015</v>
      </c>
      <c r="I94" s="70">
        <f t="shared" si="3"/>
        <v>4079.6399999999849</v>
      </c>
    </row>
    <row r="95" spans="1:9" x14ac:dyDescent="0.25">
      <c r="A95" t="s">
        <v>707</v>
      </c>
      <c r="B95" s="3">
        <v>30000</v>
      </c>
      <c r="C95" s="17" t="s">
        <v>345</v>
      </c>
      <c r="D95" s="17">
        <v>43084</v>
      </c>
      <c r="E95" s="79" t="s">
        <v>708</v>
      </c>
      <c r="F95" s="3">
        <v>25813.07</v>
      </c>
      <c r="G95" s="17">
        <v>43091</v>
      </c>
      <c r="H95" s="70">
        <f t="shared" si="2"/>
        <v>4186.93</v>
      </c>
      <c r="I95" s="70">
        <f t="shared" si="3"/>
        <v>8266.5699999999852</v>
      </c>
    </row>
    <row r="96" spans="1:9" x14ac:dyDescent="0.25">
      <c r="A96" t="s">
        <v>709</v>
      </c>
      <c r="B96" s="3">
        <v>25000</v>
      </c>
      <c r="C96" s="17" t="s">
        <v>331</v>
      </c>
      <c r="D96" s="17">
        <v>43089</v>
      </c>
      <c r="E96" s="79" t="s">
        <v>710</v>
      </c>
      <c r="F96" s="3">
        <v>26158.74</v>
      </c>
      <c r="G96" s="17">
        <v>43095</v>
      </c>
      <c r="H96" s="70">
        <f t="shared" si="2"/>
        <v>-1158.7400000000016</v>
      </c>
      <c r="I96" s="70">
        <f t="shared" si="3"/>
        <v>7107.8299999999836</v>
      </c>
    </row>
    <row r="97" spans="1:10" x14ac:dyDescent="0.25">
      <c r="A97" t="s">
        <v>711</v>
      </c>
      <c r="B97" s="3">
        <v>25000</v>
      </c>
      <c r="C97" s="17" t="s">
        <v>331</v>
      </c>
      <c r="D97" s="17">
        <v>43089</v>
      </c>
      <c r="E97" s="79" t="s">
        <v>712</v>
      </c>
      <c r="F97" s="3">
        <v>25987.03</v>
      </c>
      <c r="G97" s="17">
        <v>43095</v>
      </c>
      <c r="H97" s="70">
        <f t="shared" si="2"/>
        <v>-987.02999999999884</v>
      </c>
      <c r="I97" s="70">
        <f t="shared" si="3"/>
        <v>6120.7999999999847</v>
      </c>
    </row>
    <row r="98" spans="1:10" x14ac:dyDescent="0.25">
      <c r="A98" t="s">
        <v>337</v>
      </c>
      <c r="B98" s="3">
        <v>25000</v>
      </c>
      <c r="C98" s="17" t="s">
        <v>331</v>
      </c>
      <c r="D98" s="17">
        <v>43096</v>
      </c>
      <c r="E98" s="79" t="s">
        <v>1024</v>
      </c>
      <c r="F98" s="3">
        <v>27174.83</v>
      </c>
      <c r="G98" s="17">
        <v>43102</v>
      </c>
      <c r="H98" s="70">
        <f t="shared" si="2"/>
        <v>-2174.8300000000017</v>
      </c>
      <c r="I98" s="70">
        <f t="shared" si="3"/>
        <v>3945.969999999983</v>
      </c>
    </row>
    <row r="99" spans="1:10" x14ac:dyDescent="0.25">
      <c r="A99" t="s">
        <v>339</v>
      </c>
      <c r="B99" s="3">
        <v>25000</v>
      </c>
      <c r="C99" s="17" t="s">
        <v>331</v>
      </c>
      <c r="D99" s="17">
        <v>43096</v>
      </c>
      <c r="E99" s="79" t="s">
        <v>1025</v>
      </c>
      <c r="F99" s="3">
        <v>27586.78</v>
      </c>
      <c r="G99" s="17">
        <v>43102</v>
      </c>
      <c r="H99" s="70">
        <f t="shared" si="2"/>
        <v>-2586.7799999999988</v>
      </c>
      <c r="I99" s="70">
        <f t="shared" si="3"/>
        <v>1359.1899999999841</v>
      </c>
    </row>
    <row r="100" spans="1:10" x14ac:dyDescent="0.25">
      <c r="A100" t="s">
        <v>1078</v>
      </c>
      <c r="B100" s="3">
        <v>28000</v>
      </c>
      <c r="C100" s="17" t="s">
        <v>355</v>
      </c>
      <c r="D100" s="17">
        <v>43109</v>
      </c>
      <c r="E100" s="79" t="s">
        <v>1205</v>
      </c>
      <c r="F100" s="3">
        <v>29183.759999999998</v>
      </c>
      <c r="G100" s="17">
        <v>43115</v>
      </c>
      <c r="H100" s="70">
        <f t="shared" si="2"/>
        <v>-1183.7599999999984</v>
      </c>
      <c r="I100" s="70">
        <f t="shared" si="3"/>
        <v>175.42999999998574</v>
      </c>
    </row>
    <row r="101" spans="1:10" x14ac:dyDescent="0.25">
      <c r="A101" t="s">
        <v>1079</v>
      </c>
      <c r="B101" s="3"/>
      <c r="C101" s="17"/>
      <c r="D101" s="75" t="s">
        <v>380</v>
      </c>
      <c r="G101" s="17"/>
      <c r="H101" s="70">
        <f t="shared" si="2"/>
        <v>0</v>
      </c>
      <c r="I101" s="70">
        <f t="shared" si="3"/>
        <v>175.42999999998574</v>
      </c>
      <c r="J101" s="75" t="s">
        <v>380</v>
      </c>
    </row>
    <row r="102" spans="1:10" x14ac:dyDescent="0.25">
      <c r="A102" t="s">
        <v>1206</v>
      </c>
      <c r="B102" s="3">
        <v>28000</v>
      </c>
      <c r="C102" s="17" t="s">
        <v>331</v>
      </c>
      <c r="D102" s="17">
        <v>43110</v>
      </c>
      <c r="E102" s="79" t="s">
        <v>1298</v>
      </c>
      <c r="F102" s="3">
        <v>30868.37</v>
      </c>
      <c r="G102" s="17">
        <v>43116</v>
      </c>
      <c r="H102" s="70">
        <f t="shared" ref="H102:H111" si="4">B102-F102</f>
        <v>-2868.369999999999</v>
      </c>
      <c r="I102" s="70">
        <f t="shared" ref="I102:I111" si="5">I101+H102</f>
        <v>-2692.9400000000132</v>
      </c>
    </row>
    <row r="103" spans="1:10" x14ac:dyDescent="0.25">
      <c r="A103" t="s">
        <v>1080</v>
      </c>
      <c r="B103" s="3">
        <v>32000</v>
      </c>
      <c r="C103" s="17" t="s">
        <v>383</v>
      </c>
      <c r="D103" s="17">
        <v>43117</v>
      </c>
      <c r="E103" s="79" t="s">
        <v>1299</v>
      </c>
      <c r="F103" s="3">
        <v>31408.94</v>
      </c>
      <c r="G103" s="17">
        <v>43123</v>
      </c>
      <c r="H103" s="70">
        <f t="shared" si="4"/>
        <v>591.06000000000131</v>
      </c>
      <c r="I103" s="70">
        <f t="shared" si="5"/>
        <v>-2101.8800000000119</v>
      </c>
    </row>
    <row r="104" spans="1:10" x14ac:dyDescent="0.25">
      <c r="A104" t="s">
        <v>1081</v>
      </c>
      <c r="B104" s="3">
        <v>35000</v>
      </c>
      <c r="C104" s="17" t="s">
        <v>1085</v>
      </c>
      <c r="D104" s="17">
        <v>43123</v>
      </c>
      <c r="E104" s="79" t="s">
        <v>1393</v>
      </c>
      <c r="F104" s="3">
        <v>33144.050000000003</v>
      </c>
      <c r="G104" s="17">
        <v>43129</v>
      </c>
      <c r="H104" s="70">
        <f t="shared" si="4"/>
        <v>1855.9499999999971</v>
      </c>
      <c r="I104" s="70">
        <f t="shared" si="5"/>
        <v>-245.93000000001484</v>
      </c>
    </row>
    <row r="105" spans="1:10" x14ac:dyDescent="0.25">
      <c r="A105" t="s">
        <v>1082</v>
      </c>
      <c r="B105" s="3">
        <v>33000</v>
      </c>
      <c r="C105" s="17" t="s">
        <v>331</v>
      </c>
      <c r="D105" s="17">
        <v>43124</v>
      </c>
      <c r="E105" s="79" t="s">
        <v>1394</v>
      </c>
      <c r="F105" s="3">
        <v>32316.19</v>
      </c>
      <c r="G105" s="17">
        <v>43130</v>
      </c>
      <c r="H105" s="70">
        <f t="shared" si="4"/>
        <v>683.81000000000131</v>
      </c>
      <c r="I105" s="70">
        <f t="shared" si="5"/>
        <v>437.87999999998647</v>
      </c>
    </row>
    <row r="106" spans="1:10" x14ac:dyDescent="0.25">
      <c r="A106" t="s">
        <v>1083</v>
      </c>
      <c r="B106" s="3">
        <v>34500</v>
      </c>
      <c r="C106" s="17" t="s">
        <v>1085</v>
      </c>
      <c r="D106" s="17">
        <v>43130</v>
      </c>
      <c r="E106" s="79" t="s">
        <v>1490</v>
      </c>
      <c r="F106" s="3">
        <v>29375.33</v>
      </c>
      <c r="G106" s="17">
        <v>43137</v>
      </c>
      <c r="H106" s="70">
        <f t="shared" si="4"/>
        <v>5124.6699999999983</v>
      </c>
      <c r="I106" s="70">
        <f t="shared" si="5"/>
        <v>5562.5499999999847</v>
      </c>
    </row>
    <row r="107" spans="1:10" x14ac:dyDescent="0.25">
      <c r="A107" t="s">
        <v>1084</v>
      </c>
      <c r="B107" s="3">
        <v>34500</v>
      </c>
      <c r="C107" s="17" t="s">
        <v>1085</v>
      </c>
      <c r="D107" s="17">
        <v>43130</v>
      </c>
      <c r="E107" s="79" t="s">
        <v>1489</v>
      </c>
      <c r="F107" s="3">
        <v>29890.14</v>
      </c>
      <c r="G107" s="17">
        <v>43137</v>
      </c>
      <c r="H107" s="70">
        <f t="shared" si="4"/>
        <v>4609.8600000000006</v>
      </c>
      <c r="I107" s="70">
        <f t="shared" si="5"/>
        <v>10172.409999999985</v>
      </c>
    </row>
    <row r="108" spans="1:10" x14ac:dyDescent="0.25">
      <c r="A108" t="s">
        <v>1621</v>
      </c>
      <c r="B108" s="3"/>
      <c r="C108" s="17" t="s">
        <v>1085</v>
      </c>
      <c r="D108" s="75" t="s">
        <v>380</v>
      </c>
      <c r="G108" s="17"/>
      <c r="H108" s="70">
        <f t="shared" si="4"/>
        <v>0</v>
      </c>
      <c r="I108" s="70">
        <f t="shared" si="5"/>
        <v>10172.409999999985</v>
      </c>
      <c r="J108" s="75" t="s">
        <v>380</v>
      </c>
    </row>
    <row r="109" spans="1:10" x14ac:dyDescent="0.25">
      <c r="A109" t="s">
        <v>1622</v>
      </c>
      <c r="B109" s="3">
        <v>26000</v>
      </c>
      <c r="C109" s="17" t="s">
        <v>1085</v>
      </c>
      <c r="D109" s="17">
        <v>43151</v>
      </c>
      <c r="E109" s="79" t="s">
        <v>1752</v>
      </c>
      <c r="F109" s="3">
        <v>29474.66</v>
      </c>
      <c r="G109" s="17">
        <v>43157</v>
      </c>
      <c r="H109" s="70">
        <f t="shared" si="4"/>
        <v>-3474.66</v>
      </c>
      <c r="I109" s="70">
        <f t="shared" si="5"/>
        <v>6697.7499999999854</v>
      </c>
    </row>
    <row r="110" spans="1:10" x14ac:dyDescent="0.25">
      <c r="A110" t="s">
        <v>1704</v>
      </c>
      <c r="B110" s="3">
        <v>26000</v>
      </c>
      <c r="C110" s="17" t="s">
        <v>1085</v>
      </c>
      <c r="D110" s="17">
        <v>43158</v>
      </c>
      <c r="E110" s="79" t="s">
        <v>1876</v>
      </c>
      <c r="F110" s="3">
        <v>30172.84</v>
      </c>
      <c r="G110" s="17">
        <v>43164</v>
      </c>
      <c r="H110" s="70">
        <f t="shared" si="4"/>
        <v>-4172.84</v>
      </c>
      <c r="I110" s="70">
        <f t="shared" si="5"/>
        <v>2524.9099999999853</v>
      </c>
    </row>
    <row r="111" spans="1:10" x14ac:dyDescent="0.25">
      <c r="A111" t="s">
        <v>1705</v>
      </c>
      <c r="B111" s="3">
        <v>32000</v>
      </c>
      <c r="C111" s="17" t="s">
        <v>331</v>
      </c>
      <c r="D111" s="17">
        <v>43187</v>
      </c>
      <c r="E111" s="79" t="s">
        <v>1888</v>
      </c>
      <c r="F111" s="3">
        <v>30570.71</v>
      </c>
      <c r="G111" s="17">
        <v>43165</v>
      </c>
      <c r="H111" s="70">
        <f t="shared" si="4"/>
        <v>1429.2900000000009</v>
      </c>
      <c r="I111" s="70">
        <f t="shared" si="5"/>
        <v>3954.1999999999862</v>
      </c>
    </row>
    <row r="112" spans="1:10" x14ac:dyDescent="0.25">
      <c r="A112" t="s">
        <v>1706</v>
      </c>
      <c r="B112" s="3">
        <v>31000</v>
      </c>
      <c r="C112" s="17" t="s">
        <v>331</v>
      </c>
      <c r="D112" s="17">
        <v>43166</v>
      </c>
      <c r="E112" s="79" t="s">
        <v>1942</v>
      </c>
      <c r="F112" s="3">
        <v>28330.44</v>
      </c>
      <c r="G112" s="17">
        <v>43172</v>
      </c>
      <c r="H112" s="70">
        <f t="shared" ref="H112:H122" si="6">B112-F112</f>
        <v>2669.5600000000013</v>
      </c>
      <c r="I112" s="70">
        <f t="shared" ref="I112:I122" si="7">I111+H112</f>
        <v>6623.7599999999875</v>
      </c>
    </row>
    <row r="113" spans="1:9" x14ac:dyDescent="0.25">
      <c r="A113" t="s">
        <v>1707</v>
      </c>
      <c r="B113" s="3">
        <v>27500</v>
      </c>
      <c r="C113" s="17" t="s">
        <v>331</v>
      </c>
      <c r="D113" s="17">
        <v>43173</v>
      </c>
      <c r="E113" s="79" t="s">
        <v>1979</v>
      </c>
      <c r="F113" s="3">
        <v>26477.64</v>
      </c>
      <c r="G113" s="17">
        <v>43179</v>
      </c>
      <c r="H113" s="70">
        <f t="shared" si="6"/>
        <v>1022.3600000000006</v>
      </c>
      <c r="I113" s="70">
        <f t="shared" si="7"/>
        <v>7646.1199999999881</v>
      </c>
    </row>
    <row r="114" spans="1:9" x14ac:dyDescent="0.25">
      <c r="A114" t="s">
        <v>1708</v>
      </c>
      <c r="B114" s="3">
        <v>27500</v>
      </c>
      <c r="C114" s="17" t="s">
        <v>331</v>
      </c>
      <c r="D114" s="17">
        <v>43173</v>
      </c>
      <c r="E114" s="79" t="s">
        <v>1980</v>
      </c>
      <c r="F114" s="3">
        <v>26512.73</v>
      </c>
      <c r="G114" s="17">
        <v>43179</v>
      </c>
      <c r="H114" s="70">
        <f t="shared" si="6"/>
        <v>987.27000000000044</v>
      </c>
      <c r="I114" s="70">
        <f t="shared" si="7"/>
        <v>8633.3899999999885</v>
      </c>
    </row>
    <row r="115" spans="1:9" x14ac:dyDescent="0.25">
      <c r="A115" t="s">
        <v>1709</v>
      </c>
      <c r="B115" s="3">
        <v>20000</v>
      </c>
      <c r="C115" s="17" t="s">
        <v>331</v>
      </c>
      <c r="D115" s="17">
        <v>43152</v>
      </c>
      <c r="E115" s="79" t="s">
        <v>2060</v>
      </c>
      <c r="F115" s="3">
        <v>25489.81</v>
      </c>
      <c r="G115" s="17">
        <v>43186</v>
      </c>
      <c r="H115" s="70">
        <f t="shared" si="6"/>
        <v>-5489.8100000000013</v>
      </c>
      <c r="I115" s="70">
        <f t="shared" si="7"/>
        <v>3143.5799999999872</v>
      </c>
    </row>
    <row r="116" spans="1:9" x14ac:dyDescent="0.25">
      <c r="A116" t="s">
        <v>1710</v>
      </c>
      <c r="B116" s="3">
        <v>25000</v>
      </c>
      <c r="C116" s="17" t="s">
        <v>355</v>
      </c>
      <c r="D116" s="17">
        <v>43186</v>
      </c>
      <c r="E116" s="79" t="s">
        <v>2163</v>
      </c>
      <c r="F116" s="3">
        <v>25578.53</v>
      </c>
      <c r="G116" s="17">
        <v>43192</v>
      </c>
      <c r="H116" s="70">
        <f t="shared" si="6"/>
        <v>-578.52999999999884</v>
      </c>
      <c r="I116" s="70">
        <f t="shared" si="7"/>
        <v>2565.0499999999884</v>
      </c>
    </row>
    <row r="117" spans="1:9" x14ac:dyDescent="0.25">
      <c r="A117" t="s">
        <v>1711</v>
      </c>
      <c r="B117" s="3">
        <v>25000</v>
      </c>
      <c r="C117" s="17" t="s">
        <v>331</v>
      </c>
      <c r="D117" s="17">
        <v>43187</v>
      </c>
      <c r="E117" s="79" t="s">
        <v>2162</v>
      </c>
      <c r="F117" s="3">
        <v>25943.68</v>
      </c>
      <c r="G117" s="17">
        <v>43193</v>
      </c>
      <c r="H117" s="70">
        <f t="shared" si="6"/>
        <v>-943.68000000000029</v>
      </c>
      <c r="I117" s="70">
        <f t="shared" si="7"/>
        <v>1621.3699999999881</v>
      </c>
    </row>
    <row r="118" spans="1:9" x14ac:dyDescent="0.25">
      <c r="A118">
        <v>43772</v>
      </c>
      <c r="B118" s="3">
        <v>25000</v>
      </c>
      <c r="C118" s="17" t="s">
        <v>355</v>
      </c>
      <c r="D118" s="17">
        <v>43193</v>
      </c>
      <c r="E118" s="79" t="s">
        <v>2238</v>
      </c>
      <c r="F118" s="3">
        <v>26537.64</v>
      </c>
      <c r="G118" s="17">
        <v>43199</v>
      </c>
      <c r="H118" s="70">
        <f t="shared" si="6"/>
        <v>-1537.6399999999994</v>
      </c>
      <c r="I118" s="70">
        <f t="shared" si="7"/>
        <v>83.72999999998865</v>
      </c>
    </row>
    <row r="119" spans="1:9" x14ac:dyDescent="0.25">
      <c r="A119">
        <v>43791</v>
      </c>
      <c r="B119" s="3">
        <v>27000</v>
      </c>
      <c r="C119" s="17" t="s">
        <v>331</v>
      </c>
      <c r="D119" s="17">
        <v>43194</v>
      </c>
      <c r="E119" s="79" t="s">
        <v>2239</v>
      </c>
      <c r="F119" s="3">
        <v>26655.82</v>
      </c>
      <c r="G119" s="17">
        <v>43200</v>
      </c>
      <c r="H119" s="70">
        <f t="shared" si="6"/>
        <v>344.18000000000029</v>
      </c>
      <c r="I119" s="70">
        <f t="shared" si="7"/>
        <v>427.90999999998894</v>
      </c>
    </row>
    <row r="120" spans="1:9" x14ac:dyDescent="0.25">
      <c r="A120">
        <v>43792</v>
      </c>
      <c r="B120" s="3">
        <v>27000</v>
      </c>
      <c r="C120" s="17" t="s">
        <v>331</v>
      </c>
      <c r="D120" s="17">
        <v>43201</v>
      </c>
      <c r="E120" s="79" t="s">
        <v>595</v>
      </c>
      <c r="F120" s="3">
        <v>26541.21</v>
      </c>
      <c r="G120" s="17">
        <v>43207</v>
      </c>
      <c r="H120" s="70">
        <f t="shared" si="6"/>
        <v>458.79000000000087</v>
      </c>
      <c r="I120" s="70">
        <f t="shared" si="7"/>
        <v>886.69999999998981</v>
      </c>
    </row>
    <row r="121" spans="1:9" x14ac:dyDescent="0.25">
      <c r="A121">
        <v>43793</v>
      </c>
      <c r="B121" s="3">
        <v>27000</v>
      </c>
      <c r="C121" s="17" t="s">
        <v>331</v>
      </c>
      <c r="D121" s="17">
        <v>43201</v>
      </c>
      <c r="E121" s="79" t="s">
        <v>2308</v>
      </c>
      <c r="F121" s="3">
        <v>26499.43</v>
      </c>
      <c r="G121" s="17">
        <v>43207</v>
      </c>
      <c r="H121" s="70">
        <f t="shared" si="6"/>
        <v>500.56999999999971</v>
      </c>
      <c r="I121" s="70">
        <f t="shared" si="7"/>
        <v>1387.2699999999895</v>
      </c>
    </row>
    <row r="122" spans="1:9" x14ac:dyDescent="0.25">
      <c r="A122">
        <v>43794</v>
      </c>
      <c r="B122" s="3">
        <v>28000</v>
      </c>
      <c r="C122" s="17" t="s">
        <v>355</v>
      </c>
      <c r="D122" s="17">
        <v>43207</v>
      </c>
      <c r="E122" s="79" t="s">
        <v>2345</v>
      </c>
      <c r="F122" s="3">
        <v>27161.13</v>
      </c>
      <c r="G122" s="17">
        <v>43213</v>
      </c>
      <c r="H122" s="70">
        <f t="shared" si="6"/>
        <v>838.86999999999898</v>
      </c>
      <c r="I122" s="70">
        <f t="shared" si="7"/>
        <v>2226.1399999999885</v>
      </c>
    </row>
    <row r="123" spans="1:9" x14ac:dyDescent="0.25">
      <c r="A123">
        <v>43795</v>
      </c>
      <c r="B123" s="3">
        <v>28000</v>
      </c>
      <c r="C123" s="17" t="s">
        <v>331</v>
      </c>
      <c r="D123" s="17">
        <v>43208</v>
      </c>
      <c r="E123" s="79" t="s">
        <v>2367</v>
      </c>
      <c r="F123" s="3">
        <v>28267.65</v>
      </c>
      <c r="G123" s="17">
        <v>43214</v>
      </c>
      <c r="H123" s="70">
        <f t="shared" ref="H123:H127" si="8">B123-F123</f>
        <v>-267.65000000000146</v>
      </c>
      <c r="I123" s="70">
        <f t="shared" ref="I123:I127" si="9">I122+H123</f>
        <v>1958.489999999987</v>
      </c>
    </row>
    <row r="124" spans="1:9" x14ac:dyDescent="0.25">
      <c r="A124">
        <v>43796</v>
      </c>
      <c r="B124" s="3">
        <v>28000</v>
      </c>
      <c r="C124" s="17" t="s">
        <v>355</v>
      </c>
      <c r="D124" s="17">
        <v>43214</v>
      </c>
      <c r="E124" s="79" t="s">
        <v>2471</v>
      </c>
      <c r="F124" s="3">
        <v>26972.99</v>
      </c>
      <c r="G124" s="17">
        <v>43220</v>
      </c>
      <c r="H124" s="70">
        <f t="shared" si="8"/>
        <v>1027.0099999999984</v>
      </c>
      <c r="I124" s="70">
        <f t="shared" si="9"/>
        <v>2985.4999999999854</v>
      </c>
    </row>
    <row r="125" spans="1:9" x14ac:dyDescent="0.25">
      <c r="A125">
        <v>43797</v>
      </c>
      <c r="B125" s="3">
        <v>29000</v>
      </c>
      <c r="C125" s="17" t="s">
        <v>331</v>
      </c>
      <c r="D125" s="17">
        <v>43215</v>
      </c>
      <c r="E125" s="79" t="s">
        <v>2500</v>
      </c>
      <c r="F125" s="3">
        <v>25769.61</v>
      </c>
      <c r="G125" s="17">
        <v>43222</v>
      </c>
      <c r="H125" s="70">
        <f t="shared" si="8"/>
        <v>3230.3899999999994</v>
      </c>
      <c r="I125" s="70">
        <f t="shared" si="9"/>
        <v>6215.8899999999849</v>
      </c>
    </row>
    <row r="126" spans="1:9" x14ac:dyDescent="0.25">
      <c r="A126">
        <v>43798</v>
      </c>
      <c r="B126" s="3">
        <v>23000</v>
      </c>
      <c r="C126" s="17" t="s">
        <v>350</v>
      </c>
      <c r="D126" s="17">
        <v>43220</v>
      </c>
      <c r="E126" s="79" t="s">
        <v>2567</v>
      </c>
      <c r="F126" s="3">
        <v>24787.94</v>
      </c>
      <c r="G126" s="17">
        <v>43227</v>
      </c>
      <c r="H126" s="70">
        <f t="shared" si="8"/>
        <v>-1787.9399999999987</v>
      </c>
      <c r="I126" s="70">
        <f t="shared" si="9"/>
        <v>4427.9499999999862</v>
      </c>
    </row>
    <row r="127" spans="1:9" x14ac:dyDescent="0.25">
      <c r="A127">
        <v>43799</v>
      </c>
      <c r="B127" s="3">
        <v>23000</v>
      </c>
      <c r="C127" s="17" t="s">
        <v>331</v>
      </c>
      <c r="D127" s="17">
        <v>43222</v>
      </c>
      <c r="E127" s="79" t="s">
        <v>2595</v>
      </c>
      <c r="F127" s="3">
        <v>24772.720000000001</v>
      </c>
      <c r="G127" s="17">
        <v>43228</v>
      </c>
      <c r="H127" s="70">
        <f t="shared" si="8"/>
        <v>-1772.7200000000012</v>
      </c>
      <c r="I127" s="70">
        <f t="shared" si="9"/>
        <v>2655.229999999985</v>
      </c>
    </row>
    <row r="128" spans="1:9" x14ac:dyDescent="0.25">
      <c r="A128" t="s">
        <v>2502</v>
      </c>
      <c r="B128" s="3">
        <v>25000</v>
      </c>
      <c r="C128" s="17" t="s">
        <v>355</v>
      </c>
      <c r="D128" s="17">
        <v>43228</v>
      </c>
      <c r="E128" s="79" t="s">
        <v>2616</v>
      </c>
      <c r="F128" s="3">
        <v>25611.91</v>
      </c>
      <c r="G128" s="17">
        <v>43234</v>
      </c>
      <c r="H128" s="70">
        <f t="shared" ref="H128:H138" si="10">B128-F128</f>
        <v>-611.90999999999985</v>
      </c>
      <c r="I128" s="70">
        <f t="shared" ref="I128:I138" si="11">I127+H128</f>
        <v>2043.3199999999852</v>
      </c>
    </row>
    <row r="129" spans="1:10" x14ac:dyDescent="0.25">
      <c r="A129" t="s">
        <v>2503</v>
      </c>
      <c r="B129" s="3">
        <v>25000</v>
      </c>
      <c r="C129" s="17" t="s">
        <v>345</v>
      </c>
      <c r="D129" s="17">
        <v>43231</v>
      </c>
      <c r="E129" s="79" t="s">
        <v>2664</v>
      </c>
      <c r="F129" s="3">
        <v>24783.61</v>
      </c>
      <c r="G129" s="17">
        <v>43237</v>
      </c>
      <c r="H129" s="70">
        <f t="shared" si="10"/>
        <v>216.38999999999942</v>
      </c>
      <c r="I129" s="70">
        <f t="shared" si="11"/>
        <v>2259.7099999999846</v>
      </c>
    </row>
    <row r="130" spans="1:10" x14ac:dyDescent="0.25">
      <c r="A130" t="s">
        <v>2504</v>
      </c>
      <c r="B130" s="3">
        <v>25000</v>
      </c>
      <c r="C130" s="17" t="s">
        <v>331</v>
      </c>
      <c r="D130" s="17">
        <v>43236</v>
      </c>
      <c r="E130" s="79" t="s">
        <v>2722</v>
      </c>
      <c r="F130" s="3">
        <v>24932.03</v>
      </c>
      <c r="G130" s="17">
        <v>43242</v>
      </c>
      <c r="H130" s="70">
        <f t="shared" si="10"/>
        <v>67.970000000001164</v>
      </c>
      <c r="I130" s="70">
        <f t="shared" si="11"/>
        <v>2327.6799999999857</v>
      </c>
    </row>
    <row r="131" spans="1:10" x14ac:dyDescent="0.25">
      <c r="A131" t="s">
        <v>2505</v>
      </c>
      <c r="B131" s="3">
        <v>25500</v>
      </c>
      <c r="C131" s="17" t="s">
        <v>355</v>
      </c>
      <c r="D131" s="17">
        <v>43242</v>
      </c>
      <c r="E131" s="79" t="s">
        <v>2766</v>
      </c>
      <c r="F131" s="3">
        <v>26303.73</v>
      </c>
      <c r="G131" s="17">
        <v>43248</v>
      </c>
      <c r="H131" s="70">
        <f t="shared" si="10"/>
        <v>-803.72999999999956</v>
      </c>
      <c r="I131" s="70">
        <f t="shared" si="11"/>
        <v>1523.9499999999862</v>
      </c>
    </row>
    <row r="132" spans="1:10" x14ac:dyDescent="0.25">
      <c r="A132" t="s">
        <v>2506</v>
      </c>
      <c r="B132" s="73"/>
      <c r="C132" s="17" t="s">
        <v>331</v>
      </c>
      <c r="D132" s="17">
        <v>43243</v>
      </c>
      <c r="E132" s="75"/>
      <c r="F132" s="73">
        <v>0</v>
      </c>
      <c r="G132" s="17">
        <v>43249</v>
      </c>
      <c r="H132" s="70">
        <f t="shared" si="10"/>
        <v>0</v>
      </c>
      <c r="I132" s="70">
        <f t="shared" si="11"/>
        <v>1523.9499999999862</v>
      </c>
      <c r="J132" t="s">
        <v>2736</v>
      </c>
    </row>
    <row r="133" spans="1:10" x14ac:dyDescent="0.25">
      <c r="A133" t="s">
        <v>2507</v>
      </c>
      <c r="B133" s="3">
        <v>26000</v>
      </c>
      <c r="C133" s="17" t="s">
        <v>331</v>
      </c>
      <c r="D133" s="17">
        <v>43243</v>
      </c>
      <c r="E133" s="79" t="s">
        <v>2895</v>
      </c>
      <c r="F133" s="3">
        <v>30561.34</v>
      </c>
      <c r="G133" s="17">
        <v>43256</v>
      </c>
      <c r="H133" s="70">
        <f t="shared" si="10"/>
        <v>-4561.34</v>
      </c>
      <c r="I133" s="70">
        <f t="shared" si="11"/>
        <v>-3037.390000000014</v>
      </c>
    </row>
    <row r="134" spans="1:10" x14ac:dyDescent="0.25">
      <c r="A134" t="s">
        <v>2508</v>
      </c>
      <c r="B134" s="3">
        <v>29000</v>
      </c>
      <c r="C134" s="17" t="s">
        <v>331</v>
      </c>
      <c r="D134" s="17">
        <v>43250</v>
      </c>
      <c r="E134" s="79" t="s">
        <v>2896</v>
      </c>
      <c r="F134" s="3">
        <v>30668.13</v>
      </c>
      <c r="G134" s="17">
        <v>43256</v>
      </c>
      <c r="H134" s="70">
        <f t="shared" si="10"/>
        <v>-1668.130000000001</v>
      </c>
      <c r="I134" s="70">
        <f t="shared" si="11"/>
        <v>-4705.520000000015</v>
      </c>
    </row>
    <row r="135" spans="1:10" x14ac:dyDescent="0.25">
      <c r="A135" t="s">
        <v>2838</v>
      </c>
      <c r="B135" s="3">
        <v>34000</v>
      </c>
      <c r="C135" s="17" t="s">
        <v>350</v>
      </c>
      <c r="D135" s="17">
        <v>43255</v>
      </c>
      <c r="E135" s="79" t="s">
        <v>2924</v>
      </c>
      <c r="F135" s="3">
        <v>30343.11</v>
      </c>
      <c r="G135" s="17">
        <v>43259</v>
      </c>
      <c r="H135" s="70">
        <f t="shared" si="10"/>
        <v>3656.8899999999994</v>
      </c>
      <c r="I135" s="70">
        <f t="shared" si="11"/>
        <v>-1048.6300000000156</v>
      </c>
    </row>
    <row r="136" spans="1:10" x14ac:dyDescent="0.25">
      <c r="A136" t="s">
        <v>2839</v>
      </c>
      <c r="B136" s="73"/>
      <c r="C136" s="17" t="s">
        <v>350</v>
      </c>
      <c r="D136" s="17">
        <v>43255</v>
      </c>
      <c r="E136" s="75"/>
      <c r="F136" s="73">
        <v>0</v>
      </c>
      <c r="G136" s="17">
        <v>43259</v>
      </c>
      <c r="H136" s="70">
        <f t="shared" si="10"/>
        <v>0</v>
      </c>
      <c r="I136" s="70">
        <f t="shared" si="11"/>
        <v>-1048.6300000000156</v>
      </c>
      <c r="J136" t="s">
        <v>2736</v>
      </c>
    </row>
    <row r="137" spans="1:10" x14ac:dyDescent="0.25">
      <c r="A137" t="s">
        <v>2857</v>
      </c>
      <c r="B137" s="3">
        <v>34000</v>
      </c>
      <c r="C137" s="17" t="s">
        <v>350</v>
      </c>
      <c r="D137" s="17">
        <v>43255</v>
      </c>
      <c r="E137" s="79" t="s">
        <v>2996</v>
      </c>
      <c r="F137" s="3">
        <v>29726.9</v>
      </c>
      <c r="G137" s="17">
        <v>43266</v>
      </c>
      <c r="H137" s="70">
        <f t="shared" si="10"/>
        <v>4273.0999999999985</v>
      </c>
      <c r="I137" s="70">
        <f t="shared" si="11"/>
        <v>3224.469999999983</v>
      </c>
    </row>
    <row r="138" spans="1:10" x14ac:dyDescent="0.25">
      <c r="A138" t="s">
        <v>2858</v>
      </c>
      <c r="B138" s="73"/>
      <c r="C138" s="17" t="s">
        <v>350</v>
      </c>
      <c r="D138" s="17">
        <v>43255</v>
      </c>
      <c r="E138" s="75"/>
      <c r="F138" s="73"/>
      <c r="G138" s="17">
        <v>43266</v>
      </c>
      <c r="H138" s="70">
        <f t="shared" si="10"/>
        <v>0</v>
      </c>
      <c r="I138" s="70">
        <f t="shared" si="11"/>
        <v>3224.469999999983</v>
      </c>
      <c r="J138" t="s">
        <v>2736</v>
      </c>
    </row>
    <row r="139" spans="1:10" x14ac:dyDescent="0.25">
      <c r="A139" t="s">
        <v>2859</v>
      </c>
      <c r="B139" s="3">
        <v>30000</v>
      </c>
      <c r="C139" s="17" t="s">
        <v>350</v>
      </c>
      <c r="D139" s="17">
        <v>43262</v>
      </c>
      <c r="E139" s="79" t="s">
        <v>3107</v>
      </c>
      <c r="F139" s="3">
        <v>29678.43</v>
      </c>
      <c r="G139" s="17">
        <v>43272</v>
      </c>
      <c r="H139" s="70">
        <f t="shared" ref="H139:H145" si="12">B139-F139</f>
        <v>321.56999999999971</v>
      </c>
      <c r="I139" s="70">
        <f t="shared" ref="I139:I145" si="13">I138+H139</f>
        <v>3546.0399999999827</v>
      </c>
    </row>
    <row r="140" spans="1:10" x14ac:dyDescent="0.25">
      <c r="A140" t="s">
        <v>2860</v>
      </c>
      <c r="B140" s="3">
        <v>29000</v>
      </c>
      <c r="C140" s="17" t="s">
        <v>350</v>
      </c>
      <c r="D140" s="17">
        <v>43269</v>
      </c>
      <c r="E140" t="s">
        <v>3108</v>
      </c>
      <c r="F140" s="3">
        <v>29443.63</v>
      </c>
      <c r="G140" s="17">
        <v>43273</v>
      </c>
      <c r="H140" s="70">
        <f t="shared" si="12"/>
        <v>-443.63000000000102</v>
      </c>
      <c r="I140" s="70">
        <f t="shared" si="13"/>
        <v>3102.4099999999817</v>
      </c>
    </row>
    <row r="141" spans="1:10" x14ac:dyDescent="0.25">
      <c r="A141" t="s">
        <v>2861</v>
      </c>
      <c r="B141" s="3">
        <v>29000</v>
      </c>
      <c r="C141" s="17" t="s">
        <v>350</v>
      </c>
      <c r="D141" s="17">
        <v>43276</v>
      </c>
      <c r="E141" t="s">
        <v>3200</v>
      </c>
      <c r="F141" s="3">
        <v>33293.11</v>
      </c>
      <c r="G141" s="17">
        <v>43280</v>
      </c>
      <c r="H141" s="70">
        <f t="shared" si="12"/>
        <v>-4293.1100000000006</v>
      </c>
      <c r="I141" s="70">
        <f t="shared" si="13"/>
        <v>-1190.7000000000189</v>
      </c>
    </row>
    <row r="142" spans="1:10" x14ac:dyDescent="0.25">
      <c r="A142" t="s">
        <v>2862</v>
      </c>
      <c r="B142" s="73"/>
      <c r="C142" s="17" t="s">
        <v>350</v>
      </c>
      <c r="D142" s="17">
        <v>43276</v>
      </c>
      <c r="E142" s="75"/>
      <c r="F142" s="73"/>
      <c r="G142" s="17">
        <v>43280</v>
      </c>
      <c r="H142" s="70">
        <f t="shared" si="12"/>
        <v>0</v>
      </c>
      <c r="I142" s="70">
        <f t="shared" si="13"/>
        <v>-1190.7000000000189</v>
      </c>
      <c r="J142" t="s">
        <v>2736</v>
      </c>
    </row>
    <row r="143" spans="1:10" x14ac:dyDescent="0.25">
      <c r="A143" t="s">
        <v>3170</v>
      </c>
      <c r="B143" s="3">
        <v>29000</v>
      </c>
      <c r="C143" s="17" t="s">
        <v>350</v>
      </c>
      <c r="D143" s="17">
        <v>43276</v>
      </c>
      <c r="E143" t="s">
        <v>3224</v>
      </c>
      <c r="F143" s="3">
        <v>29877.9</v>
      </c>
      <c r="G143" s="17">
        <v>43283</v>
      </c>
      <c r="H143" s="70">
        <f t="shared" ref="H143:H144" si="14">B143-F143</f>
        <v>-877.90000000000146</v>
      </c>
      <c r="I143" s="70">
        <f t="shared" ref="I143:I144" si="15">I142+H143</f>
        <v>-2068.6000000000204</v>
      </c>
    </row>
    <row r="144" spans="1:10" x14ac:dyDescent="0.25">
      <c r="A144" t="s">
        <v>2863</v>
      </c>
      <c r="B144" s="3">
        <v>32000</v>
      </c>
      <c r="C144" s="17" t="s">
        <v>350</v>
      </c>
      <c r="D144" s="17">
        <v>43283</v>
      </c>
      <c r="E144" t="s">
        <v>3281</v>
      </c>
      <c r="F144" s="3">
        <v>26962.02</v>
      </c>
      <c r="G144" s="17">
        <v>43287</v>
      </c>
      <c r="H144" s="70">
        <f t="shared" si="14"/>
        <v>5037.9799999999996</v>
      </c>
      <c r="I144" s="70">
        <f t="shared" si="15"/>
        <v>2969.3799999999792</v>
      </c>
    </row>
    <row r="145" spans="1:9" x14ac:dyDescent="0.25">
      <c r="A145" t="s">
        <v>2864</v>
      </c>
      <c r="B145" s="3">
        <v>32000</v>
      </c>
      <c r="C145" s="17" t="s">
        <v>350</v>
      </c>
      <c r="D145" s="17">
        <v>43283</v>
      </c>
      <c r="E145" t="s">
        <v>3282</v>
      </c>
      <c r="F145" s="3">
        <v>26812.04</v>
      </c>
      <c r="G145" s="17">
        <v>43287</v>
      </c>
      <c r="H145" s="70">
        <f t="shared" si="12"/>
        <v>5187.9599999999991</v>
      </c>
      <c r="I145" s="70">
        <f t="shared" si="13"/>
        <v>8157.3399999999783</v>
      </c>
    </row>
    <row r="146" spans="1:9" x14ac:dyDescent="0.25">
      <c r="A146" t="s">
        <v>3225</v>
      </c>
      <c r="B146" s="3">
        <v>23000</v>
      </c>
      <c r="C146" s="17" t="s">
        <v>331</v>
      </c>
      <c r="D146" s="17">
        <v>43285</v>
      </c>
      <c r="E146" t="s">
        <v>3334</v>
      </c>
      <c r="F146" s="3">
        <v>25284.22</v>
      </c>
      <c r="G146" s="17">
        <v>43291</v>
      </c>
      <c r="H146" s="70">
        <f t="shared" ref="H146:H156" si="16">B146-F146</f>
        <v>-2284.2200000000012</v>
      </c>
      <c r="I146" s="70">
        <f t="shared" ref="I146:I156" si="17">I145+H146</f>
        <v>5873.1199999999772</v>
      </c>
    </row>
    <row r="147" spans="1:9" x14ac:dyDescent="0.25">
      <c r="A147" t="s">
        <v>3274</v>
      </c>
      <c r="B147" s="3">
        <v>24000</v>
      </c>
      <c r="C147" s="17" t="s">
        <v>331</v>
      </c>
      <c r="D147" s="17">
        <v>43292</v>
      </c>
      <c r="E147" t="s">
        <v>3418</v>
      </c>
      <c r="F147" s="3">
        <v>24951.86</v>
      </c>
      <c r="G147" s="17">
        <v>43298</v>
      </c>
      <c r="H147" s="70">
        <f t="shared" si="16"/>
        <v>-951.86000000000058</v>
      </c>
      <c r="I147" s="70">
        <f t="shared" si="17"/>
        <v>4921.2599999999766</v>
      </c>
    </row>
    <row r="148" spans="1:9" x14ac:dyDescent="0.25">
      <c r="A148" t="s">
        <v>3275</v>
      </c>
      <c r="B148" s="3">
        <v>24000</v>
      </c>
      <c r="C148" s="17" t="s">
        <v>331</v>
      </c>
      <c r="D148" s="17">
        <v>43292</v>
      </c>
      <c r="E148" t="s">
        <v>3419</v>
      </c>
      <c r="F148" s="3">
        <v>24930.77</v>
      </c>
      <c r="G148" s="17">
        <v>43298</v>
      </c>
      <c r="H148" s="70">
        <f t="shared" si="16"/>
        <v>-930.77000000000044</v>
      </c>
      <c r="I148" s="70">
        <f t="shared" si="17"/>
        <v>3990.4899999999761</v>
      </c>
    </row>
    <row r="149" spans="1:9" x14ac:dyDescent="0.25">
      <c r="A149" t="s">
        <v>3283</v>
      </c>
      <c r="B149" s="3">
        <v>24000</v>
      </c>
      <c r="C149" s="17" t="s">
        <v>331</v>
      </c>
      <c r="D149" s="17">
        <v>43299</v>
      </c>
      <c r="F149" s="20">
        <v>25500</v>
      </c>
      <c r="G149" s="17">
        <v>43305</v>
      </c>
      <c r="H149" s="70">
        <f t="shared" si="16"/>
        <v>-1500</v>
      </c>
      <c r="I149" s="70">
        <f t="shared" si="17"/>
        <v>2490.4899999999761</v>
      </c>
    </row>
    <row r="150" spans="1:9" x14ac:dyDescent="0.25">
      <c r="A150" t="s">
        <v>3284</v>
      </c>
      <c r="B150" s="3">
        <v>24000</v>
      </c>
      <c r="C150" s="17" t="s">
        <v>331</v>
      </c>
      <c r="D150" s="17">
        <v>43299</v>
      </c>
      <c r="F150" s="20">
        <v>25500</v>
      </c>
      <c r="G150" s="17">
        <v>43305</v>
      </c>
      <c r="H150" s="70">
        <f t="shared" si="16"/>
        <v>-1500</v>
      </c>
      <c r="I150" s="70">
        <f t="shared" si="17"/>
        <v>990.48999999997613</v>
      </c>
    </row>
    <row r="151" spans="1:9" x14ac:dyDescent="0.25">
      <c r="A151" t="s">
        <v>3285</v>
      </c>
      <c r="F151" s="20"/>
      <c r="H151" s="70">
        <f t="shared" si="16"/>
        <v>0</v>
      </c>
      <c r="I151" s="70">
        <f t="shared" si="17"/>
        <v>990.48999999997613</v>
      </c>
    </row>
    <row r="152" spans="1:9" x14ac:dyDescent="0.25">
      <c r="A152" t="s">
        <v>3286</v>
      </c>
      <c r="F152" s="20"/>
      <c r="H152" s="70">
        <f t="shared" si="16"/>
        <v>0</v>
      </c>
      <c r="I152" s="70">
        <f t="shared" si="17"/>
        <v>990.48999999997613</v>
      </c>
    </row>
    <row r="153" spans="1:9" x14ac:dyDescent="0.25">
      <c r="A153" t="s">
        <v>3287</v>
      </c>
      <c r="F153" s="20"/>
      <c r="H153" s="70">
        <f t="shared" si="16"/>
        <v>0</v>
      </c>
      <c r="I153" s="70">
        <f t="shared" si="17"/>
        <v>990.48999999997613</v>
      </c>
    </row>
    <row r="154" spans="1:9" x14ac:dyDescent="0.25">
      <c r="A154" t="s">
        <v>3288</v>
      </c>
      <c r="F154" s="20"/>
      <c r="H154" s="70">
        <f t="shared" si="16"/>
        <v>0</v>
      </c>
      <c r="I154" s="70">
        <f t="shared" si="17"/>
        <v>990.48999999997613</v>
      </c>
    </row>
    <row r="155" spans="1:9" x14ac:dyDescent="0.25">
      <c r="F155" s="20"/>
      <c r="H155" s="70">
        <f t="shared" si="16"/>
        <v>0</v>
      </c>
      <c r="I155" s="70">
        <f t="shared" si="17"/>
        <v>990.48999999997613</v>
      </c>
    </row>
    <row r="156" spans="1:9" x14ac:dyDescent="0.25">
      <c r="H156" s="70">
        <f t="shared" si="16"/>
        <v>0</v>
      </c>
      <c r="I156" s="70">
        <f t="shared" si="17"/>
        <v>990.48999999997613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T1101"/>
  <sheetViews>
    <sheetView topLeftCell="A1063" workbookViewId="0">
      <selection activeCell="J1094" sqref="J1094"/>
    </sheetView>
  </sheetViews>
  <sheetFormatPr baseColWidth="10" defaultRowHeight="15" x14ac:dyDescent="0.25"/>
  <cols>
    <col min="2" max="2" width="14.140625" style="3" customWidth="1"/>
    <col min="3" max="3" width="14.140625" style="3" bestFit="1" customWidth="1"/>
    <col min="4" max="4" width="12.5703125" bestFit="1" customWidth="1"/>
    <col min="5" max="5" width="13.140625" style="3" customWidth="1"/>
    <col min="6" max="6" width="12.28515625" customWidth="1"/>
    <col min="7" max="7" width="12.140625" customWidth="1"/>
    <col min="8" max="9" width="14.140625" bestFit="1" customWidth="1"/>
    <col min="11" max="11" width="12.28515625" customWidth="1"/>
    <col min="12" max="12" width="12.5703125" bestFit="1" customWidth="1"/>
  </cols>
  <sheetData>
    <row r="1" spans="1:7" x14ac:dyDescent="0.25">
      <c r="A1" t="s">
        <v>713</v>
      </c>
    </row>
    <row r="3" spans="1:7" ht="45" x14ac:dyDescent="0.25">
      <c r="A3" s="80" t="s">
        <v>714</v>
      </c>
      <c r="B3" s="81" t="s">
        <v>715</v>
      </c>
      <c r="C3" s="81" t="s">
        <v>716</v>
      </c>
      <c r="D3" s="82" t="s">
        <v>717</v>
      </c>
      <c r="E3" s="81" t="s">
        <v>718</v>
      </c>
      <c r="F3" s="82" t="s">
        <v>719</v>
      </c>
      <c r="G3" s="82" t="s">
        <v>720</v>
      </c>
    </row>
    <row r="5" spans="1:7" x14ac:dyDescent="0.25">
      <c r="A5" t="s">
        <v>729</v>
      </c>
      <c r="B5" s="3">
        <v>295938</v>
      </c>
      <c r="C5" s="3">
        <v>50000</v>
      </c>
      <c r="D5" s="17">
        <v>42931</v>
      </c>
      <c r="E5" s="3" t="s">
        <v>728</v>
      </c>
    </row>
    <row r="6" spans="1:7" x14ac:dyDescent="0.25">
      <c r="C6" s="3">
        <v>50000</v>
      </c>
      <c r="D6" s="17">
        <v>42931</v>
      </c>
      <c r="E6" s="3" t="s">
        <v>728</v>
      </c>
    </row>
    <row r="7" spans="1:7" x14ac:dyDescent="0.25">
      <c r="C7" s="3">
        <v>39695</v>
      </c>
      <c r="D7" s="17">
        <v>42931</v>
      </c>
      <c r="E7" s="3" t="s">
        <v>728</v>
      </c>
    </row>
    <row r="8" spans="1:7" x14ac:dyDescent="0.25">
      <c r="C8" s="20">
        <v>44575.7</v>
      </c>
      <c r="D8" s="17">
        <v>42931</v>
      </c>
      <c r="E8" s="3" t="s">
        <v>722</v>
      </c>
    </row>
    <row r="9" spans="1:7" x14ac:dyDescent="0.25">
      <c r="C9" s="84">
        <v>49912</v>
      </c>
      <c r="D9" s="17">
        <v>42928</v>
      </c>
      <c r="E9" s="3" t="s">
        <v>722</v>
      </c>
    </row>
    <row r="10" spans="1:7" x14ac:dyDescent="0.25">
      <c r="C10" s="73">
        <v>43453.4</v>
      </c>
      <c r="D10" s="17">
        <v>42927</v>
      </c>
      <c r="E10" s="3" t="s">
        <v>722</v>
      </c>
    </row>
    <row r="11" spans="1:7" x14ac:dyDescent="0.25">
      <c r="C11" s="3">
        <v>14296</v>
      </c>
      <c r="D11" s="17">
        <v>42929</v>
      </c>
      <c r="E11" s="3" t="s">
        <v>730</v>
      </c>
    </row>
    <row r="12" spans="1:7" x14ac:dyDescent="0.25">
      <c r="C12" s="3">
        <v>4006</v>
      </c>
      <c r="D12" s="17">
        <v>42929</v>
      </c>
      <c r="E12" s="3" t="s">
        <v>731</v>
      </c>
    </row>
    <row r="13" spans="1:7" x14ac:dyDescent="0.25">
      <c r="B13" s="3">
        <f>SUM(B5:B12)</f>
        <v>295938</v>
      </c>
      <c r="C13" s="3">
        <f>SUM(C5:C12)</f>
        <v>295938.10000000003</v>
      </c>
      <c r="E13" s="3">
        <f>C13-B13</f>
        <v>0.1000000000349246</v>
      </c>
      <c r="F13" s="17">
        <v>42931</v>
      </c>
      <c r="G13" s="17">
        <v>42935</v>
      </c>
    </row>
    <row r="15" spans="1:7" x14ac:dyDescent="0.25">
      <c r="A15" t="s">
        <v>732</v>
      </c>
      <c r="B15" s="3">
        <v>470960</v>
      </c>
      <c r="C15" s="3">
        <v>745000</v>
      </c>
      <c r="D15" s="17">
        <v>42934</v>
      </c>
      <c r="E15" s="3" t="s">
        <v>727</v>
      </c>
    </row>
    <row r="16" spans="1:7" x14ac:dyDescent="0.25">
      <c r="A16" t="s">
        <v>733</v>
      </c>
      <c r="B16" s="3">
        <v>21279.200000000001</v>
      </c>
      <c r="C16" s="3">
        <v>190000</v>
      </c>
      <c r="D16" s="17">
        <v>42935</v>
      </c>
      <c r="E16" s="3" t="s">
        <v>727</v>
      </c>
    </row>
    <row r="17" spans="1:7" x14ac:dyDescent="0.25">
      <c r="A17" t="s">
        <v>734</v>
      </c>
      <c r="B17" s="3">
        <v>25322</v>
      </c>
      <c r="C17" s="3">
        <v>28611</v>
      </c>
      <c r="D17" s="17">
        <v>42935</v>
      </c>
      <c r="E17" s="3" t="s">
        <v>721</v>
      </c>
    </row>
    <row r="18" spans="1:7" x14ac:dyDescent="0.25">
      <c r="A18" t="s">
        <v>735</v>
      </c>
      <c r="B18" s="3">
        <v>446050</v>
      </c>
    </row>
    <row r="19" spans="1:7" x14ac:dyDescent="0.25">
      <c r="B19" s="3">
        <f>SUM(B15:B18)</f>
        <v>963611.2</v>
      </c>
      <c r="C19" s="3">
        <f>SUM(C15:C18)</f>
        <v>963611</v>
      </c>
      <c r="E19" s="3">
        <f>C19-B19</f>
        <v>-0.19999999995343387</v>
      </c>
      <c r="F19" s="17">
        <v>42935</v>
      </c>
      <c r="G19" s="17">
        <v>42935</v>
      </c>
    </row>
    <row r="23" spans="1:7" x14ac:dyDescent="0.25">
      <c r="A23" t="s">
        <v>736</v>
      </c>
      <c r="B23" s="3">
        <v>241800</v>
      </c>
      <c r="C23" s="3">
        <v>275000</v>
      </c>
      <c r="D23" s="17">
        <v>42954</v>
      </c>
      <c r="E23" s="3" t="s">
        <v>727</v>
      </c>
    </row>
    <row r="24" spans="1:7" x14ac:dyDescent="0.25">
      <c r="B24" s="3">
        <f>SUM(B23)</f>
        <v>241800</v>
      </c>
      <c r="C24" s="3">
        <f>SUM(C23)</f>
        <v>275000</v>
      </c>
      <c r="E24" s="73">
        <f>C24-B24</f>
        <v>33200</v>
      </c>
      <c r="F24" s="17">
        <v>42954</v>
      </c>
      <c r="G24" s="17">
        <v>42957</v>
      </c>
    </row>
    <row r="26" spans="1:7" x14ac:dyDescent="0.25">
      <c r="A26" t="s">
        <v>737</v>
      </c>
      <c r="B26" s="3">
        <v>130248</v>
      </c>
      <c r="C26" s="3">
        <v>344000</v>
      </c>
      <c r="D26" s="17">
        <v>42955</v>
      </c>
      <c r="E26" s="3" t="s">
        <v>727</v>
      </c>
    </row>
    <row r="27" spans="1:7" x14ac:dyDescent="0.25">
      <c r="A27" t="s">
        <v>738</v>
      </c>
      <c r="B27" s="3">
        <v>34340.400000000001</v>
      </c>
    </row>
    <row r="28" spans="1:7" x14ac:dyDescent="0.25">
      <c r="B28" s="3">
        <f>SUM(B26:B27)</f>
        <v>164588.4</v>
      </c>
      <c r="C28" s="3">
        <f>SUM(C26:C27)</f>
        <v>344000</v>
      </c>
      <c r="E28" s="84">
        <f>C28-B28</f>
        <v>179411.6</v>
      </c>
      <c r="F28" s="17">
        <v>42955</v>
      </c>
      <c r="G28" s="17">
        <v>42957</v>
      </c>
    </row>
    <row r="30" spans="1:7" x14ac:dyDescent="0.25">
      <c r="A30" t="s">
        <v>739</v>
      </c>
      <c r="B30" s="3">
        <v>484704</v>
      </c>
      <c r="C30" s="3">
        <v>491000</v>
      </c>
      <c r="D30" s="17">
        <v>42957</v>
      </c>
      <c r="E30" s="3" t="s">
        <v>727</v>
      </c>
    </row>
    <row r="31" spans="1:7" x14ac:dyDescent="0.25">
      <c r="B31" s="3">
        <f>SUM(B30)</f>
        <v>484704</v>
      </c>
      <c r="C31" s="3">
        <f>SUM(C30)</f>
        <v>491000</v>
      </c>
      <c r="E31" s="18">
        <f>C31-B31</f>
        <v>6296</v>
      </c>
      <c r="F31" s="17">
        <v>42957</v>
      </c>
      <c r="G31" s="17">
        <v>42957</v>
      </c>
    </row>
    <row r="33" spans="1:7" x14ac:dyDescent="0.25">
      <c r="A33" t="s">
        <v>740</v>
      </c>
      <c r="B33" s="3">
        <v>14567.1</v>
      </c>
      <c r="C33" s="3">
        <v>318000</v>
      </c>
      <c r="D33" s="17">
        <v>42958</v>
      </c>
      <c r="E33" s="3" t="s">
        <v>727</v>
      </c>
    </row>
    <row r="34" spans="1:7" x14ac:dyDescent="0.25">
      <c r="A34" t="s">
        <v>741</v>
      </c>
      <c r="B34" s="3">
        <v>271151</v>
      </c>
    </row>
    <row r="35" spans="1:7" x14ac:dyDescent="0.25">
      <c r="B35" s="3">
        <f>SUM(B33:B34)</f>
        <v>285718.09999999998</v>
      </c>
      <c r="C35" s="3">
        <f>SUM(C33:C34)</f>
        <v>318000</v>
      </c>
      <c r="E35" s="85">
        <f>C35-B35</f>
        <v>32281.900000000023</v>
      </c>
      <c r="F35" s="17">
        <v>42958</v>
      </c>
      <c r="G35" s="17">
        <v>42959</v>
      </c>
    </row>
    <row r="37" spans="1:7" x14ac:dyDescent="0.25">
      <c r="A37" t="s">
        <v>742</v>
      </c>
      <c r="B37" s="3">
        <v>422584</v>
      </c>
      <c r="C37" s="3">
        <v>223000</v>
      </c>
      <c r="D37" s="17">
        <v>42959</v>
      </c>
      <c r="E37" s="3" t="s">
        <v>727</v>
      </c>
    </row>
    <row r="38" spans="1:7" x14ac:dyDescent="0.25">
      <c r="C38" s="84">
        <v>179411.6</v>
      </c>
      <c r="D38" s="17">
        <v>42955</v>
      </c>
      <c r="E38" s="3" t="s">
        <v>722</v>
      </c>
    </row>
    <row r="39" spans="1:7" x14ac:dyDescent="0.25">
      <c r="C39" s="3">
        <v>1774</v>
      </c>
      <c r="D39" s="90">
        <v>42948</v>
      </c>
      <c r="E39" s="3" t="s">
        <v>743</v>
      </c>
    </row>
    <row r="40" spans="1:7" x14ac:dyDescent="0.25">
      <c r="C40" s="3">
        <v>15000</v>
      </c>
      <c r="D40" s="90">
        <v>42948</v>
      </c>
      <c r="E40" s="3" t="s">
        <v>723</v>
      </c>
    </row>
    <row r="41" spans="1:7" x14ac:dyDescent="0.25">
      <c r="C41" s="3">
        <v>720</v>
      </c>
      <c r="D41" s="90">
        <v>42948</v>
      </c>
      <c r="E41" s="3" t="s">
        <v>744</v>
      </c>
    </row>
    <row r="42" spans="1:7" x14ac:dyDescent="0.25">
      <c r="C42" s="3">
        <v>720</v>
      </c>
      <c r="D42" s="17">
        <v>42957</v>
      </c>
      <c r="E42" s="3" t="s">
        <v>745</v>
      </c>
    </row>
    <row r="43" spans="1:7" x14ac:dyDescent="0.25">
      <c r="C43" s="3">
        <v>1958</v>
      </c>
      <c r="D43" s="17">
        <v>42959</v>
      </c>
      <c r="E43" s="3" t="s">
        <v>721</v>
      </c>
    </row>
    <row r="44" spans="1:7" x14ac:dyDescent="0.25">
      <c r="B44" s="3">
        <f>SUM(B37:B42)</f>
        <v>422584</v>
      </c>
      <c r="C44" s="3">
        <f>SUM(C37:C43)</f>
        <v>422583.6</v>
      </c>
      <c r="E44" s="3">
        <f>C44-B44</f>
        <v>-0.40000000002328306</v>
      </c>
      <c r="F44" s="17">
        <v>42959</v>
      </c>
      <c r="G44" s="17">
        <v>42959</v>
      </c>
    </row>
    <row r="46" spans="1:7" x14ac:dyDescent="0.25">
      <c r="A46" t="s">
        <v>746</v>
      </c>
      <c r="B46" s="3">
        <v>236376</v>
      </c>
      <c r="C46" s="3">
        <v>338000</v>
      </c>
      <c r="D46" s="17">
        <v>42962</v>
      </c>
      <c r="E46" s="3" t="s">
        <v>727</v>
      </c>
    </row>
    <row r="47" spans="1:7" x14ac:dyDescent="0.25">
      <c r="B47" s="3">
        <f>SUM(B46)</f>
        <v>236376</v>
      </c>
      <c r="C47" s="3">
        <f>SUM(C46)</f>
        <v>338000</v>
      </c>
      <c r="E47" s="4">
        <f>C47-B47</f>
        <v>101624</v>
      </c>
      <c r="F47" s="17">
        <v>42962</v>
      </c>
      <c r="G47" s="17">
        <v>42965</v>
      </c>
    </row>
    <row r="49" spans="1:7" x14ac:dyDescent="0.25">
      <c r="A49" t="s">
        <v>747</v>
      </c>
      <c r="B49" s="3">
        <v>488744</v>
      </c>
      <c r="C49" s="3">
        <v>494030.88</v>
      </c>
      <c r="D49" s="17">
        <v>42961</v>
      </c>
      <c r="E49" s="3" t="s">
        <v>727</v>
      </c>
    </row>
    <row r="50" spans="1:7" x14ac:dyDescent="0.25">
      <c r="B50" s="3">
        <f>SUM(B49)</f>
        <v>488744</v>
      </c>
      <c r="C50" s="3">
        <f>SUM(C49)</f>
        <v>494030.88</v>
      </c>
      <c r="E50" s="88">
        <f>C50-B50</f>
        <v>5286.8800000000047</v>
      </c>
      <c r="F50" s="17">
        <v>42962</v>
      </c>
      <c r="G50" s="17">
        <v>42965</v>
      </c>
    </row>
    <row r="52" spans="1:7" x14ac:dyDescent="0.25">
      <c r="A52" t="s">
        <v>748</v>
      </c>
      <c r="B52" s="3">
        <v>442733.5</v>
      </c>
      <c r="C52" s="3">
        <v>233000</v>
      </c>
      <c r="D52" s="17">
        <v>42963</v>
      </c>
      <c r="E52" s="3" t="s">
        <v>727</v>
      </c>
    </row>
    <row r="53" spans="1:7" x14ac:dyDescent="0.25">
      <c r="C53" s="4">
        <v>101624</v>
      </c>
      <c r="D53" s="17">
        <v>42962</v>
      </c>
      <c r="E53" s="3" t="s">
        <v>722</v>
      </c>
    </row>
    <row r="54" spans="1:7" x14ac:dyDescent="0.25">
      <c r="C54" s="73">
        <v>33200</v>
      </c>
      <c r="D54" s="17">
        <v>42954</v>
      </c>
      <c r="E54" s="3" t="s">
        <v>722</v>
      </c>
    </row>
    <row r="55" spans="1:7" x14ac:dyDescent="0.25">
      <c r="C55" s="85">
        <v>32191.9</v>
      </c>
      <c r="D55" s="17">
        <v>42958</v>
      </c>
      <c r="E55" s="3" t="s">
        <v>722</v>
      </c>
    </row>
    <row r="56" spans="1:7" x14ac:dyDescent="0.25">
      <c r="C56" s="18">
        <v>6296</v>
      </c>
      <c r="D56" s="17">
        <v>42957</v>
      </c>
      <c r="E56" s="3" t="s">
        <v>722</v>
      </c>
    </row>
    <row r="57" spans="1:7" x14ac:dyDescent="0.25">
      <c r="C57" s="88">
        <v>5286.88</v>
      </c>
      <c r="D57" s="17">
        <v>42962</v>
      </c>
      <c r="E57" s="3" t="s">
        <v>722</v>
      </c>
    </row>
    <row r="58" spans="1:7" x14ac:dyDescent="0.25">
      <c r="C58" s="3">
        <v>1440</v>
      </c>
      <c r="D58" s="17">
        <v>42962</v>
      </c>
      <c r="E58" s="3" t="s">
        <v>749</v>
      </c>
    </row>
    <row r="59" spans="1:7" x14ac:dyDescent="0.25">
      <c r="C59" s="3">
        <v>10478</v>
      </c>
      <c r="D59" s="17">
        <v>42956</v>
      </c>
      <c r="E59" s="3" t="s">
        <v>750</v>
      </c>
    </row>
    <row r="60" spans="1:7" x14ac:dyDescent="0.25">
      <c r="C60" s="3">
        <v>19217</v>
      </c>
      <c r="D60" s="17">
        <v>42963</v>
      </c>
      <c r="E60" s="3" t="s">
        <v>721</v>
      </c>
    </row>
    <row r="61" spans="1:7" x14ac:dyDescent="0.25">
      <c r="B61" s="3">
        <f>SUM(B52:B60)</f>
        <v>442733.5</v>
      </c>
      <c r="C61" s="3">
        <f>SUM(C52:C60)</f>
        <v>442733.78</v>
      </c>
      <c r="E61" s="3">
        <f>C61-B61</f>
        <v>0.28000000002793968</v>
      </c>
      <c r="F61" s="17">
        <v>42963</v>
      </c>
      <c r="G61" s="17">
        <v>42965</v>
      </c>
    </row>
    <row r="63" spans="1:7" x14ac:dyDescent="0.25">
      <c r="A63" t="s">
        <v>751</v>
      </c>
      <c r="B63" s="3">
        <v>283024</v>
      </c>
      <c r="C63" s="3">
        <v>273000</v>
      </c>
      <c r="D63" s="17">
        <v>42964</v>
      </c>
      <c r="E63" s="3" t="s">
        <v>727</v>
      </c>
    </row>
    <row r="64" spans="1:7" x14ac:dyDescent="0.25">
      <c r="C64" s="3">
        <v>10024</v>
      </c>
      <c r="D64" s="17">
        <v>42965</v>
      </c>
      <c r="E64" s="3" t="s">
        <v>721</v>
      </c>
    </row>
    <row r="65" spans="1:7" x14ac:dyDescent="0.25">
      <c r="B65" s="3">
        <f>SUM(B63)</f>
        <v>283024</v>
      </c>
      <c r="C65" s="3">
        <f>SUM(C63:C64)</f>
        <v>283024</v>
      </c>
      <c r="E65" s="3">
        <f>C65-B65</f>
        <v>0</v>
      </c>
      <c r="F65" s="17">
        <v>42965</v>
      </c>
      <c r="G65" s="17">
        <v>42965</v>
      </c>
    </row>
    <row r="67" spans="1:7" x14ac:dyDescent="0.25">
      <c r="A67" t="s">
        <v>752</v>
      </c>
      <c r="B67" s="3">
        <v>242029</v>
      </c>
      <c r="C67" s="3">
        <v>400000</v>
      </c>
      <c r="D67" s="17">
        <v>42968</v>
      </c>
      <c r="E67" s="3" t="s">
        <v>753</v>
      </c>
    </row>
    <row r="68" spans="1:7" x14ac:dyDescent="0.25">
      <c r="A68" t="s">
        <v>754</v>
      </c>
      <c r="B68" s="3">
        <v>5413.6</v>
      </c>
      <c r="C68" s="3">
        <v>410000</v>
      </c>
      <c r="D68" s="17">
        <v>42968</v>
      </c>
      <c r="E68" s="3" t="s">
        <v>753</v>
      </c>
    </row>
    <row r="69" spans="1:7" x14ac:dyDescent="0.25">
      <c r="A69" t="s">
        <v>755</v>
      </c>
      <c r="B69" s="3">
        <v>34735.26</v>
      </c>
      <c r="C69" s="3">
        <v>380000</v>
      </c>
      <c r="D69" s="17">
        <v>42968</v>
      </c>
      <c r="E69" s="3" t="s">
        <v>753</v>
      </c>
    </row>
    <row r="70" spans="1:7" x14ac:dyDescent="0.25">
      <c r="A70" t="s">
        <v>756</v>
      </c>
      <c r="B70" s="3">
        <v>441392</v>
      </c>
    </row>
    <row r="71" spans="1:7" x14ac:dyDescent="0.25">
      <c r="A71" t="s">
        <v>757</v>
      </c>
      <c r="B71" s="3">
        <v>462952</v>
      </c>
    </row>
    <row r="72" spans="1:7" x14ac:dyDescent="0.25">
      <c r="B72" s="3">
        <f>SUM(B67:B71)</f>
        <v>1186521.8599999999</v>
      </c>
      <c r="C72" s="3">
        <f>SUM(C67:C70)</f>
        <v>1190000</v>
      </c>
      <c r="E72" s="4">
        <f>C72-B72</f>
        <v>3478.1400000001304</v>
      </c>
      <c r="F72" s="17">
        <v>42968</v>
      </c>
      <c r="G72" s="17">
        <v>42969</v>
      </c>
    </row>
    <row r="74" spans="1:7" x14ac:dyDescent="0.25">
      <c r="A74" t="s">
        <v>758</v>
      </c>
      <c r="B74" s="3">
        <v>255976</v>
      </c>
      <c r="C74" s="3">
        <v>452000</v>
      </c>
      <c r="D74" s="17">
        <v>42970</v>
      </c>
      <c r="E74" s="3" t="s">
        <v>727</v>
      </c>
    </row>
    <row r="75" spans="1:7" x14ac:dyDescent="0.25">
      <c r="A75" t="s">
        <v>759</v>
      </c>
      <c r="B75" s="3">
        <v>23170.400000000001</v>
      </c>
    </row>
    <row r="76" spans="1:7" x14ac:dyDescent="0.25">
      <c r="A76" t="s">
        <v>760</v>
      </c>
      <c r="B76" s="3">
        <v>270015</v>
      </c>
      <c r="C76" s="3">
        <v>89000</v>
      </c>
      <c r="D76" s="17">
        <v>42971</v>
      </c>
      <c r="E76" s="3" t="s">
        <v>727</v>
      </c>
    </row>
    <row r="77" spans="1:7" x14ac:dyDescent="0.25">
      <c r="C77" s="3">
        <v>8161</v>
      </c>
      <c r="D77" s="17">
        <v>42971</v>
      </c>
      <c r="E77" s="3" t="s">
        <v>721</v>
      </c>
    </row>
    <row r="78" spans="1:7" x14ac:dyDescent="0.25">
      <c r="B78" s="3">
        <f>SUM(B74:B77)</f>
        <v>549161.4</v>
      </c>
      <c r="C78" s="3">
        <f>SUM(C74:C77)</f>
        <v>549161</v>
      </c>
      <c r="E78" s="3">
        <f>C78-B78</f>
        <v>-0.40000000002328306</v>
      </c>
      <c r="F78" s="17">
        <v>42971</v>
      </c>
      <c r="G78" s="17">
        <v>42972</v>
      </c>
    </row>
    <row r="80" spans="1:7" x14ac:dyDescent="0.25">
      <c r="A80" t="s">
        <v>761</v>
      </c>
      <c r="B80" s="3">
        <v>253330</v>
      </c>
      <c r="C80" s="3">
        <v>400000</v>
      </c>
      <c r="D80" s="17">
        <v>42975</v>
      </c>
      <c r="E80" s="3" t="s">
        <v>727</v>
      </c>
    </row>
    <row r="81" spans="1:7" x14ac:dyDescent="0.25">
      <c r="A81" t="s">
        <v>762</v>
      </c>
      <c r="B81" s="3">
        <v>235378.5</v>
      </c>
      <c r="C81" s="3">
        <v>400000</v>
      </c>
      <c r="D81" s="17">
        <v>42975</v>
      </c>
      <c r="E81" s="3" t="s">
        <v>727</v>
      </c>
    </row>
    <row r="82" spans="1:7" x14ac:dyDescent="0.25">
      <c r="A82" t="s">
        <v>763</v>
      </c>
      <c r="B82" s="3">
        <v>458535</v>
      </c>
      <c r="C82" s="3">
        <v>493000</v>
      </c>
      <c r="D82" s="17">
        <v>42975</v>
      </c>
      <c r="E82" s="3" t="s">
        <v>727</v>
      </c>
    </row>
    <row r="83" spans="1:7" x14ac:dyDescent="0.25">
      <c r="A83" t="s">
        <v>764</v>
      </c>
      <c r="B83" s="3">
        <v>452790</v>
      </c>
      <c r="C83" s="3">
        <v>594000</v>
      </c>
      <c r="D83" s="17">
        <v>42978</v>
      </c>
      <c r="E83" s="3" t="s">
        <v>727</v>
      </c>
    </row>
    <row r="84" spans="1:7" x14ac:dyDescent="0.25">
      <c r="A84" t="s">
        <v>765</v>
      </c>
      <c r="B84" s="3">
        <v>235683</v>
      </c>
      <c r="C84" s="3">
        <v>94800</v>
      </c>
      <c r="D84" s="17">
        <v>42978</v>
      </c>
      <c r="E84" s="3" t="s">
        <v>727</v>
      </c>
    </row>
    <row r="85" spans="1:7" x14ac:dyDescent="0.25">
      <c r="A85" t="s">
        <v>766</v>
      </c>
      <c r="B85" s="3">
        <v>1867.6</v>
      </c>
      <c r="C85" s="3">
        <v>26300</v>
      </c>
      <c r="D85" s="17">
        <v>42976</v>
      </c>
    </row>
    <row r="86" spans="1:7" x14ac:dyDescent="0.25">
      <c r="A86" t="s">
        <v>767</v>
      </c>
      <c r="B86" s="3">
        <v>23805</v>
      </c>
      <c r="C86" s="4">
        <v>3478.14</v>
      </c>
      <c r="D86" s="17">
        <v>42968</v>
      </c>
      <c r="E86" s="3" t="s">
        <v>722</v>
      </c>
    </row>
    <row r="87" spans="1:7" x14ac:dyDescent="0.25">
      <c r="A87" t="s">
        <v>768</v>
      </c>
      <c r="B87" s="3">
        <v>11157.3</v>
      </c>
      <c r="C87" s="3">
        <v>6102</v>
      </c>
      <c r="D87" s="17">
        <v>42970</v>
      </c>
      <c r="E87" s="3" t="s">
        <v>769</v>
      </c>
    </row>
    <row r="88" spans="1:7" x14ac:dyDescent="0.25">
      <c r="A88" t="s">
        <v>770</v>
      </c>
      <c r="B88" s="3">
        <v>49016.1</v>
      </c>
      <c r="C88" s="3">
        <v>31186</v>
      </c>
      <c r="D88" s="17">
        <v>42971</v>
      </c>
      <c r="E88" s="3" t="s">
        <v>771</v>
      </c>
    </row>
    <row r="89" spans="1:7" x14ac:dyDescent="0.25">
      <c r="A89" t="s">
        <v>772</v>
      </c>
      <c r="B89" s="3">
        <v>283464</v>
      </c>
      <c r="C89" s="3">
        <v>6787</v>
      </c>
      <c r="D89" s="17">
        <v>42973</v>
      </c>
      <c r="E89" s="3" t="s">
        <v>773</v>
      </c>
    </row>
    <row r="90" spans="1:7" x14ac:dyDescent="0.25">
      <c r="B90" s="3">
        <f>SUM(B80:B89)</f>
        <v>2005026.5000000002</v>
      </c>
      <c r="C90" s="3">
        <f>SUM(C80:C89)</f>
        <v>2055653.14</v>
      </c>
      <c r="E90" s="20">
        <f>C90-B90</f>
        <v>50626.639999999665</v>
      </c>
      <c r="F90" t="s">
        <v>774</v>
      </c>
      <c r="G90" s="17">
        <v>42979</v>
      </c>
    </row>
    <row r="91" spans="1:7" x14ac:dyDescent="0.25">
      <c r="C91" s="3" t="s">
        <v>775</v>
      </c>
    </row>
    <row r="92" spans="1:7" x14ac:dyDescent="0.25">
      <c r="A92" t="s">
        <v>776</v>
      </c>
      <c r="B92" s="3">
        <v>235694</v>
      </c>
      <c r="C92" s="3">
        <v>707000</v>
      </c>
      <c r="D92" s="17">
        <v>42980</v>
      </c>
      <c r="E92" s="3" t="s">
        <v>727</v>
      </c>
    </row>
    <row r="93" spans="1:7" x14ac:dyDescent="0.25">
      <c r="A93" t="s">
        <v>777</v>
      </c>
      <c r="B93" s="3">
        <v>464439</v>
      </c>
      <c r="C93" s="3">
        <v>11993</v>
      </c>
      <c r="D93" s="17">
        <v>42980</v>
      </c>
      <c r="E93" s="3" t="s">
        <v>721</v>
      </c>
    </row>
    <row r="94" spans="1:7" x14ac:dyDescent="0.25">
      <c r="A94" t="s">
        <v>778</v>
      </c>
      <c r="B94" s="3">
        <v>18860</v>
      </c>
    </row>
    <row r="95" spans="1:7" x14ac:dyDescent="0.25">
      <c r="B95" s="3">
        <f>SUM(B92:B94)</f>
        <v>718993</v>
      </c>
      <c r="C95" s="3">
        <f>SUM(C92:C94)</f>
        <v>718993</v>
      </c>
      <c r="E95" s="3">
        <f>C95-B95</f>
        <v>0</v>
      </c>
      <c r="F95" s="17">
        <v>42980</v>
      </c>
      <c r="G95" s="17">
        <v>42980</v>
      </c>
    </row>
    <row r="97" spans="1:7" x14ac:dyDescent="0.25">
      <c r="A97" t="s">
        <v>779</v>
      </c>
      <c r="B97" s="3">
        <v>445627</v>
      </c>
      <c r="C97" s="3">
        <v>866000</v>
      </c>
      <c r="D97" s="17">
        <v>42983</v>
      </c>
      <c r="E97" s="3" t="s">
        <v>727</v>
      </c>
    </row>
    <row r="98" spans="1:7" x14ac:dyDescent="0.25">
      <c r="A98" t="s">
        <v>780</v>
      </c>
      <c r="B98" s="3">
        <v>454238</v>
      </c>
      <c r="C98" s="3">
        <v>10505</v>
      </c>
      <c r="D98" s="17">
        <v>42977</v>
      </c>
      <c r="E98" s="3" t="s">
        <v>724</v>
      </c>
    </row>
    <row r="99" spans="1:7" x14ac:dyDescent="0.25">
      <c r="C99" s="3">
        <v>5625</v>
      </c>
      <c r="D99" s="17">
        <v>42979</v>
      </c>
      <c r="E99" s="3" t="s">
        <v>781</v>
      </c>
    </row>
    <row r="100" spans="1:7" x14ac:dyDescent="0.25">
      <c r="C100" s="3">
        <v>17735</v>
      </c>
      <c r="D100" s="17">
        <v>42984</v>
      </c>
      <c r="E100" s="3" t="s">
        <v>721</v>
      </c>
    </row>
    <row r="101" spans="1:7" x14ac:dyDescent="0.25">
      <c r="B101" s="3">
        <f>SUM(B97:B100)</f>
        <v>899865</v>
      </c>
      <c r="C101" s="3">
        <f>SUM(C97:C100)</f>
        <v>899865</v>
      </c>
      <c r="E101" s="3">
        <f>C101-B101</f>
        <v>0</v>
      </c>
      <c r="F101" s="17">
        <v>42953</v>
      </c>
      <c r="G101" s="17">
        <v>42953</v>
      </c>
    </row>
    <row r="103" spans="1:7" x14ac:dyDescent="0.25">
      <c r="A103" t="s">
        <v>782</v>
      </c>
      <c r="B103" s="3">
        <v>261366</v>
      </c>
      <c r="C103" s="3">
        <v>250000</v>
      </c>
      <c r="D103" s="17">
        <v>42984</v>
      </c>
      <c r="E103" s="3" t="s">
        <v>727</v>
      </c>
    </row>
    <row r="104" spans="1:7" x14ac:dyDescent="0.25">
      <c r="C104" s="3">
        <v>11366</v>
      </c>
      <c r="D104" s="17">
        <v>42984</v>
      </c>
      <c r="E104" s="3" t="s">
        <v>721</v>
      </c>
    </row>
    <row r="105" spans="1:7" x14ac:dyDescent="0.25">
      <c r="B105" s="3">
        <f>SUM(B103:B104)</f>
        <v>261366</v>
      </c>
      <c r="C105" s="3">
        <f>SUM(C103:C104)</f>
        <v>261366</v>
      </c>
      <c r="E105" s="3">
        <f>C105-B105</f>
        <v>0</v>
      </c>
      <c r="F105" s="17">
        <v>42953</v>
      </c>
      <c r="G105" s="17">
        <v>42953</v>
      </c>
    </row>
    <row r="108" spans="1:7" x14ac:dyDescent="0.25">
      <c r="A108" t="s">
        <v>783</v>
      </c>
      <c r="B108" s="3">
        <v>206460</v>
      </c>
      <c r="C108" s="3">
        <v>519000</v>
      </c>
      <c r="D108" s="17">
        <v>42986</v>
      </c>
      <c r="E108" s="3" t="s">
        <v>727</v>
      </c>
    </row>
    <row r="109" spans="1:7" x14ac:dyDescent="0.25">
      <c r="A109" t="s">
        <v>784</v>
      </c>
      <c r="B109" s="3">
        <v>281622</v>
      </c>
      <c r="C109" s="3">
        <v>729000</v>
      </c>
      <c r="D109" s="17">
        <v>42989</v>
      </c>
      <c r="E109" s="3" t="s">
        <v>727</v>
      </c>
    </row>
    <row r="110" spans="1:7" x14ac:dyDescent="0.25">
      <c r="A110" t="s">
        <v>785</v>
      </c>
      <c r="B110" s="3">
        <v>28020.9</v>
      </c>
      <c r="C110" s="3">
        <v>42000</v>
      </c>
      <c r="D110" s="17">
        <v>42989</v>
      </c>
      <c r="E110" s="3" t="s">
        <v>727</v>
      </c>
    </row>
    <row r="111" spans="1:7" x14ac:dyDescent="0.25">
      <c r="A111" t="s">
        <v>786</v>
      </c>
      <c r="B111" s="3">
        <v>434250</v>
      </c>
      <c r="C111" s="3">
        <v>5872</v>
      </c>
      <c r="D111" s="17">
        <v>42986</v>
      </c>
      <c r="E111" s="3" t="s">
        <v>787</v>
      </c>
    </row>
    <row r="112" spans="1:7" x14ac:dyDescent="0.25">
      <c r="A112" t="s">
        <v>788</v>
      </c>
      <c r="B112" s="3">
        <v>431665</v>
      </c>
      <c r="C112" s="3">
        <v>38500</v>
      </c>
      <c r="D112" s="17">
        <v>42979</v>
      </c>
      <c r="E112" s="3" t="s">
        <v>789</v>
      </c>
    </row>
    <row r="113" spans="1:8" x14ac:dyDescent="0.25">
      <c r="C113" s="20">
        <v>50626.7</v>
      </c>
      <c r="D113" s="17">
        <v>42978</v>
      </c>
      <c r="E113" s="72" t="s">
        <v>722</v>
      </c>
    </row>
    <row r="114" spans="1:8" x14ac:dyDescent="0.25">
      <c r="B114" s="3">
        <f>SUM(B108:B113)</f>
        <v>1382017.9</v>
      </c>
      <c r="C114" s="3">
        <f>SUM(C108:C113)</f>
        <v>1384998.7</v>
      </c>
      <c r="E114" s="9">
        <f>C114-B114</f>
        <v>2980.8000000000466</v>
      </c>
      <c r="F114" t="s">
        <v>790</v>
      </c>
      <c r="G114" s="17">
        <v>42992</v>
      </c>
    </row>
    <row r="115" spans="1:8" x14ac:dyDescent="0.25">
      <c r="G115" t="s">
        <v>791</v>
      </c>
    </row>
    <row r="116" spans="1:8" x14ac:dyDescent="0.25">
      <c r="A116" t="s">
        <v>792</v>
      </c>
      <c r="B116" s="3">
        <v>419601</v>
      </c>
      <c r="C116" s="3">
        <v>669000</v>
      </c>
      <c r="D116" s="17">
        <v>42991</v>
      </c>
      <c r="E116" s="3" t="s">
        <v>727</v>
      </c>
    </row>
    <row r="117" spans="1:8" x14ac:dyDescent="0.25">
      <c r="A117" t="s">
        <v>793</v>
      </c>
      <c r="B117" s="3">
        <v>254930</v>
      </c>
      <c r="C117" s="3">
        <v>6286</v>
      </c>
      <c r="D117" s="17">
        <v>42987</v>
      </c>
      <c r="E117" s="3" t="s">
        <v>794</v>
      </c>
    </row>
    <row r="118" spans="1:8" x14ac:dyDescent="0.25">
      <c r="C118" s="9">
        <v>2980.7</v>
      </c>
      <c r="D118" s="17">
        <v>42989</v>
      </c>
      <c r="E118" s="3" t="s">
        <v>722</v>
      </c>
    </row>
    <row r="119" spans="1:8" x14ac:dyDescent="0.25">
      <c r="B119" s="3">
        <f>SUM(B116:B118)</f>
        <v>674531</v>
      </c>
      <c r="C119" s="3">
        <f>SUM(C116:C118)</f>
        <v>678266.7</v>
      </c>
      <c r="E119" s="18">
        <f>C119-B119</f>
        <v>3735.6999999999534</v>
      </c>
      <c r="F119" s="17">
        <v>42992</v>
      </c>
      <c r="G119" s="91" t="s">
        <v>795</v>
      </c>
      <c r="H119" s="17">
        <v>42996</v>
      </c>
    </row>
    <row r="120" spans="1:8" x14ac:dyDescent="0.25">
      <c r="E120" s="92">
        <v>9267</v>
      </c>
      <c r="F120" s="8"/>
    </row>
    <row r="121" spans="1:8" x14ac:dyDescent="0.25">
      <c r="A121" t="s">
        <v>796</v>
      </c>
      <c r="B121" s="3">
        <v>5306.4</v>
      </c>
      <c r="C121" s="3">
        <v>530000</v>
      </c>
      <c r="D121" s="17">
        <v>42992</v>
      </c>
      <c r="E121" s="3" t="s">
        <v>727</v>
      </c>
    </row>
    <row r="122" spans="1:8" x14ac:dyDescent="0.25">
      <c r="A122" t="s">
        <v>797</v>
      </c>
      <c r="B122" s="3">
        <v>428640</v>
      </c>
    </row>
    <row r="123" spans="1:8" x14ac:dyDescent="0.25">
      <c r="B123" s="3">
        <f>SUM(B121:B122)</f>
        <v>433946.4</v>
      </c>
      <c r="C123" s="3">
        <f>SUM(C121:C122)</f>
        <v>530000</v>
      </c>
      <c r="E123" s="84">
        <f>C123-B123</f>
        <v>96053.599999999977</v>
      </c>
      <c r="F123" s="17">
        <v>42992</v>
      </c>
      <c r="G123" s="17">
        <v>42993</v>
      </c>
    </row>
    <row r="125" spans="1:8" x14ac:dyDescent="0.25">
      <c r="A125" t="s">
        <v>798</v>
      </c>
      <c r="B125" s="3">
        <v>229400</v>
      </c>
      <c r="C125" s="3">
        <v>549000</v>
      </c>
      <c r="D125" s="17">
        <v>42993</v>
      </c>
      <c r="E125" s="3" t="s">
        <v>727</v>
      </c>
    </row>
    <row r="126" spans="1:8" x14ac:dyDescent="0.25">
      <c r="A126" t="s">
        <v>799</v>
      </c>
      <c r="B126" s="3">
        <v>461250</v>
      </c>
      <c r="C126" s="3">
        <v>852</v>
      </c>
      <c r="D126" s="17">
        <v>42990</v>
      </c>
      <c r="E126" s="3" t="s">
        <v>800</v>
      </c>
    </row>
    <row r="127" spans="1:8" x14ac:dyDescent="0.25">
      <c r="C127" s="3">
        <v>35645</v>
      </c>
      <c r="D127" s="17">
        <v>42992</v>
      </c>
      <c r="E127" s="3" t="s">
        <v>801</v>
      </c>
    </row>
    <row r="128" spans="1:8" x14ac:dyDescent="0.25">
      <c r="C128" s="3">
        <v>7125</v>
      </c>
      <c r="D128" s="17">
        <v>42993</v>
      </c>
      <c r="E128" s="3" t="s">
        <v>725</v>
      </c>
    </row>
    <row r="129" spans="1:8" x14ac:dyDescent="0.25">
      <c r="C129" s="84">
        <v>96054</v>
      </c>
      <c r="D129" s="17">
        <v>42992</v>
      </c>
      <c r="E129" s="3" t="s">
        <v>722</v>
      </c>
    </row>
    <row r="130" spans="1:8" x14ac:dyDescent="0.25">
      <c r="C130" s="3">
        <v>1974</v>
      </c>
      <c r="D130" s="17">
        <v>42993</v>
      </c>
      <c r="E130" s="3" t="s">
        <v>721</v>
      </c>
    </row>
    <row r="131" spans="1:8" x14ac:dyDescent="0.25">
      <c r="B131" s="3">
        <f>SUM(B125:B129)</f>
        <v>690650</v>
      </c>
      <c r="C131" s="3">
        <f>SUM(C125:C130)</f>
        <v>690650</v>
      </c>
      <c r="E131" s="3">
        <f>C131-B131</f>
        <v>0</v>
      </c>
      <c r="F131" s="17">
        <v>42993</v>
      </c>
      <c r="G131" s="17">
        <v>42994</v>
      </c>
      <c r="H131" s="17"/>
    </row>
    <row r="133" spans="1:8" x14ac:dyDescent="0.25">
      <c r="A133" t="s">
        <v>802</v>
      </c>
      <c r="B133" s="3">
        <v>12502.08</v>
      </c>
      <c r="C133" s="3">
        <v>400000</v>
      </c>
      <c r="D133" s="17">
        <v>42998</v>
      </c>
      <c r="E133" s="3" t="s">
        <v>727</v>
      </c>
    </row>
    <row r="134" spans="1:8" x14ac:dyDescent="0.25">
      <c r="A134" t="s">
        <v>803</v>
      </c>
      <c r="B134" s="3">
        <v>38070.6</v>
      </c>
      <c r="C134" s="3">
        <v>300000</v>
      </c>
      <c r="D134" s="17">
        <v>42998</v>
      </c>
      <c r="E134" s="3" t="s">
        <v>727</v>
      </c>
    </row>
    <row r="135" spans="1:8" x14ac:dyDescent="0.25">
      <c r="A135" t="s">
        <v>804</v>
      </c>
      <c r="B135" s="3">
        <v>393260</v>
      </c>
      <c r="C135" s="3">
        <v>380000</v>
      </c>
      <c r="D135" s="17">
        <v>42998</v>
      </c>
      <c r="E135" s="3" t="s">
        <v>727</v>
      </c>
    </row>
    <row r="136" spans="1:8" x14ac:dyDescent="0.25">
      <c r="A136" t="s">
        <v>805</v>
      </c>
      <c r="B136" s="3">
        <v>416465</v>
      </c>
    </row>
    <row r="137" spans="1:8" x14ac:dyDescent="0.25">
      <c r="B137" s="3">
        <f>SUM(B133:B136)</f>
        <v>860297.67999999993</v>
      </c>
      <c r="C137" s="3">
        <f>SUM(C133:C136)</f>
        <v>1080000</v>
      </c>
      <c r="E137" s="76">
        <f>C137-B137</f>
        <v>219702.32000000007</v>
      </c>
      <c r="F137" s="17">
        <v>42998</v>
      </c>
      <c r="G137" s="17">
        <v>42998</v>
      </c>
    </row>
    <row r="139" spans="1:8" x14ac:dyDescent="0.25">
      <c r="A139" t="s">
        <v>806</v>
      </c>
      <c r="B139" s="3">
        <v>235508</v>
      </c>
      <c r="C139" s="3">
        <v>531000</v>
      </c>
      <c r="D139" s="17">
        <v>43000</v>
      </c>
      <c r="E139" s="3" t="s">
        <v>727</v>
      </c>
    </row>
    <row r="140" spans="1:8" x14ac:dyDescent="0.25">
      <c r="A140" t="s">
        <v>807</v>
      </c>
      <c r="B140" s="3">
        <v>234285.5</v>
      </c>
    </row>
    <row r="141" spans="1:8" x14ac:dyDescent="0.25">
      <c r="B141" s="3">
        <f>SUM(B139:B140)</f>
        <v>469793.5</v>
      </c>
      <c r="C141" s="3">
        <f>SUM(C139:C140)</f>
        <v>531000</v>
      </c>
      <c r="E141" s="73">
        <f>C141-B141</f>
        <v>61206.5</v>
      </c>
      <c r="F141" s="17">
        <v>43000</v>
      </c>
      <c r="G141" s="17">
        <v>43001</v>
      </c>
    </row>
    <row r="143" spans="1:8" x14ac:dyDescent="0.25">
      <c r="A143" t="s">
        <v>808</v>
      </c>
      <c r="B143" s="3">
        <v>460280</v>
      </c>
      <c r="C143" s="18">
        <v>3735.7</v>
      </c>
      <c r="D143" s="17">
        <v>42992</v>
      </c>
      <c r="E143" s="3" t="s">
        <v>722</v>
      </c>
    </row>
    <row r="144" spans="1:8" x14ac:dyDescent="0.25">
      <c r="A144" t="s">
        <v>809</v>
      </c>
      <c r="B144" s="3">
        <v>411918.5</v>
      </c>
      <c r="C144" s="93">
        <v>61206.5</v>
      </c>
      <c r="D144" s="17">
        <v>43000</v>
      </c>
      <c r="E144" s="3" t="s">
        <v>722</v>
      </c>
    </row>
    <row r="145" spans="1:7" x14ac:dyDescent="0.25">
      <c r="C145" s="76">
        <v>219702.32</v>
      </c>
      <c r="D145" s="17">
        <v>42998</v>
      </c>
      <c r="E145" s="3" t="s">
        <v>722</v>
      </c>
    </row>
    <row r="146" spans="1:7" x14ac:dyDescent="0.25">
      <c r="C146" s="3">
        <v>280</v>
      </c>
      <c r="D146" s="17">
        <v>43000</v>
      </c>
      <c r="E146" s="3" t="s">
        <v>810</v>
      </c>
    </row>
    <row r="147" spans="1:7" x14ac:dyDescent="0.25">
      <c r="C147" s="3">
        <v>3162</v>
      </c>
      <c r="D147" s="17">
        <v>42992</v>
      </c>
      <c r="E147" s="3" t="s">
        <v>811</v>
      </c>
    </row>
    <row r="148" spans="1:7" x14ac:dyDescent="0.25">
      <c r="C148" s="3">
        <v>24083</v>
      </c>
      <c r="D148" s="17">
        <v>42991</v>
      </c>
      <c r="E148" s="3" t="s">
        <v>812</v>
      </c>
    </row>
    <row r="149" spans="1:7" x14ac:dyDescent="0.25">
      <c r="C149" s="3">
        <v>4930</v>
      </c>
      <c r="D149" s="17">
        <v>42990</v>
      </c>
      <c r="E149" s="3" t="s">
        <v>813</v>
      </c>
    </row>
    <row r="150" spans="1:7" x14ac:dyDescent="0.25">
      <c r="C150" s="3">
        <v>6242</v>
      </c>
      <c r="D150" s="17">
        <v>42990</v>
      </c>
      <c r="E150" s="3" t="s">
        <v>814</v>
      </c>
    </row>
    <row r="151" spans="1:7" x14ac:dyDescent="0.25">
      <c r="C151" s="3">
        <v>11432</v>
      </c>
      <c r="D151" s="17">
        <v>42997</v>
      </c>
      <c r="E151" s="3" t="s">
        <v>815</v>
      </c>
    </row>
    <row r="152" spans="1:7" x14ac:dyDescent="0.25">
      <c r="C152" s="3">
        <v>51450</v>
      </c>
      <c r="D152" s="17">
        <v>42994</v>
      </c>
      <c r="E152" s="3" t="s">
        <v>816</v>
      </c>
    </row>
    <row r="153" spans="1:7" x14ac:dyDescent="0.25">
      <c r="C153" s="3">
        <v>455000</v>
      </c>
      <c r="D153" s="17">
        <v>43001</v>
      </c>
      <c r="E153" s="3" t="s">
        <v>817</v>
      </c>
    </row>
    <row r="154" spans="1:7" x14ac:dyDescent="0.25">
      <c r="C154" s="3">
        <v>30975</v>
      </c>
      <c r="D154" s="17">
        <v>43001</v>
      </c>
      <c r="E154" s="3" t="s">
        <v>721</v>
      </c>
    </row>
    <row r="155" spans="1:7" x14ac:dyDescent="0.25">
      <c r="B155" s="3">
        <f>SUM(B143:B154)</f>
        <v>872198.5</v>
      </c>
      <c r="C155" s="3">
        <f>SUM(C143:C154)</f>
        <v>872198.52</v>
      </c>
      <c r="E155" s="3">
        <f>C155-B155</f>
        <v>2.0000000018626451E-2</v>
      </c>
      <c r="F155" s="17">
        <v>43001</v>
      </c>
      <c r="G155" s="17">
        <v>43001</v>
      </c>
    </row>
    <row r="157" spans="1:7" x14ac:dyDescent="0.25">
      <c r="A157" t="s">
        <v>818</v>
      </c>
      <c r="B157" s="3">
        <v>9355.5</v>
      </c>
      <c r="C157" s="3">
        <v>48000</v>
      </c>
      <c r="D157" s="17">
        <v>43003</v>
      </c>
      <c r="E157" s="3" t="s">
        <v>727</v>
      </c>
    </row>
    <row r="158" spans="1:7" x14ac:dyDescent="0.25">
      <c r="A158" t="s">
        <v>819</v>
      </c>
      <c r="B158" s="3">
        <v>30110.400000000001</v>
      </c>
      <c r="C158" s="3">
        <v>530000</v>
      </c>
      <c r="D158" s="17">
        <v>43003</v>
      </c>
      <c r="E158" s="3" t="s">
        <v>727</v>
      </c>
    </row>
    <row r="159" spans="1:7" x14ac:dyDescent="0.25">
      <c r="A159" t="s">
        <v>820</v>
      </c>
      <c r="B159" s="3">
        <v>433985</v>
      </c>
    </row>
    <row r="160" spans="1:7" x14ac:dyDescent="0.25">
      <c r="B160" s="3">
        <f>SUM(B157:B159)</f>
        <v>473450.9</v>
      </c>
      <c r="C160" s="3">
        <f>SUM(C157:C159)</f>
        <v>578000</v>
      </c>
      <c r="E160" s="84">
        <f>C160-B160</f>
        <v>104549.09999999998</v>
      </c>
      <c r="F160" s="17">
        <v>43003</v>
      </c>
      <c r="G160" s="17">
        <v>43005</v>
      </c>
    </row>
    <row r="162" spans="1:7" x14ac:dyDescent="0.25">
      <c r="A162" t="s">
        <v>821</v>
      </c>
      <c r="B162" s="3">
        <v>422902</v>
      </c>
      <c r="C162" s="3">
        <v>453000</v>
      </c>
      <c r="D162" s="17">
        <v>43004</v>
      </c>
    </row>
    <row r="163" spans="1:7" x14ac:dyDescent="0.25">
      <c r="B163" s="3">
        <f>SUM(B162)</f>
        <v>422902</v>
      </c>
      <c r="C163" s="3">
        <f>SUM(C162)</f>
        <v>453000</v>
      </c>
      <c r="E163" s="9">
        <f>C163-B163</f>
        <v>30098</v>
      </c>
      <c r="F163" s="17">
        <v>43004</v>
      </c>
      <c r="G163" s="17">
        <v>43005</v>
      </c>
    </row>
    <row r="165" spans="1:7" x14ac:dyDescent="0.25">
      <c r="A165" t="s">
        <v>822</v>
      </c>
      <c r="B165" s="3">
        <v>240240</v>
      </c>
      <c r="C165" s="3">
        <v>271000</v>
      </c>
      <c r="D165" s="17">
        <v>43005</v>
      </c>
      <c r="E165" s="3" t="s">
        <v>823</v>
      </c>
    </row>
    <row r="166" spans="1:7" x14ac:dyDescent="0.25">
      <c r="B166" s="3">
        <f>SUM(B165)</f>
        <v>240240</v>
      </c>
      <c r="C166" s="3">
        <f>SUM(C165)</f>
        <v>271000</v>
      </c>
      <c r="E166" s="76">
        <f>C166-B166</f>
        <v>30760</v>
      </c>
      <c r="F166" s="17">
        <v>43005</v>
      </c>
      <c r="G166" s="17">
        <v>43005</v>
      </c>
    </row>
    <row r="168" spans="1:7" x14ac:dyDescent="0.25">
      <c r="A168" t="s">
        <v>824</v>
      </c>
      <c r="B168" s="3">
        <v>436320</v>
      </c>
      <c r="C168" s="3">
        <v>437000</v>
      </c>
      <c r="D168" s="17">
        <v>43006</v>
      </c>
      <c r="E168" s="3" t="s">
        <v>727</v>
      </c>
    </row>
    <row r="169" spans="1:7" x14ac:dyDescent="0.25">
      <c r="A169" t="s">
        <v>825</v>
      </c>
      <c r="B169" s="3">
        <v>236880</v>
      </c>
      <c r="C169" s="3">
        <v>14895</v>
      </c>
      <c r="D169" s="17">
        <v>43007</v>
      </c>
    </row>
    <row r="170" spans="1:7" x14ac:dyDescent="0.25">
      <c r="C170" s="3">
        <v>2766</v>
      </c>
      <c r="D170" s="17">
        <v>43004</v>
      </c>
      <c r="E170" s="3" t="s">
        <v>826</v>
      </c>
    </row>
    <row r="171" spans="1:7" x14ac:dyDescent="0.25">
      <c r="C171" s="3">
        <v>9220</v>
      </c>
      <c r="D171" s="17">
        <v>43003</v>
      </c>
      <c r="E171" s="3" t="s">
        <v>827</v>
      </c>
    </row>
    <row r="172" spans="1:7" x14ac:dyDescent="0.25">
      <c r="C172" s="3">
        <v>2565</v>
      </c>
      <c r="D172" s="17">
        <v>43005</v>
      </c>
      <c r="E172" s="3" t="s">
        <v>828</v>
      </c>
    </row>
    <row r="173" spans="1:7" x14ac:dyDescent="0.25">
      <c r="C173" s="3">
        <v>21411</v>
      </c>
      <c r="D173" s="17">
        <v>43004</v>
      </c>
      <c r="E173" s="3" t="s">
        <v>829</v>
      </c>
    </row>
    <row r="174" spans="1:7" x14ac:dyDescent="0.25">
      <c r="C174" s="3">
        <v>11464</v>
      </c>
      <c r="D174" s="17">
        <v>43005</v>
      </c>
      <c r="E174" s="3" t="s">
        <v>830</v>
      </c>
    </row>
    <row r="175" spans="1:7" x14ac:dyDescent="0.25">
      <c r="C175" s="3">
        <v>8472</v>
      </c>
      <c r="D175" s="17">
        <v>43006</v>
      </c>
      <c r="E175" s="3" t="s">
        <v>831</v>
      </c>
    </row>
    <row r="176" spans="1:7" x14ac:dyDescent="0.25">
      <c r="C176" s="84">
        <v>104549.1</v>
      </c>
      <c r="D176" s="17">
        <v>43003</v>
      </c>
      <c r="E176" s="3" t="s">
        <v>722</v>
      </c>
    </row>
    <row r="177" spans="1:7" x14ac:dyDescent="0.25">
      <c r="C177" s="9">
        <v>30098</v>
      </c>
      <c r="D177" s="17">
        <v>43004</v>
      </c>
      <c r="E177" s="3" t="s">
        <v>722</v>
      </c>
    </row>
    <row r="178" spans="1:7" x14ac:dyDescent="0.25">
      <c r="C178" s="76">
        <v>30760</v>
      </c>
      <c r="D178" s="17">
        <v>43005</v>
      </c>
      <c r="E178" s="3" t="s">
        <v>722</v>
      </c>
    </row>
    <row r="179" spans="1:7" x14ac:dyDescent="0.25">
      <c r="B179" s="3">
        <f>SUM(B168:B178)</f>
        <v>673200</v>
      </c>
      <c r="C179" s="3">
        <f>SUM(C168:C178)</f>
        <v>673200.1</v>
      </c>
      <c r="E179" s="3">
        <f>C179-B179</f>
        <v>9.9999999976716936E-2</v>
      </c>
      <c r="F179" s="17">
        <v>43006</v>
      </c>
      <c r="G179" s="17">
        <v>43007</v>
      </c>
    </row>
    <row r="181" spans="1:7" x14ac:dyDescent="0.25">
      <c r="A181" t="s">
        <v>832</v>
      </c>
      <c r="B181" s="3">
        <v>409670</v>
      </c>
      <c r="C181" s="3">
        <v>413000</v>
      </c>
      <c r="D181" s="17">
        <v>43008</v>
      </c>
      <c r="E181" s="3" t="s">
        <v>727</v>
      </c>
    </row>
    <row r="182" spans="1:7" x14ac:dyDescent="0.25">
      <c r="A182" t="s">
        <v>833</v>
      </c>
      <c r="B182" s="3">
        <v>15127.5</v>
      </c>
      <c r="C182" s="3">
        <v>250000</v>
      </c>
      <c r="D182" s="17">
        <v>43007</v>
      </c>
      <c r="E182" s="3" t="s">
        <v>727</v>
      </c>
    </row>
    <row r="183" spans="1:7" x14ac:dyDescent="0.25">
      <c r="A183" t="s">
        <v>834</v>
      </c>
      <c r="B183" s="3">
        <v>439200</v>
      </c>
      <c r="C183" s="3">
        <v>386000</v>
      </c>
      <c r="D183" s="17">
        <v>43010</v>
      </c>
      <c r="E183" s="3" t="s">
        <v>727</v>
      </c>
    </row>
    <row r="184" spans="1:7" x14ac:dyDescent="0.25">
      <c r="A184" t="s">
        <v>835</v>
      </c>
      <c r="B184" s="3">
        <v>444174</v>
      </c>
      <c r="C184" s="3">
        <v>270000</v>
      </c>
      <c r="D184" s="17">
        <v>43011</v>
      </c>
      <c r="E184" s="3" t="s">
        <v>727</v>
      </c>
    </row>
    <row r="185" spans="1:7" x14ac:dyDescent="0.25">
      <c r="B185" s="3">
        <f>SUM(B181:B184)</f>
        <v>1308171.5</v>
      </c>
      <c r="C185" s="3">
        <f>SUM(C181:C184)</f>
        <v>1319000</v>
      </c>
      <c r="E185" s="4">
        <f>C185-B185</f>
        <v>10828.5</v>
      </c>
      <c r="F185" s="17">
        <v>43011</v>
      </c>
      <c r="G185" s="17">
        <v>43012</v>
      </c>
    </row>
    <row r="187" spans="1:7" x14ac:dyDescent="0.25">
      <c r="A187" t="s">
        <v>836</v>
      </c>
      <c r="B187" s="3">
        <v>244614</v>
      </c>
      <c r="C187" s="3">
        <v>283000</v>
      </c>
      <c r="D187" s="17">
        <v>43012</v>
      </c>
      <c r="E187" s="3" t="s">
        <v>727</v>
      </c>
    </row>
    <row r="188" spans="1:7" x14ac:dyDescent="0.25">
      <c r="B188" s="3">
        <f>SUM(B187)</f>
        <v>244614</v>
      </c>
      <c r="C188" s="3">
        <f>SUM(C187)</f>
        <v>283000</v>
      </c>
      <c r="E188" s="73">
        <f>C188-B188</f>
        <v>38386</v>
      </c>
      <c r="F188" s="17">
        <v>43012</v>
      </c>
      <c r="G188" s="17">
        <v>43012</v>
      </c>
    </row>
    <row r="190" spans="1:7" x14ac:dyDescent="0.25">
      <c r="A190" t="s">
        <v>837</v>
      </c>
      <c r="B190" s="3">
        <v>35708.6</v>
      </c>
      <c r="C190" s="3">
        <v>1624</v>
      </c>
      <c r="D190" s="17">
        <v>43017</v>
      </c>
      <c r="E190" s="3" t="s">
        <v>726</v>
      </c>
    </row>
    <row r="191" spans="1:7" x14ac:dyDescent="0.25">
      <c r="A191" t="s">
        <v>838</v>
      </c>
      <c r="B191" s="3">
        <v>225852</v>
      </c>
      <c r="C191" s="73">
        <v>38386</v>
      </c>
      <c r="D191" s="17">
        <v>43012</v>
      </c>
      <c r="E191" s="3" t="s">
        <v>722</v>
      </c>
    </row>
    <row r="192" spans="1:7" x14ac:dyDescent="0.25">
      <c r="C192" s="3">
        <v>5340</v>
      </c>
      <c r="D192" s="17">
        <v>43012</v>
      </c>
      <c r="E192" s="3" t="s">
        <v>839</v>
      </c>
    </row>
    <row r="193" spans="1:7" x14ac:dyDescent="0.25">
      <c r="C193" s="4">
        <v>10828.5</v>
      </c>
      <c r="D193" s="17">
        <v>43011</v>
      </c>
      <c r="E193" s="3" t="s">
        <v>722</v>
      </c>
    </row>
    <row r="194" spans="1:7" x14ac:dyDescent="0.25">
      <c r="C194" s="3">
        <v>3853</v>
      </c>
      <c r="D194" s="17">
        <v>43008</v>
      </c>
      <c r="E194" s="3" t="s">
        <v>840</v>
      </c>
    </row>
    <row r="195" spans="1:7" x14ac:dyDescent="0.25">
      <c r="C195" s="3">
        <v>9093</v>
      </c>
      <c r="D195" s="17">
        <v>43011</v>
      </c>
      <c r="E195" s="3" t="s">
        <v>841</v>
      </c>
    </row>
    <row r="196" spans="1:7" x14ac:dyDescent="0.25">
      <c r="C196" s="3">
        <v>14952</v>
      </c>
      <c r="D196" s="17">
        <v>43011</v>
      </c>
      <c r="E196" s="3" t="s">
        <v>842</v>
      </c>
    </row>
    <row r="197" spans="1:7" x14ac:dyDescent="0.25">
      <c r="C197" s="3">
        <v>168000</v>
      </c>
      <c r="D197" s="17">
        <v>43013</v>
      </c>
      <c r="E197" s="3" t="s">
        <v>727</v>
      </c>
    </row>
    <row r="198" spans="1:7" x14ac:dyDescent="0.25">
      <c r="C198" s="3">
        <v>9485</v>
      </c>
      <c r="D198" s="17">
        <v>43013</v>
      </c>
      <c r="E198" s="3" t="s">
        <v>721</v>
      </c>
    </row>
    <row r="199" spans="1:7" x14ac:dyDescent="0.25">
      <c r="B199" s="3">
        <f>SUM(B190:B197)</f>
        <v>261560.6</v>
      </c>
      <c r="C199" s="3">
        <f>SUM(C190:C198)</f>
        <v>261561.5</v>
      </c>
      <c r="E199" s="3">
        <f>C199-B199</f>
        <v>0.89999999999417923</v>
      </c>
      <c r="F199" s="17">
        <v>43013</v>
      </c>
      <c r="G199" s="17">
        <v>43014</v>
      </c>
    </row>
    <row r="201" spans="1:7" x14ac:dyDescent="0.25">
      <c r="A201" t="s">
        <v>843</v>
      </c>
      <c r="B201" s="3">
        <v>52750.5</v>
      </c>
      <c r="C201" s="3">
        <v>300000</v>
      </c>
      <c r="D201" s="17">
        <v>43014</v>
      </c>
      <c r="E201" s="3" t="s">
        <v>844</v>
      </c>
    </row>
    <row r="202" spans="1:7" x14ac:dyDescent="0.25">
      <c r="A202" t="s">
        <v>845</v>
      </c>
      <c r="B202" s="3">
        <v>210160</v>
      </c>
    </row>
    <row r="203" spans="1:7" x14ac:dyDescent="0.25">
      <c r="B203" s="3">
        <f>SUM(B201:B202)</f>
        <v>262910.5</v>
      </c>
      <c r="C203" s="3">
        <f>SUM(C201:C202)</f>
        <v>300000</v>
      </c>
      <c r="E203" s="20">
        <f>C203-B203</f>
        <v>37089.5</v>
      </c>
      <c r="F203" s="17">
        <v>43014</v>
      </c>
      <c r="G203" s="17">
        <v>43015</v>
      </c>
    </row>
    <row r="205" spans="1:7" x14ac:dyDescent="0.25">
      <c r="A205" t="s">
        <v>846</v>
      </c>
      <c r="B205" s="3">
        <v>8514</v>
      </c>
      <c r="C205" s="3">
        <v>475000</v>
      </c>
      <c r="D205" s="17">
        <v>43017</v>
      </c>
      <c r="E205" s="3" t="s">
        <v>727</v>
      </c>
    </row>
    <row r="206" spans="1:7" x14ac:dyDescent="0.25">
      <c r="A206" t="s">
        <v>847</v>
      </c>
      <c r="B206" s="3">
        <v>400372</v>
      </c>
      <c r="C206" s="3">
        <v>338000</v>
      </c>
      <c r="D206" s="17">
        <v>43015</v>
      </c>
      <c r="E206" s="3" t="s">
        <v>727</v>
      </c>
    </row>
    <row r="207" spans="1:7" x14ac:dyDescent="0.25">
      <c r="A207" t="s">
        <v>848</v>
      </c>
      <c r="B207" s="3">
        <v>3400</v>
      </c>
      <c r="C207" s="20">
        <v>37089.5</v>
      </c>
      <c r="D207" s="17">
        <v>43014</v>
      </c>
      <c r="E207" s="3" t="s">
        <v>722</v>
      </c>
    </row>
    <row r="208" spans="1:7" x14ac:dyDescent="0.25">
      <c r="A208" t="s">
        <v>849</v>
      </c>
      <c r="B208" s="3">
        <v>8911</v>
      </c>
    </row>
    <row r="209" spans="1:7" x14ac:dyDescent="0.25">
      <c r="A209" t="s">
        <v>850</v>
      </c>
      <c r="B209" s="3">
        <v>405055</v>
      </c>
    </row>
    <row r="210" spans="1:7" x14ac:dyDescent="0.25">
      <c r="B210" s="3">
        <f>SUM(B205:B209)</f>
        <v>826252</v>
      </c>
      <c r="C210" s="3">
        <f>SUM(C205:C209)</f>
        <v>850089.5</v>
      </c>
      <c r="E210" s="76">
        <f>C210-B210</f>
        <v>23837.5</v>
      </c>
      <c r="F210" s="17">
        <v>43017</v>
      </c>
      <c r="G210" s="17">
        <v>43019</v>
      </c>
    </row>
    <row r="212" spans="1:7" x14ac:dyDescent="0.25">
      <c r="A212" t="s">
        <v>851</v>
      </c>
      <c r="B212" s="3">
        <v>26166.400000000001</v>
      </c>
      <c r="C212" s="76">
        <v>23837.5</v>
      </c>
      <c r="D212" s="17">
        <v>43017</v>
      </c>
      <c r="E212" s="3" t="s">
        <v>722</v>
      </c>
    </row>
    <row r="213" spans="1:7" x14ac:dyDescent="0.25">
      <c r="A213" t="s">
        <v>852</v>
      </c>
      <c r="B213" s="3">
        <v>364350</v>
      </c>
      <c r="C213" s="3">
        <v>4872</v>
      </c>
      <c r="D213" s="17">
        <v>43017</v>
      </c>
      <c r="E213" s="3" t="s">
        <v>853</v>
      </c>
    </row>
    <row r="214" spans="1:7" x14ac:dyDescent="0.25">
      <c r="C214" s="3">
        <v>3547</v>
      </c>
      <c r="D214" s="17">
        <v>43015</v>
      </c>
      <c r="E214" s="3" t="s">
        <v>854</v>
      </c>
    </row>
    <row r="215" spans="1:7" x14ac:dyDescent="0.25">
      <c r="C215" s="3">
        <v>1687</v>
      </c>
      <c r="D215" s="17">
        <v>43014</v>
      </c>
      <c r="E215" s="3" t="s">
        <v>855</v>
      </c>
    </row>
    <row r="216" spans="1:7" x14ac:dyDescent="0.25">
      <c r="C216" s="3">
        <v>1529</v>
      </c>
      <c r="D216" s="17">
        <v>43013</v>
      </c>
      <c r="E216" s="3" t="s">
        <v>856</v>
      </c>
    </row>
    <row r="217" spans="1:7" x14ac:dyDescent="0.25">
      <c r="C217" s="3">
        <v>21044</v>
      </c>
      <c r="D217" s="17">
        <v>43019</v>
      </c>
    </row>
    <row r="218" spans="1:7" x14ac:dyDescent="0.25">
      <c r="C218" s="3">
        <v>334000</v>
      </c>
      <c r="D218" s="17">
        <v>43018</v>
      </c>
      <c r="E218" s="3" t="s">
        <v>727</v>
      </c>
    </row>
    <row r="219" spans="1:7" x14ac:dyDescent="0.25">
      <c r="B219" s="3">
        <f>SUM(B212:B217)</f>
        <v>390516.4</v>
      </c>
      <c r="C219" s="3">
        <f>SUM(C212:C218)</f>
        <v>390516.5</v>
      </c>
      <c r="E219" s="3">
        <f>C219-B219</f>
        <v>9.9999999976716936E-2</v>
      </c>
      <c r="F219" s="17">
        <v>43018</v>
      </c>
      <c r="G219" s="17">
        <v>43020</v>
      </c>
    </row>
    <row r="221" spans="1:7" x14ac:dyDescent="0.25">
      <c r="A221" t="s">
        <v>857</v>
      </c>
      <c r="B221" s="3">
        <v>229991</v>
      </c>
      <c r="C221" s="3">
        <v>467000</v>
      </c>
      <c r="D221" s="17">
        <v>43020</v>
      </c>
      <c r="E221" s="3" t="s">
        <v>844</v>
      </c>
    </row>
    <row r="222" spans="1:7" x14ac:dyDescent="0.25">
      <c r="A222" t="s">
        <v>858</v>
      </c>
      <c r="B222" s="3">
        <v>211584</v>
      </c>
    </row>
    <row r="223" spans="1:7" x14ac:dyDescent="0.25">
      <c r="B223" s="3">
        <f>SUM(B221:B222)</f>
        <v>441575</v>
      </c>
      <c r="C223" s="3">
        <f>SUM(C221:C222)</f>
        <v>467000</v>
      </c>
      <c r="E223" s="85">
        <f>C223-B223</f>
        <v>25425</v>
      </c>
      <c r="F223" s="17">
        <v>43020</v>
      </c>
      <c r="G223" s="17">
        <v>43022</v>
      </c>
    </row>
    <row r="225" spans="1:7" x14ac:dyDescent="0.25">
      <c r="A225" t="s">
        <v>859</v>
      </c>
      <c r="B225" s="3">
        <v>207408</v>
      </c>
      <c r="C225" s="3">
        <v>300000</v>
      </c>
      <c r="D225" s="17">
        <v>43021</v>
      </c>
      <c r="E225" s="3" t="s">
        <v>727</v>
      </c>
    </row>
    <row r="226" spans="1:7" x14ac:dyDescent="0.25">
      <c r="B226" s="3">
        <f>SUM(B225)</f>
        <v>207408</v>
      </c>
      <c r="C226" s="3">
        <f>SUM(C225)</f>
        <v>300000</v>
      </c>
      <c r="E226" s="88">
        <f>C226-B226</f>
        <v>92592</v>
      </c>
      <c r="F226" s="17">
        <v>43021</v>
      </c>
      <c r="G226" s="17">
        <v>43022</v>
      </c>
    </row>
    <row r="228" spans="1:7" x14ac:dyDescent="0.25">
      <c r="A228" t="s">
        <v>860</v>
      </c>
      <c r="B228" s="3">
        <v>386561</v>
      </c>
      <c r="C228" s="3">
        <v>340000</v>
      </c>
      <c r="D228" s="17">
        <v>43022</v>
      </c>
      <c r="E228" s="3" t="s">
        <v>727</v>
      </c>
    </row>
    <row r="229" spans="1:7" x14ac:dyDescent="0.25">
      <c r="C229" s="3">
        <v>6089</v>
      </c>
      <c r="D229" s="17">
        <v>43022</v>
      </c>
      <c r="E229" s="3" t="s">
        <v>861</v>
      </c>
    </row>
    <row r="230" spans="1:7" x14ac:dyDescent="0.25">
      <c r="C230" s="3">
        <v>6926</v>
      </c>
      <c r="D230" s="17">
        <v>43021</v>
      </c>
      <c r="E230" s="3" t="s">
        <v>862</v>
      </c>
    </row>
    <row r="231" spans="1:7" x14ac:dyDescent="0.25">
      <c r="C231" s="85">
        <v>25425</v>
      </c>
      <c r="D231" s="17">
        <v>43020</v>
      </c>
      <c r="E231" s="3" t="s">
        <v>722</v>
      </c>
    </row>
    <row r="232" spans="1:7" x14ac:dyDescent="0.25">
      <c r="C232" s="3">
        <v>8121</v>
      </c>
      <c r="D232" s="17">
        <v>43022</v>
      </c>
      <c r="E232" s="3" t="s">
        <v>721</v>
      </c>
    </row>
    <row r="233" spans="1:7" x14ac:dyDescent="0.25">
      <c r="B233" s="3">
        <f>SUM(B228:B231)</f>
        <v>386561</v>
      </c>
      <c r="C233" s="3">
        <f>SUM(C228:C232)</f>
        <v>386561</v>
      </c>
      <c r="E233" s="3">
        <f>C233-B233</f>
        <v>0</v>
      </c>
      <c r="F233" s="17">
        <v>43022</v>
      </c>
      <c r="G233" s="17">
        <v>43022</v>
      </c>
    </row>
    <row r="235" spans="1:7" x14ac:dyDescent="0.25">
      <c r="A235" t="s">
        <v>863</v>
      </c>
      <c r="B235" s="3">
        <v>398970</v>
      </c>
      <c r="C235" s="3">
        <v>404000</v>
      </c>
      <c r="D235" s="17">
        <v>43024</v>
      </c>
      <c r="E235" s="3" t="s">
        <v>727</v>
      </c>
    </row>
    <row r="236" spans="1:7" x14ac:dyDescent="0.25">
      <c r="B236" s="3">
        <f>SUM(B235)</f>
        <v>398970</v>
      </c>
      <c r="C236" s="3">
        <f>SUM(C235)</f>
        <v>404000</v>
      </c>
      <c r="E236" s="9">
        <f>C236-B236</f>
        <v>5030</v>
      </c>
      <c r="F236" s="17">
        <v>43024</v>
      </c>
      <c r="G236" s="17">
        <v>43024</v>
      </c>
    </row>
    <row r="238" spans="1:7" x14ac:dyDescent="0.25">
      <c r="A238" t="s">
        <v>864</v>
      </c>
      <c r="B238" s="3">
        <v>378080</v>
      </c>
      <c r="D238" s="17"/>
    </row>
    <row r="239" spans="1:7" x14ac:dyDescent="0.25">
      <c r="A239" t="s">
        <v>865</v>
      </c>
      <c r="B239" s="3">
        <v>27633.599999999999</v>
      </c>
      <c r="C239" s="88">
        <v>92592</v>
      </c>
      <c r="D239" s="17">
        <v>43021</v>
      </c>
      <c r="E239" s="3" t="s">
        <v>722</v>
      </c>
    </row>
    <row r="240" spans="1:7" x14ac:dyDescent="0.25">
      <c r="A240" t="s">
        <v>866</v>
      </c>
      <c r="B240" s="3">
        <v>209163</v>
      </c>
      <c r="C240" s="3">
        <v>362000</v>
      </c>
      <c r="D240" s="17">
        <v>43028</v>
      </c>
      <c r="E240" s="3" t="s">
        <v>727</v>
      </c>
    </row>
    <row r="241" spans="1:7" x14ac:dyDescent="0.25">
      <c r="A241" t="s">
        <v>867</v>
      </c>
      <c r="B241" s="3">
        <v>397826</v>
      </c>
      <c r="C241" s="3">
        <v>500000</v>
      </c>
      <c r="D241" s="17">
        <v>43027</v>
      </c>
      <c r="E241" s="3" t="s">
        <v>727</v>
      </c>
    </row>
    <row r="242" spans="1:7" x14ac:dyDescent="0.25">
      <c r="A242" t="s">
        <v>868</v>
      </c>
      <c r="B242" s="3">
        <v>36115.199999999997</v>
      </c>
    </row>
    <row r="243" spans="1:7" x14ac:dyDescent="0.25">
      <c r="A243" t="s">
        <v>869</v>
      </c>
      <c r="B243" s="3">
        <v>205020</v>
      </c>
      <c r="C243" s="3">
        <v>323000</v>
      </c>
      <c r="D243" s="17">
        <v>43025</v>
      </c>
      <c r="E243" s="3" t="s">
        <v>727</v>
      </c>
    </row>
    <row r="244" spans="1:7" x14ac:dyDescent="0.25">
      <c r="B244" s="3">
        <f>SUM(B238:B243)</f>
        <v>1253837.8</v>
      </c>
      <c r="C244" s="3">
        <f>SUM(C238:C243)</f>
        <v>1277592</v>
      </c>
      <c r="E244" s="94">
        <f>C244-B244</f>
        <v>23754.199999999953</v>
      </c>
      <c r="F244" s="17">
        <v>43028</v>
      </c>
      <c r="G244" s="17">
        <v>43028</v>
      </c>
    </row>
    <row r="246" spans="1:7" x14ac:dyDescent="0.25">
      <c r="A246" t="s">
        <v>870</v>
      </c>
      <c r="B246" s="3">
        <v>376720</v>
      </c>
      <c r="C246" s="3">
        <v>390000</v>
      </c>
      <c r="D246" s="17">
        <v>43029</v>
      </c>
      <c r="E246" s="3" t="s">
        <v>727</v>
      </c>
    </row>
    <row r="247" spans="1:7" x14ac:dyDescent="0.25">
      <c r="B247" s="3">
        <f>SUM(B246)</f>
        <v>376720</v>
      </c>
      <c r="C247" s="3">
        <f>SUM(C246)</f>
        <v>390000</v>
      </c>
      <c r="E247" s="76">
        <f>C247-B247</f>
        <v>13280</v>
      </c>
      <c r="F247" s="17">
        <v>43031</v>
      </c>
      <c r="G247" s="17">
        <v>43032</v>
      </c>
    </row>
    <row r="249" spans="1:7" x14ac:dyDescent="0.25">
      <c r="A249" t="s">
        <v>871</v>
      </c>
      <c r="B249" s="3">
        <v>23023</v>
      </c>
      <c r="C249" s="3">
        <v>493000</v>
      </c>
      <c r="D249" s="17">
        <v>43031</v>
      </c>
      <c r="E249" s="3" t="s">
        <v>727</v>
      </c>
    </row>
    <row r="250" spans="1:7" x14ac:dyDescent="0.25">
      <c r="A250" t="s">
        <v>872</v>
      </c>
      <c r="B250" s="3">
        <v>392150</v>
      </c>
    </row>
    <row r="251" spans="1:7" x14ac:dyDescent="0.25">
      <c r="B251" s="3">
        <f>SUM(B249:B250)</f>
        <v>415173</v>
      </c>
      <c r="C251" s="3">
        <f>SUM(C249:C250)</f>
        <v>493000</v>
      </c>
      <c r="E251" s="89">
        <f>C251-B251</f>
        <v>77827</v>
      </c>
      <c r="F251" s="17">
        <v>43031</v>
      </c>
      <c r="G251" s="17">
        <v>43032</v>
      </c>
    </row>
    <row r="253" spans="1:7" x14ac:dyDescent="0.25">
      <c r="A253" t="s">
        <v>873</v>
      </c>
      <c r="B253" s="3">
        <v>403340</v>
      </c>
      <c r="C253" s="3">
        <v>250000</v>
      </c>
      <c r="D253" s="17">
        <v>43032</v>
      </c>
      <c r="E253" s="3" t="s">
        <v>727</v>
      </c>
    </row>
    <row r="254" spans="1:7" x14ac:dyDescent="0.25">
      <c r="C254" s="89">
        <v>77827</v>
      </c>
      <c r="D254" s="17">
        <v>43031</v>
      </c>
      <c r="E254" s="3" t="s">
        <v>722</v>
      </c>
    </row>
    <row r="255" spans="1:7" x14ac:dyDescent="0.25">
      <c r="C255" s="76">
        <v>13280</v>
      </c>
      <c r="D255" s="17">
        <v>43031</v>
      </c>
      <c r="E255" s="3" t="s">
        <v>722</v>
      </c>
    </row>
    <row r="256" spans="1:7" x14ac:dyDescent="0.25">
      <c r="C256" s="9">
        <v>5030</v>
      </c>
      <c r="D256" s="17">
        <v>43024</v>
      </c>
      <c r="E256" s="3" t="s">
        <v>722</v>
      </c>
    </row>
    <row r="257" spans="1:7" x14ac:dyDescent="0.25">
      <c r="C257" s="94">
        <v>23754.2</v>
      </c>
      <c r="D257" s="17">
        <v>43028</v>
      </c>
      <c r="E257" s="3" t="s">
        <v>722</v>
      </c>
    </row>
    <row r="258" spans="1:7" x14ac:dyDescent="0.25">
      <c r="C258" s="3">
        <v>4134</v>
      </c>
      <c r="D258" s="17">
        <v>43025</v>
      </c>
      <c r="E258" s="3" t="s">
        <v>874</v>
      </c>
    </row>
    <row r="259" spans="1:7" x14ac:dyDescent="0.25">
      <c r="C259" s="3">
        <v>8700</v>
      </c>
      <c r="D259" s="17">
        <v>43029</v>
      </c>
      <c r="E259" s="3" t="s">
        <v>875</v>
      </c>
    </row>
    <row r="260" spans="1:7" x14ac:dyDescent="0.25">
      <c r="C260" s="3">
        <v>20615</v>
      </c>
      <c r="D260" s="17">
        <v>43033</v>
      </c>
    </row>
    <row r="261" spans="1:7" x14ac:dyDescent="0.25">
      <c r="B261" s="3">
        <f>SUM(B253:B260)</f>
        <v>403340</v>
      </c>
      <c r="C261" s="3">
        <f>SUM(C253:C260)</f>
        <v>403340.2</v>
      </c>
      <c r="E261" s="3">
        <f>C261-B261</f>
        <v>0.20000000001164153</v>
      </c>
      <c r="F261" s="17">
        <v>43032</v>
      </c>
      <c r="G261" s="17">
        <v>43033</v>
      </c>
    </row>
    <row r="263" spans="1:7" x14ac:dyDescent="0.25">
      <c r="A263" t="s">
        <v>876</v>
      </c>
      <c r="B263" s="3">
        <v>214762</v>
      </c>
      <c r="C263" s="3">
        <v>12729</v>
      </c>
      <c r="D263" s="17">
        <v>43034</v>
      </c>
    </row>
    <row r="264" spans="1:7" x14ac:dyDescent="0.25">
      <c r="C264" s="3">
        <v>40000</v>
      </c>
      <c r="D264" s="17">
        <v>43033</v>
      </c>
    </row>
    <row r="265" spans="1:7" x14ac:dyDescent="0.25">
      <c r="C265" s="3">
        <v>12033</v>
      </c>
      <c r="D265" s="17">
        <v>43032</v>
      </c>
      <c r="E265" s="3" t="s">
        <v>877</v>
      </c>
    </row>
    <row r="266" spans="1:7" x14ac:dyDescent="0.25">
      <c r="C266" s="3">
        <v>150000</v>
      </c>
      <c r="D266" s="17">
        <v>43033</v>
      </c>
      <c r="E266" s="3" t="s">
        <v>727</v>
      </c>
    </row>
    <row r="267" spans="1:7" x14ac:dyDescent="0.25">
      <c r="B267" s="3">
        <f>SUM(B263:B266)</f>
        <v>214762</v>
      </c>
      <c r="C267" s="3">
        <f>SUM(C263:C266)</f>
        <v>214762</v>
      </c>
      <c r="E267" s="3">
        <f>C267-B267</f>
        <v>0</v>
      </c>
      <c r="F267" s="17">
        <v>43033</v>
      </c>
      <c r="G267" s="17">
        <v>43034</v>
      </c>
    </row>
    <row r="269" spans="1:7" x14ac:dyDescent="0.25">
      <c r="A269" t="s">
        <v>878</v>
      </c>
      <c r="B269" s="3">
        <v>221778</v>
      </c>
      <c r="C269" s="3">
        <v>13952</v>
      </c>
      <c r="D269" s="17">
        <v>43034</v>
      </c>
      <c r="E269" s="3" t="s">
        <v>879</v>
      </c>
    </row>
    <row r="270" spans="1:7" x14ac:dyDescent="0.25">
      <c r="A270" t="s">
        <v>880</v>
      </c>
      <c r="B270" s="3">
        <v>212454</v>
      </c>
      <c r="C270" s="3">
        <v>3489</v>
      </c>
      <c r="D270" s="17">
        <v>43033</v>
      </c>
      <c r="E270" s="3" t="s">
        <v>881</v>
      </c>
    </row>
    <row r="271" spans="1:7" x14ac:dyDescent="0.25">
      <c r="C271" s="3">
        <v>998</v>
      </c>
      <c r="D271" s="17">
        <v>43035</v>
      </c>
      <c r="E271" s="3" t="s">
        <v>882</v>
      </c>
    </row>
    <row r="272" spans="1:7" x14ac:dyDescent="0.25">
      <c r="C272" s="3">
        <v>499000</v>
      </c>
      <c r="D272" s="17">
        <v>43035</v>
      </c>
      <c r="E272" s="3" t="s">
        <v>727</v>
      </c>
    </row>
    <row r="273" spans="1:7" x14ac:dyDescent="0.25">
      <c r="B273" s="3">
        <f>SUM(B269:B272)</f>
        <v>434232</v>
      </c>
      <c r="C273" s="3">
        <f>SUM(C269:C272)</f>
        <v>517439</v>
      </c>
      <c r="E273" s="84">
        <f>C273-B273</f>
        <v>83207</v>
      </c>
      <c r="F273" s="17">
        <v>43035</v>
      </c>
      <c r="G273" s="17">
        <v>43035</v>
      </c>
    </row>
    <row r="275" spans="1:7" x14ac:dyDescent="0.25">
      <c r="A275" t="s">
        <v>883</v>
      </c>
      <c r="B275" s="3">
        <v>365904</v>
      </c>
      <c r="C275" s="3">
        <v>340000</v>
      </c>
      <c r="D275" s="17">
        <v>43036</v>
      </c>
      <c r="E275" s="3" t="s">
        <v>727</v>
      </c>
    </row>
    <row r="276" spans="1:7" x14ac:dyDescent="0.25">
      <c r="C276" s="3">
        <v>25904</v>
      </c>
      <c r="D276" s="17">
        <v>43036</v>
      </c>
      <c r="E276" s="3" t="s">
        <v>721</v>
      </c>
    </row>
    <row r="277" spans="1:7" x14ac:dyDescent="0.25">
      <c r="B277" s="3">
        <f>SUM(B275:B276)</f>
        <v>365904</v>
      </c>
      <c r="C277" s="3">
        <f>SUM(C275:C276)</f>
        <v>365904</v>
      </c>
      <c r="E277" s="3">
        <f>C277-B277</f>
        <v>0</v>
      </c>
      <c r="F277" s="17">
        <v>43036</v>
      </c>
      <c r="G277" s="17">
        <v>43036</v>
      </c>
    </row>
    <row r="279" spans="1:7" x14ac:dyDescent="0.25">
      <c r="A279" t="s">
        <v>884</v>
      </c>
      <c r="B279" s="3">
        <v>412920</v>
      </c>
      <c r="C279" s="3">
        <v>368000</v>
      </c>
      <c r="D279" s="17">
        <v>43038</v>
      </c>
      <c r="E279" s="3" t="s">
        <v>727</v>
      </c>
    </row>
    <row r="280" spans="1:7" x14ac:dyDescent="0.25">
      <c r="C280" s="3">
        <v>50000</v>
      </c>
      <c r="D280" s="17">
        <v>43036</v>
      </c>
    </row>
    <row r="281" spans="1:7" x14ac:dyDescent="0.25">
      <c r="B281" s="3">
        <f>SUM(B279:B280)</f>
        <v>412920</v>
      </c>
      <c r="C281" s="3">
        <f>SUM(C279:C280)</f>
        <v>418000</v>
      </c>
      <c r="E281" s="9">
        <f>C281-B281</f>
        <v>5080</v>
      </c>
      <c r="F281" s="17">
        <v>43039</v>
      </c>
      <c r="G281" s="17">
        <v>43039</v>
      </c>
    </row>
    <row r="283" spans="1:7" x14ac:dyDescent="0.25">
      <c r="A283" t="s">
        <v>885</v>
      </c>
      <c r="B283" s="3">
        <v>374576</v>
      </c>
      <c r="C283" s="3">
        <v>399000</v>
      </c>
      <c r="D283" s="17">
        <v>43039</v>
      </c>
      <c r="E283" s="3" t="s">
        <v>727</v>
      </c>
    </row>
    <row r="284" spans="1:7" x14ac:dyDescent="0.25">
      <c r="B284" s="3">
        <f>SUM(B283)</f>
        <v>374576</v>
      </c>
      <c r="C284" s="3">
        <f>SUM(C283)</f>
        <v>399000</v>
      </c>
      <c r="E284" s="76">
        <f>C284-B284</f>
        <v>24424</v>
      </c>
      <c r="F284" s="17">
        <v>43039</v>
      </c>
      <c r="G284" s="17">
        <v>43040</v>
      </c>
    </row>
    <row r="286" spans="1:7" x14ac:dyDescent="0.25">
      <c r="A286" t="s">
        <v>886</v>
      </c>
      <c r="B286" s="3">
        <v>211560</v>
      </c>
      <c r="C286" s="3">
        <v>360000</v>
      </c>
      <c r="D286" s="17">
        <v>43040</v>
      </c>
    </row>
    <row r="287" spans="1:7" x14ac:dyDescent="0.25">
      <c r="B287" s="3">
        <f>SUM(B286)</f>
        <v>211560</v>
      </c>
      <c r="C287" s="3">
        <f>SUM(C286)</f>
        <v>360000</v>
      </c>
      <c r="E287" s="73">
        <f>C287-B287</f>
        <v>148440</v>
      </c>
      <c r="F287" s="17">
        <v>43040</v>
      </c>
      <c r="G287" s="17">
        <v>43040</v>
      </c>
    </row>
    <row r="289" spans="1:7" x14ac:dyDescent="0.25">
      <c r="A289" t="s">
        <v>887</v>
      </c>
      <c r="B289" s="3">
        <v>187002.5</v>
      </c>
      <c r="C289" s="84">
        <v>83207</v>
      </c>
      <c r="D289" s="17">
        <v>43035</v>
      </c>
      <c r="E289" s="3" t="s">
        <v>722</v>
      </c>
    </row>
    <row r="290" spans="1:7" x14ac:dyDescent="0.25">
      <c r="C290" s="9">
        <v>5080</v>
      </c>
      <c r="D290" s="17">
        <v>43039</v>
      </c>
      <c r="E290" s="3" t="s">
        <v>722</v>
      </c>
    </row>
    <row r="291" spans="1:7" x14ac:dyDescent="0.25">
      <c r="C291" s="76">
        <v>24424</v>
      </c>
      <c r="D291" s="17">
        <v>43039</v>
      </c>
      <c r="E291" s="3" t="s">
        <v>722</v>
      </c>
    </row>
    <row r="292" spans="1:7" x14ac:dyDescent="0.25">
      <c r="C292" s="3">
        <v>3156</v>
      </c>
      <c r="D292" s="17">
        <v>43037</v>
      </c>
      <c r="E292" s="3" t="s">
        <v>888</v>
      </c>
    </row>
    <row r="293" spans="1:7" x14ac:dyDescent="0.25">
      <c r="C293" s="3">
        <v>4595</v>
      </c>
      <c r="D293" s="17">
        <v>43039</v>
      </c>
      <c r="E293" s="3" t="s">
        <v>889</v>
      </c>
    </row>
    <row r="294" spans="1:7" x14ac:dyDescent="0.25">
      <c r="C294" s="3">
        <v>4334</v>
      </c>
      <c r="D294" s="17">
        <v>43040</v>
      </c>
      <c r="E294" s="3" t="s">
        <v>890</v>
      </c>
    </row>
    <row r="295" spans="1:7" x14ac:dyDescent="0.25">
      <c r="C295" s="3">
        <v>11726</v>
      </c>
      <c r="D295" s="17">
        <v>43039</v>
      </c>
      <c r="E295" s="3" t="s">
        <v>891</v>
      </c>
    </row>
    <row r="296" spans="1:7" x14ac:dyDescent="0.25">
      <c r="C296" s="3">
        <v>39100</v>
      </c>
      <c r="D296" s="17">
        <v>43042</v>
      </c>
    </row>
    <row r="297" spans="1:7" x14ac:dyDescent="0.25">
      <c r="C297" s="3">
        <v>11370</v>
      </c>
      <c r="D297" s="17">
        <v>43042</v>
      </c>
    </row>
    <row r="298" spans="1:7" x14ac:dyDescent="0.25">
      <c r="C298" s="3">
        <v>10.5</v>
      </c>
      <c r="D298" s="17">
        <v>43041</v>
      </c>
      <c r="E298" s="3" t="s">
        <v>721</v>
      </c>
    </row>
    <row r="299" spans="1:7" x14ac:dyDescent="0.25">
      <c r="B299" s="3">
        <f>SUM(B289:B298)</f>
        <v>187002.5</v>
      </c>
      <c r="C299" s="3">
        <f>SUM(C289:C298)</f>
        <v>187002.5</v>
      </c>
      <c r="E299" s="3">
        <f>C299-B299</f>
        <v>0</v>
      </c>
      <c r="F299" s="17">
        <v>43041</v>
      </c>
      <c r="G299" s="17">
        <v>43043</v>
      </c>
    </row>
    <row r="301" spans="1:7" x14ac:dyDescent="0.25">
      <c r="A301" t="s">
        <v>892</v>
      </c>
      <c r="B301" s="3">
        <v>400654</v>
      </c>
      <c r="C301" s="3">
        <v>474000</v>
      </c>
      <c r="D301" s="17">
        <v>43042</v>
      </c>
      <c r="E301" s="3" t="s">
        <v>727</v>
      </c>
    </row>
    <row r="302" spans="1:7" x14ac:dyDescent="0.25">
      <c r="B302" s="3">
        <f>SUM(B301)</f>
        <v>400654</v>
      </c>
      <c r="C302" s="3">
        <f>SUM(C301)</f>
        <v>474000</v>
      </c>
      <c r="E302" s="88">
        <f>C302-B302</f>
        <v>73346</v>
      </c>
      <c r="F302" s="17">
        <v>43042</v>
      </c>
      <c r="G302" s="17">
        <v>43043</v>
      </c>
    </row>
    <row r="304" spans="1:7" x14ac:dyDescent="0.25">
      <c r="A304" t="s">
        <v>893</v>
      </c>
      <c r="B304" s="3">
        <v>399267</v>
      </c>
      <c r="C304" s="3">
        <v>404000</v>
      </c>
      <c r="D304" s="17">
        <v>43043</v>
      </c>
      <c r="E304" s="3" t="s">
        <v>727</v>
      </c>
      <c r="F304" s="17">
        <v>43043</v>
      </c>
    </row>
    <row r="305" spans="1:7" x14ac:dyDescent="0.25">
      <c r="A305" t="s">
        <v>894</v>
      </c>
      <c r="B305" s="3">
        <v>27738</v>
      </c>
      <c r="D305" s="17"/>
    </row>
    <row r="306" spans="1:7" x14ac:dyDescent="0.25">
      <c r="A306" t="s">
        <v>895</v>
      </c>
      <c r="B306" s="3">
        <v>362992.5</v>
      </c>
      <c r="C306" s="88">
        <v>73346</v>
      </c>
      <c r="D306" s="17">
        <v>43042</v>
      </c>
      <c r="E306" s="3" t="s">
        <v>722</v>
      </c>
    </row>
    <row r="307" spans="1:7" x14ac:dyDescent="0.25">
      <c r="A307" t="s">
        <v>896</v>
      </c>
      <c r="B307" s="3">
        <v>34465.5</v>
      </c>
      <c r="C307" s="3">
        <v>7117</v>
      </c>
      <c r="D307" s="17">
        <v>43047</v>
      </c>
    </row>
    <row r="308" spans="1:7" x14ac:dyDescent="0.25">
      <c r="C308" s="3">
        <v>37000</v>
      </c>
      <c r="D308" s="17">
        <v>42767</v>
      </c>
    </row>
    <row r="309" spans="1:7" x14ac:dyDescent="0.25">
      <c r="C309" s="3">
        <v>303000</v>
      </c>
      <c r="D309" s="17">
        <v>43045</v>
      </c>
      <c r="E309" s="3" t="s">
        <v>727</v>
      </c>
    </row>
    <row r="310" spans="1:7" x14ac:dyDescent="0.25">
      <c r="B310" s="3">
        <f>SUM(B304:B309)</f>
        <v>824463</v>
      </c>
      <c r="C310" s="3">
        <f>SUM(C304:C309)</f>
        <v>824463</v>
      </c>
      <c r="E310" s="3">
        <f>C310-B310</f>
        <v>0</v>
      </c>
      <c r="F310" s="17">
        <v>43045</v>
      </c>
      <c r="G310" s="17">
        <v>43047</v>
      </c>
    </row>
    <row r="312" spans="1:7" x14ac:dyDescent="0.25">
      <c r="A312" t="s">
        <v>897</v>
      </c>
      <c r="B312" s="3">
        <v>342818</v>
      </c>
      <c r="C312" s="3">
        <v>543000</v>
      </c>
      <c r="D312" s="17">
        <v>43046</v>
      </c>
      <c r="E312" s="3" t="s">
        <v>727</v>
      </c>
    </row>
    <row r="313" spans="1:7" x14ac:dyDescent="0.25">
      <c r="A313" t="s">
        <v>898</v>
      </c>
      <c r="B313" s="3">
        <v>227919</v>
      </c>
      <c r="C313" s="3">
        <v>27737</v>
      </c>
      <c r="D313" s="17">
        <v>43047</v>
      </c>
    </row>
    <row r="314" spans="1:7" x14ac:dyDescent="0.25">
      <c r="B314" s="3">
        <f>SUM(B312:B313)</f>
        <v>570737</v>
      </c>
      <c r="C314" s="3">
        <f>SUM(C312:C313)</f>
        <v>570737</v>
      </c>
      <c r="E314" s="3">
        <f>C314-B314</f>
        <v>0</v>
      </c>
      <c r="F314" s="17">
        <v>43046</v>
      </c>
      <c r="G314" s="17">
        <v>43047</v>
      </c>
    </row>
    <row r="316" spans="1:7" x14ac:dyDescent="0.25">
      <c r="A316" t="s">
        <v>899</v>
      </c>
      <c r="B316" s="3">
        <v>222006</v>
      </c>
      <c r="C316" s="3">
        <v>200000</v>
      </c>
      <c r="D316" s="17">
        <v>43047</v>
      </c>
      <c r="E316" s="3" t="s">
        <v>727</v>
      </c>
    </row>
    <row r="317" spans="1:7" x14ac:dyDescent="0.25">
      <c r="C317" s="3">
        <v>21348.6</v>
      </c>
      <c r="D317" s="17">
        <v>43046</v>
      </c>
      <c r="E317" s="3" t="s">
        <v>900</v>
      </c>
    </row>
    <row r="318" spans="1:7" x14ac:dyDescent="0.25">
      <c r="C318" s="3">
        <v>657</v>
      </c>
      <c r="D318" s="17">
        <v>43047</v>
      </c>
      <c r="E318" s="3" t="s">
        <v>721</v>
      </c>
    </row>
    <row r="319" spans="1:7" x14ac:dyDescent="0.25">
      <c r="B319" s="3">
        <f>SUM(B316:B318)</f>
        <v>222006</v>
      </c>
      <c r="C319" s="3">
        <f>SUM(C316:C318)</f>
        <v>222005.6</v>
      </c>
      <c r="E319" s="3">
        <f>C319-B319</f>
        <v>-0.39999999999417923</v>
      </c>
      <c r="F319" s="17">
        <v>43047</v>
      </c>
      <c r="G319" s="17">
        <v>43047</v>
      </c>
    </row>
    <row r="321" spans="1:9" x14ac:dyDescent="0.25">
      <c r="A321" t="s">
        <v>901</v>
      </c>
      <c r="B321" s="3">
        <v>209944</v>
      </c>
      <c r="C321" s="3">
        <v>190000</v>
      </c>
      <c r="D321" s="17">
        <v>43048</v>
      </c>
      <c r="E321" s="3" t="s">
        <v>727</v>
      </c>
    </row>
    <row r="322" spans="1:9" x14ac:dyDescent="0.25">
      <c r="C322" s="3">
        <v>19944</v>
      </c>
      <c r="D322" s="17">
        <v>43049</v>
      </c>
    </row>
    <row r="323" spans="1:9" x14ac:dyDescent="0.25">
      <c r="B323" s="3">
        <f>SUM(B321:B322)</f>
        <v>209944</v>
      </c>
      <c r="C323" s="3">
        <f>SUM(C321:C322)</f>
        <v>209944</v>
      </c>
      <c r="E323" s="3">
        <f>C323-B323</f>
        <v>0</v>
      </c>
      <c r="F323" s="17">
        <v>43048</v>
      </c>
      <c r="G323" s="17">
        <v>43049</v>
      </c>
    </row>
    <row r="325" spans="1:9" x14ac:dyDescent="0.25">
      <c r="A325" t="s">
        <v>902</v>
      </c>
      <c r="B325" s="3">
        <v>2737</v>
      </c>
      <c r="C325" s="3">
        <v>340000</v>
      </c>
      <c r="D325" s="17">
        <v>43049</v>
      </c>
      <c r="E325" s="3" t="s">
        <v>727</v>
      </c>
    </row>
    <row r="326" spans="1:9" x14ac:dyDescent="0.25">
      <c r="A326" t="s">
        <v>903</v>
      </c>
      <c r="B326" s="3">
        <v>373833</v>
      </c>
      <c r="C326" s="3">
        <v>36570</v>
      </c>
      <c r="D326" s="17">
        <v>43049</v>
      </c>
      <c r="E326" s="3" t="s">
        <v>721</v>
      </c>
    </row>
    <row r="327" spans="1:9" x14ac:dyDescent="0.25">
      <c r="B327" s="3">
        <f>SUM(B325:B326)</f>
        <v>376570</v>
      </c>
      <c r="C327" s="3">
        <f>SUM(C325:C326)</f>
        <v>376570</v>
      </c>
      <c r="E327" s="3">
        <f>C327-B327</f>
        <v>0</v>
      </c>
      <c r="F327" s="17">
        <v>43049</v>
      </c>
      <c r="G327" s="17">
        <v>43049</v>
      </c>
    </row>
    <row r="329" spans="1:9" x14ac:dyDescent="0.25">
      <c r="A329" t="s">
        <v>904</v>
      </c>
      <c r="B329" s="3">
        <v>29159.3</v>
      </c>
      <c r="C329" s="3">
        <v>673000</v>
      </c>
      <c r="D329" s="17">
        <v>43052</v>
      </c>
      <c r="E329" s="3" t="s">
        <v>727</v>
      </c>
    </row>
    <row r="330" spans="1:9" x14ac:dyDescent="0.25">
      <c r="A330" t="s">
        <v>905</v>
      </c>
      <c r="B330" s="3">
        <v>584435</v>
      </c>
    </row>
    <row r="331" spans="1:9" x14ac:dyDescent="0.25">
      <c r="B331" s="3">
        <f>SUM(B329:B330)</f>
        <v>613594.30000000005</v>
      </c>
      <c r="C331" s="3">
        <f>SUM(C329:C330)</f>
        <v>673000</v>
      </c>
      <c r="E331" s="76">
        <f>C331-B331</f>
        <v>59405.699999999953</v>
      </c>
      <c r="F331" s="17">
        <v>43052</v>
      </c>
      <c r="G331" s="17">
        <v>43054</v>
      </c>
      <c r="I331" t="s">
        <v>906</v>
      </c>
    </row>
    <row r="333" spans="1:9" x14ac:dyDescent="0.25">
      <c r="A333" t="s">
        <v>907</v>
      </c>
      <c r="B333" s="3">
        <v>229504</v>
      </c>
      <c r="C333" s="3">
        <v>440000</v>
      </c>
      <c r="D333" s="17">
        <v>43054</v>
      </c>
      <c r="E333" s="3" t="s">
        <v>727</v>
      </c>
    </row>
    <row r="334" spans="1:9" x14ac:dyDescent="0.25">
      <c r="A334" t="s">
        <v>908</v>
      </c>
      <c r="B334" s="3">
        <v>27418.95</v>
      </c>
      <c r="C334" s="3">
        <v>161820</v>
      </c>
      <c r="D334" s="17">
        <v>43054</v>
      </c>
    </row>
    <row r="335" spans="1:9" x14ac:dyDescent="0.25">
      <c r="A335" t="s">
        <v>909</v>
      </c>
      <c r="B335" s="3">
        <v>359904</v>
      </c>
      <c r="C335" s="3">
        <v>15007</v>
      </c>
      <c r="D335" s="17">
        <v>43054</v>
      </c>
      <c r="E335" s="3" t="s">
        <v>721</v>
      </c>
    </row>
    <row r="336" spans="1:9" x14ac:dyDescent="0.25">
      <c r="B336" s="3">
        <f>SUM(B333:B335)</f>
        <v>616826.94999999995</v>
      </c>
      <c r="C336" s="3">
        <f>SUM(C333:C335)</f>
        <v>616827</v>
      </c>
      <c r="E336" s="3">
        <f>C336-B336</f>
        <v>5.0000000046566129E-2</v>
      </c>
      <c r="F336" s="17">
        <v>43054</v>
      </c>
      <c r="G336" s="17">
        <v>43054</v>
      </c>
    </row>
    <row r="337" spans="1:7" x14ac:dyDescent="0.25">
      <c r="G337" t="s">
        <v>775</v>
      </c>
    </row>
    <row r="338" spans="1:7" x14ac:dyDescent="0.25">
      <c r="A338" t="s">
        <v>910</v>
      </c>
      <c r="B338" s="3">
        <v>67462.3</v>
      </c>
      <c r="C338" s="3">
        <v>311000</v>
      </c>
      <c r="D338" s="17">
        <v>43056</v>
      </c>
      <c r="E338" s="3" t="s">
        <v>727</v>
      </c>
    </row>
    <row r="339" spans="1:7" x14ac:dyDescent="0.25">
      <c r="A339" t="s">
        <v>911</v>
      </c>
      <c r="B339" s="3">
        <v>221430</v>
      </c>
    </row>
    <row r="340" spans="1:7" x14ac:dyDescent="0.25">
      <c r="B340" s="3">
        <f>SUM(B338:B339)</f>
        <v>288892.3</v>
      </c>
      <c r="C340" s="3">
        <f>SUM(C338:C339)</f>
        <v>311000</v>
      </c>
      <c r="E340" s="94">
        <f>C340-B340</f>
        <v>22107.700000000012</v>
      </c>
      <c r="F340" s="17">
        <v>43057</v>
      </c>
      <c r="G340" s="17">
        <v>43060</v>
      </c>
    </row>
    <row r="342" spans="1:7" x14ac:dyDescent="0.25">
      <c r="A342" t="s">
        <v>912</v>
      </c>
      <c r="B342" s="3">
        <v>360720</v>
      </c>
      <c r="C342" s="3">
        <v>631000</v>
      </c>
      <c r="D342" s="17">
        <v>43060</v>
      </c>
      <c r="E342" s="3" t="s">
        <v>727</v>
      </c>
    </row>
    <row r="343" spans="1:7" x14ac:dyDescent="0.25">
      <c r="A343" t="s">
        <v>913</v>
      </c>
      <c r="B343" s="3">
        <v>786236</v>
      </c>
      <c r="C343" s="3">
        <v>500000</v>
      </c>
      <c r="D343" s="17">
        <v>43060</v>
      </c>
      <c r="E343" s="3" t="s">
        <v>727</v>
      </c>
    </row>
    <row r="344" spans="1:7" x14ac:dyDescent="0.25">
      <c r="C344" s="3">
        <v>15956</v>
      </c>
      <c r="D344" s="17">
        <v>43061</v>
      </c>
    </row>
    <row r="345" spans="1:7" x14ac:dyDescent="0.25">
      <c r="B345" s="3">
        <f>SUM(B342:B344)</f>
        <v>1146956</v>
      </c>
      <c r="C345" s="3">
        <f>SUM(C342:C344)</f>
        <v>1146956</v>
      </c>
      <c r="E345" s="3">
        <f>C345-B345</f>
        <v>0</v>
      </c>
      <c r="F345" s="17">
        <v>43061</v>
      </c>
      <c r="G345" s="17">
        <v>43061</v>
      </c>
    </row>
    <row r="347" spans="1:7" x14ac:dyDescent="0.25">
      <c r="A347" t="s">
        <v>914</v>
      </c>
      <c r="B347" s="3">
        <v>236175</v>
      </c>
      <c r="C347" s="3">
        <v>214000</v>
      </c>
      <c r="D347" s="17">
        <v>43062</v>
      </c>
      <c r="E347" s="3" t="s">
        <v>727</v>
      </c>
    </row>
    <row r="348" spans="1:7" x14ac:dyDescent="0.25">
      <c r="C348" s="3">
        <v>15011</v>
      </c>
      <c r="D348" s="17">
        <v>43059</v>
      </c>
      <c r="E348" s="3" t="s">
        <v>915</v>
      </c>
    </row>
    <row r="349" spans="1:7" x14ac:dyDescent="0.25">
      <c r="C349" s="3">
        <v>1102</v>
      </c>
      <c r="D349" s="17">
        <v>43062</v>
      </c>
      <c r="E349" s="3" t="s">
        <v>916</v>
      </c>
    </row>
    <row r="350" spans="1:7" x14ac:dyDescent="0.25">
      <c r="C350" s="3">
        <v>4174</v>
      </c>
      <c r="D350" s="17">
        <v>43056</v>
      </c>
      <c r="E350" s="3" t="s">
        <v>917</v>
      </c>
    </row>
    <row r="351" spans="1:7" x14ac:dyDescent="0.25">
      <c r="C351" s="3">
        <v>1888</v>
      </c>
      <c r="D351" s="17">
        <v>43062</v>
      </c>
      <c r="E351" s="3" t="s">
        <v>721</v>
      </c>
    </row>
    <row r="352" spans="1:7" x14ac:dyDescent="0.25">
      <c r="B352" s="3">
        <f>SUM(B347:B351)</f>
        <v>236175</v>
      </c>
      <c r="C352" s="3">
        <f>SUM(C347:C351)</f>
        <v>236175</v>
      </c>
      <c r="E352" s="3">
        <f>C352-B352</f>
        <v>0</v>
      </c>
      <c r="F352" s="17">
        <v>43062</v>
      </c>
      <c r="G352" s="17">
        <v>43063</v>
      </c>
    </row>
    <row r="354" spans="1:8" x14ac:dyDescent="0.25">
      <c r="A354" t="s">
        <v>918</v>
      </c>
      <c r="B354" s="3">
        <v>248496</v>
      </c>
      <c r="C354" s="3">
        <v>147000</v>
      </c>
      <c r="D354" s="17">
        <v>43063</v>
      </c>
      <c r="E354" s="3" t="s">
        <v>727</v>
      </c>
      <c r="F354" t="s">
        <v>919</v>
      </c>
    </row>
    <row r="355" spans="1:8" x14ac:dyDescent="0.25">
      <c r="C355" s="3">
        <v>4350</v>
      </c>
      <c r="D355" s="17">
        <v>43061</v>
      </c>
      <c r="E355" s="3" t="s">
        <v>920</v>
      </c>
    </row>
    <row r="356" spans="1:8" x14ac:dyDescent="0.25">
      <c r="C356" s="3">
        <v>7602</v>
      </c>
      <c r="D356" s="17">
        <v>43046</v>
      </c>
      <c r="E356" s="3" t="s">
        <v>921</v>
      </c>
    </row>
    <row r="357" spans="1:8" x14ac:dyDescent="0.25">
      <c r="C357" s="3">
        <v>35018</v>
      </c>
      <c r="D357" s="17">
        <v>43057</v>
      </c>
      <c r="E357" s="3" t="s">
        <v>922</v>
      </c>
    </row>
    <row r="358" spans="1:8" x14ac:dyDescent="0.25">
      <c r="C358" s="3">
        <v>9142</v>
      </c>
      <c r="D358" s="17">
        <v>43049</v>
      </c>
      <c r="E358" s="3" t="s">
        <v>923</v>
      </c>
    </row>
    <row r="359" spans="1:8" x14ac:dyDescent="0.25">
      <c r="C359" s="3">
        <v>18725</v>
      </c>
      <c r="D359" s="17">
        <v>43048</v>
      </c>
      <c r="E359" s="3" t="s">
        <v>924</v>
      </c>
    </row>
    <row r="360" spans="1:8" x14ac:dyDescent="0.25">
      <c r="C360" s="3">
        <v>19851</v>
      </c>
      <c r="D360" s="17">
        <v>43047</v>
      </c>
      <c r="E360" s="3" t="s">
        <v>925</v>
      </c>
    </row>
    <row r="361" spans="1:8" x14ac:dyDescent="0.25">
      <c r="C361" s="3">
        <v>59832</v>
      </c>
      <c r="D361" s="17">
        <v>43054</v>
      </c>
      <c r="E361" s="3" t="s">
        <v>926</v>
      </c>
    </row>
    <row r="362" spans="1:8" x14ac:dyDescent="0.25">
      <c r="B362" s="3">
        <f>SUM(B354:B361)</f>
        <v>248496</v>
      </c>
      <c r="C362" s="3">
        <f>SUM(C354:C361)</f>
        <v>301520</v>
      </c>
      <c r="E362" s="20">
        <f>C362-B362</f>
        <v>53024</v>
      </c>
      <c r="F362" s="17">
        <v>43063</v>
      </c>
      <c r="G362" s="17">
        <v>43064</v>
      </c>
      <c r="H362" t="s">
        <v>927</v>
      </c>
    </row>
    <row r="364" spans="1:8" x14ac:dyDescent="0.25">
      <c r="A364" t="s">
        <v>928</v>
      </c>
      <c r="B364" s="3">
        <v>254508</v>
      </c>
      <c r="C364" s="3">
        <v>300000</v>
      </c>
      <c r="D364" s="17">
        <v>43064</v>
      </c>
      <c r="E364" s="3" t="s">
        <v>727</v>
      </c>
    </row>
    <row r="365" spans="1:8" x14ac:dyDescent="0.25">
      <c r="C365" s="3">
        <v>1000</v>
      </c>
      <c r="D365" s="17">
        <v>43063</v>
      </c>
      <c r="E365" s="3" t="s">
        <v>929</v>
      </c>
    </row>
    <row r="366" spans="1:8" x14ac:dyDescent="0.25">
      <c r="B366" s="3">
        <f>SUM(B364:B365)</f>
        <v>254508</v>
      </c>
      <c r="C366" s="3">
        <f>SUM(C364:C365)</f>
        <v>301000</v>
      </c>
      <c r="E366" s="9">
        <f>C366-B366</f>
        <v>46492</v>
      </c>
      <c r="F366" s="17">
        <v>43064</v>
      </c>
      <c r="G366" s="17">
        <v>43064</v>
      </c>
      <c r="H366" t="s">
        <v>930</v>
      </c>
    </row>
    <row r="368" spans="1:8" x14ac:dyDescent="0.25">
      <c r="A368" t="s">
        <v>931</v>
      </c>
      <c r="B368" s="3">
        <v>428670</v>
      </c>
      <c r="C368" s="3">
        <v>150000</v>
      </c>
      <c r="D368" s="17">
        <v>43066</v>
      </c>
      <c r="E368" s="3" t="s">
        <v>727</v>
      </c>
    </row>
    <row r="369" spans="1:7" x14ac:dyDescent="0.25">
      <c r="A369" t="s">
        <v>932</v>
      </c>
      <c r="B369" s="3">
        <v>362920</v>
      </c>
      <c r="C369" s="9">
        <v>46492</v>
      </c>
      <c r="D369" s="17">
        <v>43064</v>
      </c>
      <c r="E369" s="3" t="s">
        <v>722</v>
      </c>
    </row>
    <row r="370" spans="1:7" x14ac:dyDescent="0.25">
      <c r="C370" s="73">
        <v>148440</v>
      </c>
      <c r="D370" s="17">
        <v>43040</v>
      </c>
      <c r="E370" s="3" t="s">
        <v>722</v>
      </c>
    </row>
    <row r="371" spans="1:7" x14ac:dyDescent="0.25">
      <c r="C371" s="76">
        <v>59105.7</v>
      </c>
      <c r="D371" s="17">
        <v>43052</v>
      </c>
      <c r="E371" s="3" t="s">
        <v>722</v>
      </c>
    </row>
    <row r="372" spans="1:7" x14ac:dyDescent="0.25">
      <c r="C372" s="94">
        <v>22107.7</v>
      </c>
      <c r="D372" s="17">
        <v>43056</v>
      </c>
      <c r="E372" s="3" t="s">
        <v>722</v>
      </c>
    </row>
    <row r="373" spans="1:7" x14ac:dyDescent="0.25">
      <c r="C373" s="3">
        <v>37047.199999999997</v>
      </c>
      <c r="D373" s="17">
        <v>43055</v>
      </c>
      <c r="E373" s="3" t="s">
        <v>722</v>
      </c>
    </row>
    <row r="374" spans="1:7" x14ac:dyDescent="0.25">
      <c r="C374" s="20">
        <v>53024</v>
      </c>
      <c r="D374" s="17">
        <v>43063</v>
      </c>
      <c r="E374" s="3" t="s">
        <v>722</v>
      </c>
    </row>
    <row r="375" spans="1:7" x14ac:dyDescent="0.25">
      <c r="C375" s="3">
        <v>46170</v>
      </c>
      <c r="D375" s="17">
        <v>43056</v>
      </c>
    </row>
    <row r="376" spans="1:7" x14ac:dyDescent="0.25">
      <c r="C376" s="3">
        <v>100</v>
      </c>
      <c r="D376" s="17">
        <v>43056</v>
      </c>
      <c r="E376" s="3" t="s">
        <v>721</v>
      </c>
    </row>
    <row r="377" spans="1:7" x14ac:dyDescent="0.25">
      <c r="C377" s="3">
        <v>30300</v>
      </c>
      <c r="D377" s="17">
        <v>43055</v>
      </c>
    </row>
    <row r="378" spans="1:7" x14ac:dyDescent="0.25">
      <c r="C378" s="3">
        <v>39900</v>
      </c>
      <c r="D378" s="17">
        <v>43060</v>
      </c>
    </row>
    <row r="379" spans="1:7" x14ac:dyDescent="0.25">
      <c r="C379" s="3">
        <v>97950</v>
      </c>
      <c r="D379" s="17">
        <v>43061</v>
      </c>
    </row>
    <row r="380" spans="1:7" x14ac:dyDescent="0.25">
      <c r="C380" s="3">
        <v>81106</v>
      </c>
      <c r="D380" s="17">
        <v>43053</v>
      </c>
    </row>
    <row r="381" spans="1:7" x14ac:dyDescent="0.25">
      <c r="B381" s="3">
        <f>SUM(B368:B380)</f>
        <v>791590</v>
      </c>
      <c r="C381" s="3">
        <f>SUM(C368:C380)</f>
        <v>811742.60000000009</v>
      </c>
      <c r="E381" s="83">
        <f>C381-B381</f>
        <v>20152.600000000093</v>
      </c>
      <c r="F381" s="17">
        <v>43066</v>
      </c>
      <c r="G381" s="17">
        <v>43066</v>
      </c>
    </row>
    <row r="383" spans="1:7" x14ac:dyDescent="0.25">
      <c r="A383" t="s">
        <v>933</v>
      </c>
      <c r="B383" s="3">
        <v>2056.6</v>
      </c>
      <c r="C383" s="3">
        <v>550000</v>
      </c>
      <c r="D383" s="17">
        <v>43068</v>
      </c>
    </row>
    <row r="384" spans="1:7" x14ac:dyDescent="0.25">
      <c r="A384" t="s">
        <v>934</v>
      </c>
      <c r="B384" s="3">
        <v>404700</v>
      </c>
    </row>
    <row r="385" spans="1:15" x14ac:dyDescent="0.25">
      <c r="B385" s="3">
        <f>SUM(B383:B384)</f>
        <v>406756.6</v>
      </c>
      <c r="C385" s="3">
        <f>SUM(C383:C384)</f>
        <v>550000</v>
      </c>
      <c r="E385" s="95">
        <f>C385-B385</f>
        <v>143243.40000000002</v>
      </c>
      <c r="F385" s="17">
        <v>43068</v>
      </c>
      <c r="G385" s="17">
        <v>43069</v>
      </c>
      <c r="H385" s="75" t="s">
        <v>935</v>
      </c>
      <c r="I385" s="75"/>
      <c r="J385" s="75"/>
      <c r="K385" s="75"/>
      <c r="L385" s="75" t="s">
        <v>936</v>
      </c>
      <c r="M385" s="75"/>
      <c r="N385" s="75"/>
      <c r="O385" s="75"/>
    </row>
    <row r="387" spans="1:15" x14ac:dyDescent="0.25">
      <c r="A387" t="s">
        <v>937</v>
      </c>
      <c r="B387" s="3">
        <v>287936</v>
      </c>
      <c r="C387" s="3">
        <v>13903</v>
      </c>
      <c r="D387" s="17">
        <v>43069</v>
      </c>
      <c r="E387" s="3" t="s">
        <v>938</v>
      </c>
    </row>
    <row r="388" spans="1:15" x14ac:dyDescent="0.25">
      <c r="A388" t="s">
        <v>939</v>
      </c>
      <c r="B388" s="3">
        <v>250600</v>
      </c>
      <c r="C388" s="3">
        <v>13151</v>
      </c>
      <c r="D388" s="17">
        <v>43067</v>
      </c>
      <c r="E388" s="3" t="s">
        <v>940</v>
      </c>
    </row>
    <row r="389" spans="1:15" x14ac:dyDescent="0.25">
      <c r="A389" t="s">
        <v>941</v>
      </c>
      <c r="B389" s="3">
        <v>18312.599999999999</v>
      </c>
      <c r="C389" s="3">
        <v>52460</v>
      </c>
      <c r="D389" s="17">
        <v>43066</v>
      </c>
      <c r="E389" s="3" t="s">
        <v>942</v>
      </c>
    </row>
    <row r="390" spans="1:15" x14ac:dyDescent="0.25">
      <c r="A390" t="s">
        <v>943</v>
      </c>
      <c r="B390" s="3">
        <v>10224.200000000001</v>
      </c>
      <c r="C390" s="83">
        <v>20152.599999999999</v>
      </c>
      <c r="D390" s="17">
        <v>43066</v>
      </c>
      <c r="E390" s="3" t="s">
        <v>722</v>
      </c>
    </row>
    <row r="391" spans="1:15" x14ac:dyDescent="0.25">
      <c r="C391" s="95">
        <v>143143.4</v>
      </c>
      <c r="D391" s="17">
        <v>43068</v>
      </c>
      <c r="E391" s="3" t="s">
        <v>722</v>
      </c>
    </row>
    <row r="392" spans="1:15" x14ac:dyDescent="0.25">
      <c r="C392" s="73">
        <v>400</v>
      </c>
      <c r="D392" s="17">
        <v>43070</v>
      </c>
      <c r="E392" s="3" t="s">
        <v>722</v>
      </c>
    </row>
    <row r="393" spans="1:15" x14ac:dyDescent="0.25">
      <c r="C393" s="3">
        <v>27862</v>
      </c>
      <c r="D393" s="17">
        <v>43070</v>
      </c>
      <c r="E393" s="3" t="s">
        <v>721</v>
      </c>
    </row>
    <row r="394" spans="1:15" x14ac:dyDescent="0.25">
      <c r="C394" s="3">
        <v>296000</v>
      </c>
      <c r="D394" s="17">
        <v>43069</v>
      </c>
      <c r="E394" s="3" t="s">
        <v>727</v>
      </c>
    </row>
    <row r="395" spans="1:15" x14ac:dyDescent="0.25">
      <c r="B395" s="3">
        <f>SUM(B387:B393)</f>
        <v>567072.79999999993</v>
      </c>
      <c r="C395" s="3">
        <f>SUM(C387:C394)</f>
        <v>567072</v>
      </c>
      <c r="E395" s="3">
        <f>C395-B395</f>
        <v>-0.79999999993015081</v>
      </c>
      <c r="F395" s="17">
        <v>43070</v>
      </c>
      <c r="G395" s="17">
        <v>43071</v>
      </c>
    </row>
    <row r="397" spans="1:15" x14ac:dyDescent="0.25">
      <c r="A397" t="s">
        <v>944</v>
      </c>
      <c r="B397" s="3">
        <v>695100</v>
      </c>
      <c r="C397" s="3">
        <v>650000</v>
      </c>
      <c r="D397" s="17">
        <v>43071</v>
      </c>
      <c r="E397" s="3" t="s">
        <v>727</v>
      </c>
    </row>
    <row r="398" spans="1:15" x14ac:dyDescent="0.25">
      <c r="C398" s="3">
        <v>64650</v>
      </c>
      <c r="D398" s="17">
        <v>43073</v>
      </c>
    </row>
    <row r="399" spans="1:15" x14ac:dyDescent="0.25">
      <c r="B399" s="3">
        <f>SUM(B397:B398)</f>
        <v>695100</v>
      </c>
      <c r="C399" s="3">
        <f>SUM(C397:C398)</f>
        <v>714650</v>
      </c>
      <c r="E399" s="86">
        <f>C399-B399</f>
        <v>19550</v>
      </c>
      <c r="F399" s="17">
        <v>43071</v>
      </c>
      <c r="G399" s="17">
        <v>43075</v>
      </c>
    </row>
    <row r="401" spans="1:7" x14ac:dyDescent="0.25">
      <c r="A401" t="s">
        <v>945</v>
      </c>
      <c r="B401" s="3">
        <v>25480</v>
      </c>
      <c r="C401" s="3">
        <v>80000</v>
      </c>
      <c r="D401" s="17">
        <v>43074</v>
      </c>
    </row>
    <row r="402" spans="1:7" x14ac:dyDescent="0.25">
      <c r="A402" t="s">
        <v>946</v>
      </c>
      <c r="B402" s="3">
        <v>433313</v>
      </c>
      <c r="C402" s="3">
        <v>33062</v>
      </c>
      <c r="D402" s="17">
        <v>43072</v>
      </c>
      <c r="E402" s="3" t="s">
        <v>947</v>
      </c>
    </row>
    <row r="403" spans="1:7" x14ac:dyDescent="0.25">
      <c r="C403" s="3">
        <v>353000</v>
      </c>
      <c r="D403" s="17">
        <v>43074</v>
      </c>
      <c r="E403" s="3" t="s">
        <v>727</v>
      </c>
    </row>
    <row r="404" spans="1:7" x14ac:dyDescent="0.25">
      <c r="B404" s="3">
        <f>SUM(B401:B403)</f>
        <v>458793</v>
      </c>
      <c r="C404" s="3">
        <f>SUM(C401:C403)</f>
        <v>466062</v>
      </c>
      <c r="E404" s="73">
        <f>C404-B404</f>
        <v>7269</v>
      </c>
      <c r="F404" s="17">
        <v>43074</v>
      </c>
      <c r="G404" s="17">
        <v>43075</v>
      </c>
    </row>
    <row r="406" spans="1:7" x14ac:dyDescent="0.25">
      <c r="A406" t="s">
        <v>948</v>
      </c>
      <c r="B406" s="3">
        <v>439367.5</v>
      </c>
      <c r="C406" s="3">
        <v>9911</v>
      </c>
      <c r="D406" s="17">
        <v>43073</v>
      </c>
      <c r="E406" s="3" t="s">
        <v>949</v>
      </c>
    </row>
    <row r="407" spans="1:7" x14ac:dyDescent="0.25">
      <c r="C407" s="3">
        <v>3078</v>
      </c>
      <c r="D407" s="17">
        <v>43071</v>
      </c>
      <c r="E407" s="3" t="s">
        <v>950</v>
      </c>
    </row>
    <row r="408" spans="1:7" x14ac:dyDescent="0.25">
      <c r="C408" s="3">
        <v>6179</v>
      </c>
      <c r="D408" s="17">
        <v>43071</v>
      </c>
      <c r="E408" s="3" t="s">
        <v>951</v>
      </c>
    </row>
    <row r="409" spans="1:7" x14ac:dyDescent="0.25">
      <c r="C409" s="3">
        <v>3812</v>
      </c>
      <c r="D409" s="17">
        <v>43070</v>
      </c>
      <c r="E409" s="3" t="s">
        <v>952</v>
      </c>
    </row>
    <row r="410" spans="1:7" x14ac:dyDescent="0.25">
      <c r="C410" s="3">
        <v>6600</v>
      </c>
      <c r="D410" s="17">
        <v>43071</v>
      </c>
      <c r="E410" s="3" t="s">
        <v>953</v>
      </c>
    </row>
    <row r="411" spans="1:7" x14ac:dyDescent="0.25">
      <c r="C411" s="3">
        <v>409000</v>
      </c>
      <c r="D411" s="17">
        <v>43073</v>
      </c>
      <c r="E411" s="3" t="s">
        <v>727</v>
      </c>
    </row>
    <row r="412" spans="1:7" x14ac:dyDescent="0.25">
      <c r="C412" s="3">
        <v>788</v>
      </c>
      <c r="D412" s="17">
        <v>43073</v>
      </c>
      <c r="E412" s="3" t="s">
        <v>721</v>
      </c>
    </row>
    <row r="413" spans="1:7" x14ac:dyDescent="0.25">
      <c r="B413" s="3">
        <f>SUM(B406:B411)</f>
        <v>439367.5</v>
      </c>
      <c r="C413" s="3">
        <f>SUM(C406:C412)</f>
        <v>439368</v>
      </c>
      <c r="E413" s="3">
        <f>C413-B413</f>
        <v>0.5</v>
      </c>
      <c r="F413" s="17">
        <v>43073</v>
      </c>
      <c r="G413" s="17">
        <v>43075</v>
      </c>
    </row>
    <row r="415" spans="1:7" x14ac:dyDescent="0.25">
      <c r="A415" t="s">
        <v>954</v>
      </c>
      <c r="B415" s="3">
        <v>423696</v>
      </c>
      <c r="C415" s="3">
        <v>471000</v>
      </c>
      <c r="D415" s="17">
        <v>43076</v>
      </c>
      <c r="E415" s="3" t="s">
        <v>727</v>
      </c>
    </row>
    <row r="416" spans="1:7" x14ac:dyDescent="0.25">
      <c r="B416" s="3">
        <f>SUM(B415)</f>
        <v>423696</v>
      </c>
      <c r="C416" s="3">
        <f>SUM(C415)</f>
        <v>471000</v>
      </c>
      <c r="E416" s="94">
        <f>C416-B416</f>
        <v>47304</v>
      </c>
      <c r="F416" s="17">
        <v>43076</v>
      </c>
      <c r="G416" s="17">
        <v>43077</v>
      </c>
    </row>
    <row r="418" spans="1:7" x14ac:dyDescent="0.25">
      <c r="A418" t="s">
        <v>955</v>
      </c>
      <c r="B418" s="3">
        <v>22038.6</v>
      </c>
      <c r="C418" s="3">
        <v>300000</v>
      </c>
      <c r="D418" s="17">
        <v>43077</v>
      </c>
      <c r="E418" s="3" t="s">
        <v>727</v>
      </c>
    </row>
    <row r="419" spans="1:7" x14ac:dyDescent="0.25">
      <c r="A419" t="s">
        <v>956</v>
      </c>
      <c r="B419" s="3">
        <v>424424</v>
      </c>
      <c r="C419" s="94">
        <v>47304</v>
      </c>
      <c r="D419" s="17">
        <v>43076</v>
      </c>
      <c r="E419" s="3" t="s">
        <v>722</v>
      </c>
    </row>
    <row r="420" spans="1:7" x14ac:dyDescent="0.25">
      <c r="C420" s="73">
        <v>7269</v>
      </c>
      <c r="D420" s="17">
        <v>43074</v>
      </c>
      <c r="E420" s="3" t="s">
        <v>722</v>
      </c>
    </row>
    <row r="421" spans="1:7" x14ac:dyDescent="0.25">
      <c r="C421" s="86">
        <v>19550</v>
      </c>
      <c r="D421" s="17">
        <v>43071</v>
      </c>
      <c r="E421" s="3" t="s">
        <v>722</v>
      </c>
    </row>
    <row r="422" spans="1:7" x14ac:dyDescent="0.25">
      <c r="C422" s="3">
        <v>8299</v>
      </c>
      <c r="D422" s="17">
        <v>43074</v>
      </c>
      <c r="E422" s="3" t="s">
        <v>957</v>
      </c>
    </row>
    <row r="423" spans="1:7" x14ac:dyDescent="0.25">
      <c r="C423" s="3">
        <v>4505</v>
      </c>
      <c r="D423" s="17">
        <v>43075</v>
      </c>
      <c r="E423" s="3" t="s">
        <v>958</v>
      </c>
    </row>
    <row r="424" spans="1:7" x14ac:dyDescent="0.25">
      <c r="C424" s="3">
        <v>2105</v>
      </c>
      <c r="D424" s="17">
        <v>43074</v>
      </c>
      <c r="E424" s="3" t="s">
        <v>959</v>
      </c>
    </row>
    <row r="425" spans="1:7" x14ac:dyDescent="0.25">
      <c r="C425" s="3">
        <v>51060</v>
      </c>
      <c r="D425" s="17">
        <v>43077</v>
      </c>
    </row>
    <row r="426" spans="1:7" x14ac:dyDescent="0.25">
      <c r="C426" s="3">
        <v>6370</v>
      </c>
      <c r="D426" s="17">
        <v>43077</v>
      </c>
      <c r="E426" s="3" t="s">
        <v>721</v>
      </c>
    </row>
    <row r="427" spans="1:7" x14ac:dyDescent="0.25">
      <c r="B427" s="3">
        <f>SUM(B418:B426)</f>
        <v>446462.6</v>
      </c>
      <c r="C427" s="3">
        <f>SUM(C418:C426)</f>
        <v>446462</v>
      </c>
      <c r="E427" s="3">
        <f>C427-B427</f>
        <v>-0.59999999997671694</v>
      </c>
      <c r="F427" s="17">
        <v>43077</v>
      </c>
      <c r="G427" s="17">
        <v>43078</v>
      </c>
    </row>
    <row r="429" spans="1:7" x14ac:dyDescent="0.25">
      <c r="A429" t="s">
        <v>960</v>
      </c>
      <c r="B429" s="3">
        <v>424619</v>
      </c>
      <c r="C429" s="3">
        <v>14795</v>
      </c>
      <c r="D429" s="17">
        <v>43078</v>
      </c>
      <c r="E429" s="3" t="s">
        <v>961</v>
      </c>
    </row>
    <row r="430" spans="1:7" x14ac:dyDescent="0.25">
      <c r="C430" s="3">
        <v>42000</v>
      </c>
      <c r="D430" s="17">
        <v>43075</v>
      </c>
    </row>
    <row r="431" spans="1:7" x14ac:dyDescent="0.25">
      <c r="C431" s="3">
        <v>371000</v>
      </c>
      <c r="D431" s="17">
        <v>43078</v>
      </c>
      <c r="E431" s="3" t="s">
        <v>727</v>
      </c>
    </row>
    <row r="432" spans="1:7" x14ac:dyDescent="0.25">
      <c r="B432" s="3">
        <f>SUM(B429:B431)</f>
        <v>424619</v>
      </c>
      <c r="C432" s="3">
        <f>SUM(C429:C431)</f>
        <v>427795</v>
      </c>
      <c r="E432" s="9">
        <f>C432-B432</f>
        <v>3176</v>
      </c>
      <c r="F432" s="17">
        <v>43078</v>
      </c>
      <c r="G432" s="17">
        <v>43078</v>
      </c>
    </row>
    <row r="434" spans="1:7" x14ac:dyDescent="0.25">
      <c r="A434" t="s">
        <v>962</v>
      </c>
      <c r="B434" s="3">
        <v>20313.599999999999</v>
      </c>
      <c r="C434" s="3">
        <v>484000</v>
      </c>
      <c r="D434" s="17">
        <v>43080</v>
      </c>
      <c r="E434" s="3" t="s">
        <v>727</v>
      </c>
    </row>
    <row r="435" spans="1:7" x14ac:dyDescent="0.25">
      <c r="A435" t="s">
        <v>963</v>
      </c>
      <c r="B435" s="3">
        <v>476694</v>
      </c>
      <c r="C435" s="9">
        <v>3176</v>
      </c>
      <c r="D435" s="17">
        <v>43078</v>
      </c>
      <c r="E435" s="3" t="s">
        <v>722</v>
      </c>
    </row>
    <row r="436" spans="1:7" x14ac:dyDescent="0.25">
      <c r="C436" s="3">
        <v>58223</v>
      </c>
      <c r="D436" s="17">
        <v>43079</v>
      </c>
      <c r="E436" s="3" t="s">
        <v>964</v>
      </c>
    </row>
    <row r="437" spans="1:7" x14ac:dyDescent="0.25">
      <c r="B437" s="3">
        <f>SUM(B434:B436)</f>
        <v>497007.6</v>
      </c>
      <c r="C437" s="3">
        <f>SUM(C434:C436)</f>
        <v>545399</v>
      </c>
      <c r="E437" s="84">
        <f>C437-B437</f>
        <v>48391.400000000023</v>
      </c>
      <c r="F437" s="17">
        <v>43080</v>
      </c>
      <c r="G437" s="17">
        <v>43081</v>
      </c>
    </row>
    <row r="439" spans="1:7" x14ac:dyDescent="0.25">
      <c r="A439" t="s">
        <v>965</v>
      </c>
      <c r="B439" s="3">
        <v>13788.6</v>
      </c>
      <c r="C439" s="3">
        <v>59500</v>
      </c>
      <c r="D439" s="17">
        <v>43082</v>
      </c>
      <c r="E439" s="3" t="s">
        <v>966</v>
      </c>
    </row>
    <row r="440" spans="1:7" x14ac:dyDescent="0.25">
      <c r="A440" t="s">
        <v>967</v>
      </c>
      <c r="B440" s="3">
        <v>1152.4000000000001</v>
      </c>
      <c r="C440" s="3">
        <v>504000</v>
      </c>
      <c r="D440" s="17">
        <v>43082</v>
      </c>
      <c r="E440" s="3" t="s">
        <v>727</v>
      </c>
    </row>
    <row r="441" spans="1:7" x14ac:dyDescent="0.25">
      <c r="A441" t="s">
        <v>968</v>
      </c>
      <c r="B441" s="3">
        <v>424795</v>
      </c>
      <c r="C441" s="84">
        <v>48391.4</v>
      </c>
      <c r="D441" s="17">
        <v>43080</v>
      </c>
      <c r="E441" s="3" t="s">
        <v>722</v>
      </c>
    </row>
    <row r="442" spans="1:7" x14ac:dyDescent="0.25">
      <c r="A442" t="s">
        <v>969</v>
      </c>
      <c r="B442" s="3">
        <v>28598.2</v>
      </c>
      <c r="C442" s="3">
        <v>11575</v>
      </c>
      <c r="D442" s="17">
        <v>43080</v>
      </c>
      <c r="E442" s="72" t="s">
        <v>970</v>
      </c>
    </row>
    <row r="443" spans="1:7" x14ac:dyDescent="0.25">
      <c r="C443" s="3">
        <v>6363</v>
      </c>
      <c r="D443" s="17">
        <v>43081</v>
      </c>
      <c r="E443" s="3" t="s">
        <v>971</v>
      </c>
    </row>
    <row r="444" spans="1:7" x14ac:dyDescent="0.25">
      <c r="B444" s="3">
        <f>SUM(B439:B443)</f>
        <v>468334.2</v>
      </c>
      <c r="C444" s="3">
        <f>SUM(C439:C443)</f>
        <v>629829.4</v>
      </c>
      <c r="E444" s="4">
        <f>C444-B444</f>
        <v>161495.20000000001</v>
      </c>
      <c r="F444" s="17">
        <v>43082</v>
      </c>
      <c r="G444" s="17">
        <v>43082</v>
      </c>
    </row>
    <row r="446" spans="1:7" x14ac:dyDescent="0.25">
      <c r="A446" t="s">
        <v>972</v>
      </c>
      <c r="B446" s="3">
        <v>507744</v>
      </c>
      <c r="C446" s="3">
        <v>253000</v>
      </c>
      <c r="D446" s="17">
        <v>43083</v>
      </c>
      <c r="E446" s="3" t="s">
        <v>727</v>
      </c>
    </row>
    <row r="447" spans="1:7" x14ac:dyDescent="0.25">
      <c r="C447" s="3">
        <v>26274</v>
      </c>
      <c r="D447" s="17">
        <v>43084</v>
      </c>
    </row>
    <row r="448" spans="1:7" x14ac:dyDescent="0.25">
      <c r="C448" s="3">
        <v>5975</v>
      </c>
      <c r="D448" s="17">
        <v>43082</v>
      </c>
      <c r="E448" s="3" t="s">
        <v>973</v>
      </c>
    </row>
    <row r="449" spans="1:7" x14ac:dyDescent="0.25">
      <c r="C449" s="3">
        <v>61000</v>
      </c>
      <c r="D449" s="17">
        <v>43083</v>
      </c>
    </row>
    <row r="450" spans="1:7" x14ac:dyDescent="0.25">
      <c r="C450" s="4">
        <v>161495.20000000001</v>
      </c>
      <c r="D450" s="17">
        <v>43082</v>
      </c>
      <c r="E450" s="3" t="s">
        <v>722</v>
      </c>
    </row>
    <row r="451" spans="1:7" x14ac:dyDescent="0.25">
      <c r="B451" s="3">
        <f>SUM(B446:B450)</f>
        <v>507744</v>
      </c>
      <c r="C451" s="3">
        <f>SUM(C446:C450)</f>
        <v>507744.2</v>
      </c>
      <c r="E451" s="3">
        <f>C451-B451</f>
        <v>0.20000000001164153</v>
      </c>
      <c r="F451" s="17">
        <v>43083</v>
      </c>
      <c r="G451" s="17">
        <v>43084</v>
      </c>
    </row>
    <row r="453" spans="1:7" x14ac:dyDescent="0.25">
      <c r="A453" t="s">
        <v>974</v>
      </c>
      <c r="B453" s="3">
        <v>392958</v>
      </c>
      <c r="C453" s="3">
        <v>402000</v>
      </c>
      <c r="D453" s="17">
        <v>43084</v>
      </c>
      <c r="E453" s="3" t="s">
        <v>727</v>
      </c>
    </row>
    <row r="454" spans="1:7" x14ac:dyDescent="0.25">
      <c r="B454" s="3">
        <f>SUM(B453)</f>
        <v>392958</v>
      </c>
      <c r="C454" s="3">
        <f>SUM(C453)</f>
        <v>402000</v>
      </c>
      <c r="E454" s="94">
        <f>C454-B454</f>
        <v>9042</v>
      </c>
      <c r="F454" s="17">
        <v>43084</v>
      </c>
      <c r="G454" s="17">
        <v>43084</v>
      </c>
    </row>
    <row r="456" spans="1:7" x14ac:dyDescent="0.25">
      <c r="A456" t="s">
        <v>975</v>
      </c>
      <c r="B456" s="3">
        <v>427458</v>
      </c>
      <c r="C456" s="3">
        <v>457000</v>
      </c>
      <c r="D456" s="17">
        <v>43085</v>
      </c>
      <c r="E456" s="3" t="s">
        <v>727</v>
      </c>
    </row>
    <row r="457" spans="1:7" x14ac:dyDescent="0.25">
      <c r="A457" t="s">
        <v>976</v>
      </c>
      <c r="B457" s="3">
        <v>33872.300000000003</v>
      </c>
      <c r="C457" s="3">
        <v>10814</v>
      </c>
      <c r="D457" s="17">
        <v>43084</v>
      </c>
      <c r="E457" s="3" t="s">
        <v>977</v>
      </c>
    </row>
    <row r="458" spans="1:7" x14ac:dyDescent="0.25">
      <c r="B458" s="3">
        <f>SUM(B456:B457)</f>
        <v>461330.3</v>
      </c>
      <c r="C458" s="3">
        <f>SUM(C456:C457)</f>
        <v>467814</v>
      </c>
      <c r="E458" s="87">
        <f>C458-B458</f>
        <v>6483.7000000000116</v>
      </c>
      <c r="F458" s="17">
        <v>43087</v>
      </c>
      <c r="G458" s="17">
        <v>43084</v>
      </c>
    </row>
    <row r="459" spans="1:7" x14ac:dyDescent="0.25">
      <c r="F459" s="17"/>
      <c r="G459" s="17"/>
    </row>
    <row r="460" spans="1:7" x14ac:dyDescent="0.25">
      <c r="A460" t="s">
        <v>978</v>
      </c>
      <c r="B460" s="3">
        <v>44084.1</v>
      </c>
      <c r="C460" s="3">
        <v>500000</v>
      </c>
      <c r="D460" s="17">
        <v>43089</v>
      </c>
      <c r="E460" s="3" t="s">
        <v>727</v>
      </c>
    </row>
    <row r="461" spans="1:7" x14ac:dyDescent="0.25">
      <c r="A461" t="s">
        <v>979</v>
      </c>
      <c r="B461" s="3">
        <v>37456.800000000003</v>
      </c>
      <c r="C461" s="3">
        <v>437000</v>
      </c>
      <c r="D461" s="17">
        <v>43089</v>
      </c>
      <c r="E461" s="3" t="s">
        <v>727</v>
      </c>
    </row>
    <row r="462" spans="1:7" x14ac:dyDescent="0.25">
      <c r="A462" t="s">
        <v>980</v>
      </c>
      <c r="B462" s="3">
        <v>450378</v>
      </c>
      <c r="C462" s="3">
        <v>4676</v>
      </c>
      <c r="D462" s="17">
        <v>43087</v>
      </c>
      <c r="E462" s="3" t="s">
        <v>981</v>
      </c>
    </row>
    <row r="463" spans="1:7" x14ac:dyDescent="0.25">
      <c r="A463" t="s">
        <v>982</v>
      </c>
      <c r="B463" s="3">
        <v>410496</v>
      </c>
      <c r="C463" s="3">
        <v>739</v>
      </c>
      <c r="D463" s="17">
        <v>43089</v>
      </c>
      <c r="E463" s="3" t="s">
        <v>721</v>
      </c>
    </row>
    <row r="464" spans="1:7" x14ac:dyDescent="0.25">
      <c r="B464" s="3">
        <f>SUM(B460:B463)</f>
        <v>942414.9</v>
      </c>
      <c r="C464" s="3">
        <f>SUM(C460:C463)</f>
        <v>942415</v>
      </c>
      <c r="E464" s="3">
        <f>C464-B464</f>
        <v>9.9999999976716936E-2</v>
      </c>
      <c r="F464" s="17">
        <v>43089</v>
      </c>
      <c r="G464" s="17">
        <v>43090</v>
      </c>
    </row>
    <row r="466" spans="1:7" x14ac:dyDescent="0.25">
      <c r="A466" t="s">
        <v>983</v>
      </c>
      <c r="B466" s="3">
        <v>386304</v>
      </c>
      <c r="C466" s="3">
        <v>451000</v>
      </c>
      <c r="D466" s="17">
        <v>43090</v>
      </c>
      <c r="E466" s="3" t="s">
        <v>727</v>
      </c>
    </row>
    <row r="467" spans="1:7" x14ac:dyDescent="0.25">
      <c r="B467" s="3">
        <f>SUM(B466)</f>
        <v>386304</v>
      </c>
      <c r="C467" s="3">
        <f>SUM(C466)</f>
        <v>451000</v>
      </c>
      <c r="E467" s="76">
        <f>C467-B467</f>
        <v>64696</v>
      </c>
      <c r="F467" s="17">
        <v>43090</v>
      </c>
      <c r="G467" s="17">
        <v>43091</v>
      </c>
    </row>
    <row r="469" spans="1:7" x14ac:dyDescent="0.25">
      <c r="A469" t="s">
        <v>984</v>
      </c>
      <c r="B469" s="3">
        <v>437016</v>
      </c>
      <c r="C469" s="3">
        <v>8921</v>
      </c>
      <c r="D469" s="17">
        <v>43089</v>
      </c>
      <c r="E469" s="3" t="s">
        <v>985</v>
      </c>
    </row>
    <row r="470" spans="1:7" x14ac:dyDescent="0.25">
      <c r="C470" s="3">
        <v>11934</v>
      </c>
      <c r="D470" s="17">
        <v>43091</v>
      </c>
      <c r="E470" s="3" t="s">
        <v>986</v>
      </c>
    </row>
    <row r="471" spans="1:7" x14ac:dyDescent="0.25">
      <c r="C471" s="3">
        <v>24853</v>
      </c>
      <c r="D471" s="17">
        <v>43090</v>
      </c>
      <c r="E471" s="3" t="s">
        <v>987</v>
      </c>
    </row>
    <row r="472" spans="1:7" x14ac:dyDescent="0.25">
      <c r="C472" s="3">
        <v>100088</v>
      </c>
      <c r="D472" s="17">
        <v>43090</v>
      </c>
      <c r="E472" s="3" t="s">
        <v>988</v>
      </c>
    </row>
    <row r="473" spans="1:7" x14ac:dyDescent="0.25">
      <c r="C473" s="3">
        <v>93510</v>
      </c>
      <c r="E473" s="3" t="s">
        <v>989</v>
      </c>
    </row>
    <row r="474" spans="1:7" x14ac:dyDescent="0.25">
      <c r="C474" s="3">
        <v>31360</v>
      </c>
      <c r="D474" s="17">
        <v>43091</v>
      </c>
      <c r="E474" s="3" t="s">
        <v>990</v>
      </c>
    </row>
    <row r="475" spans="1:7" x14ac:dyDescent="0.25">
      <c r="C475" s="3">
        <v>11357</v>
      </c>
      <c r="D475" s="17">
        <v>43088</v>
      </c>
      <c r="E475" s="3" t="s">
        <v>991</v>
      </c>
    </row>
    <row r="476" spans="1:7" x14ac:dyDescent="0.25">
      <c r="C476" s="3">
        <v>4738</v>
      </c>
      <c r="D476" s="17">
        <v>43085</v>
      </c>
      <c r="E476" s="3" t="s">
        <v>992</v>
      </c>
    </row>
    <row r="477" spans="1:7" x14ac:dyDescent="0.25">
      <c r="C477" s="3">
        <v>8064</v>
      </c>
      <c r="D477" s="17">
        <v>43090</v>
      </c>
      <c r="E477" s="3" t="s">
        <v>993</v>
      </c>
    </row>
    <row r="478" spans="1:7" x14ac:dyDescent="0.25">
      <c r="C478" s="3">
        <v>42020</v>
      </c>
      <c r="D478" s="17">
        <v>43090</v>
      </c>
      <c r="E478" s="3" t="s">
        <v>722</v>
      </c>
    </row>
    <row r="479" spans="1:7" x14ac:dyDescent="0.25">
      <c r="C479" s="87">
        <v>6483.7</v>
      </c>
      <c r="D479" s="17">
        <v>43084</v>
      </c>
      <c r="E479" s="3" t="s">
        <v>722</v>
      </c>
    </row>
    <row r="480" spans="1:7" x14ac:dyDescent="0.25">
      <c r="C480" s="76">
        <v>64696</v>
      </c>
      <c r="D480" s="17">
        <v>43090</v>
      </c>
      <c r="E480" s="3" t="s">
        <v>722</v>
      </c>
    </row>
    <row r="481" spans="1:7" x14ac:dyDescent="0.25">
      <c r="C481" s="94">
        <v>9042</v>
      </c>
      <c r="D481" s="17">
        <v>43084</v>
      </c>
      <c r="E481" s="3" t="s">
        <v>722</v>
      </c>
    </row>
    <row r="482" spans="1:7" x14ac:dyDescent="0.25">
      <c r="C482" s="3">
        <v>46000</v>
      </c>
      <c r="D482" s="17">
        <v>43090</v>
      </c>
    </row>
    <row r="483" spans="1:7" x14ac:dyDescent="0.25">
      <c r="C483" s="3">
        <v>28250</v>
      </c>
      <c r="D483" s="17">
        <v>43090</v>
      </c>
    </row>
    <row r="484" spans="1:7" x14ac:dyDescent="0.25">
      <c r="B484" s="3">
        <f>SUM(B469:B483)</f>
        <v>437016</v>
      </c>
      <c r="C484" s="3">
        <f>SUM(C469:C483)</f>
        <v>491316.7</v>
      </c>
      <c r="E484" s="9">
        <f>C484-B484</f>
        <v>54300.700000000012</v>
      </c>
      <c r="F484" s="17">
        <v>43092</v>
      </c>
      <c r="G484" s="17">
        <v>43092</v>
      </c>
    </row>
    <row r="486" spans="1:7" x14ac:dyDescent="0.25">
      <c r="A486" t="s">
        <v>994</v>
      </c>
      <c r="B486" s="3">
        <v>61694.5</v>
      </c>
      <c r="C486" s="3">
        <v>500000</v>
      </c>
      <c r="D486" s="17">
        <v>43095</v>
      </c>
      <c r="E486" s="3" t="s">
        <v>727</v>
      </c>
    </row>
    <row r="487" spans="1:7" x14ac:dyDescent="0.25">
      <c r="A487" t="s">
        <v>995</v>
      </c>
      <c r="B487" s="3">
        <v>423844</v>
      </c>
      <c r="C487" s="3">
        <v>460000</v>
      </c>
      <c r="D487" s="17">
        <v>43095</v>
      </c>
      <c r="E487" s="3" t="s">
        <v>727</v>
      </c>
    </row>
    <row r="488" spans="1:7" x14ac:dyDescent="0.25">
      <c r="A488" t="s">
        <v>996</v>
      </c>
      <c r="B488" s="3">
        <v>750329</v>
      </c>
      <c r="C488" s="9">
        <v>384352</v>
      </c>
      <c r="D488" s="17">
        <v>43092</v>
      </c>
      <c r="E488" s="3" t="s">
        <v>722</v>
      </c>
      <c r="F488" t="s">
        <v>997</v>
      </c>
    </row>
    <row r="489" spans="1:7" x14ac:dyDescent="0.25">
      <c r="C489" s="9">
        <v>54300.7</v>
      </c>
      <c r="D489" s="17">
        <v>43092</v>
      </c>
      <c r="E489" s="3" t="s">
        <v>722</v>
      </c>
    </row>
    <row r="490" spans="1:7" x14ac:dyDescent="0.25">
      <c r="C490" s="3">
        <v>6435</v>
      </c>
      <c r="D490" s="17">
        <v>43095</v>
      </c>
      <c r="E490" s="3" t="s">
        <v>998</v>
      </c>
    </row>
    <row r="491" spans="1:7" x14ac:dyDescent="0.25">
      <c r="C491" s="3">
        <v>7647</v>
      </c>
      <c r="D491" s="17">
        <v>43095</v>
      </c>
      <c r="E491" s="3" t="s">
        <v>999</v>
      </c>
    </row>
    <row r="492" spans="1:7" x14ac:dyDescent="0.25">
      <c r="C492" s="3">
        <v>9341</v>
      </c>
      <c r="D492" s="17">
        <v>43092</v>
      </c>
      <c r="E492" s="3" t="s">
        <v>1000</v>
      </c>
    </row>
    <row r="493" spans="1:7" x14ac:dyDescent="0.25">
      <c r="B493" s="3">
        <f>SUM(B486:B490)</f>
        <v>1235867.5</v>
      </c>
      <c r="C493" s="3">
        <f>SUM(C486:C492)</f>
        <v>1422075.7</v>
      </c>
      <c r="E493" s="4">
        <f>C493-B493</f>
        <v>186208.19999999995</v>
      </c>
      <c r="F493" s="17">
        <v>43095</v>
      </c>
      <c r="G493" s="17">
        <v>43096</v>
      </c>
    </row>
    <row r="495" spans="1:7" x14ac:dyDescent="0.25">
      <c r="A495" t="s">
        <v>1001</v>
      </c>
      <c r="B495" s="3">
        <v>7361.2</v>
      </c>
      <c r="C495" s="3">
        <v>663000</v>
      </c>
      <c r="D495" s="17">
        <v>43097</v>
      </c>
      <c r="E495" s="3" t="s">
        <v>727</v>
      </c>
    </row>
    <row r="496" spans="1:7" x14ac:dyDescent="0.25">
      <c r="A496" t="s">
        <v>1002</v>
      </c>
      <c r="B496" s="3">
        <v>715139</v>
      </c>
      <c r="C496" s="4">
        <v>186208.2</v>
      </c>
      <c r="D496" s="17">
        <v>43095</v>
      </c>
      <c r="E496" s="3" t="s">
        <v>722</v>
      </c>
    </row>
    <row r="497" spans="1:7" x14ac:dyDescent="0.25">
      <c r="C497" s="3">
        <v>13832</v>
      </c>
      <c r="D497" s="17">
        <v>43093</v>
      </c>
      <c r="E497" s="3" t="s">
        <v>1003</v>
      </c>
    </row>
    <row r="498" spans="1:7" x14ac:dyDescent="0.25">
      <c r="C498" s="3">
        <v>12878</v>
      </c>
      <c r="D498" s="17">
        <v>43096</v>
      </c>
      <c r="E498" s="3" t="s">
        <v>1004</v>
      </c>
    </row>
    <row r="499" spans="1:7" x14ac:dyDescent="0.25">
      <c r="C499" s="3">
        <v>8714</v>
      </c>
      <c r="D499" s="17">
        <v>43096</v>
      </c>
      <c r="E499" s="3" t="s">
        <v>1005</v>
      </c>
    </row>
    <row r="500" spans="1:7" x14ac:dyDescent="0.25">
      <c r="C500" s="3">
        <v>21112</v>
      </c>
      <c r="D500" s="17">
        <v>43097</v>
      </c>
      <c r="E500" s="3" t="s">
        <v>1006</v>
      </c>
    </row>
    <row r="501" spans="1:7" x14ac:dyDescent="0.25">
      <c r="B501" s="3">
        <f>SUM(B495:B500)</f>
        <v>722500.2</v>
      </c>
      <c r="C501" s="3">
        <f>SUM(C495:C500)</f>
        <v>905744.2</v>
      </c>
      <c r="E501" s="20">
        <f>C501-B501</f>
        <v>183244</v>
      </c>
      <c r="F501" s="17">
        <v>43097</v>
      </c>
      <c r="G501" s="17">
        <v>43098</v>
      </c>
    </row>
    <row r="503" spans="1:7" x14ac:dyDescent="0.25">
      <c r="C503" s="3">
        <v>611000</v>
      </c>
      <c r="D503" s="17">
        <v>43463</v>
      </c>
      <c r="E503" s="3" t="s">
        <v>727</v>
      </c>
    </row>
    <row r="504" spans="1:7" x14ac:dyDescent="0.25">
      <c r="B504" s="3">
        <v>809884</v>
      </c>
      <c r="C504" s="20">
        <v>183244</v>
      </c>
      <c r="D504" s="17">
        <v>43097</v>
      </c>
      <c r="E504" s="3" t="s">
        <v>722</v>
      </c>
    </row>
    <row r="505" spans="1:7" x14ac:dyDescent="0.25">
      <c r="C505" s="3">
        <v>14300.3</v>
      </c>
    </row>
    <row r="506" spans="1:7" x14ac:dyDescent="0.25">
      <c r="C506" s="3">
        <v>1339.4</v>
      </c>
    </row>
    <row r="507" spans="1:7" x14ac:dyDescent="0.25">
      <c r="B507" s="3">
        <f>SUM(B503:B506)</f>
        <v>809884</v>
      </c>
      <c r="C507" s="3">
        <f>SUM(C503:C506)</f>
        <v>809883.70000000007</v>
      </c>
      <c r="E507" s="20">
        <f>C507-B507</f>
        <v>-0.29999999993015081</v>
      </c>
      <c r="F507" s="17">
        <v>43098</v>
      </c>
      <c r="G507" s="17">
        <v>43464</v>
      </c>
    </row>
    <row r="511" spans="1:7" x14ac:dyDescent="0.25">
      <c r="A511" t="s">
        <v>1007</v>
      </c>
      <c r="B511" s="3">
        <v>31646.19</v>
      </c>
      <c r="C511" s="3">
        <v>489000</v>
      </c>
      <c r="D511" s="17">
        <v>43099</v>
      </c>
      <c r="E511" s="3" t="s">
        <v>727</v>
      </c>
    </row>
    <row r="512" spans="1:7" x14ac:dyDescent="0.25">
      <c r="A512" t="s">
        <v>1008</v>
      </c>
      <c r="B512" s="3">
        <v>62073.8</v>
      </c>
    </row>
    <row r="513" spans="1:7" x14ac:dyDescent="0.25">
      <c r="B513" s="3">
        <f>SUM(B511:B512)</f>
        <v>93719.99</v>
      </c>
      <c r="C513" s="3">
        <f>SUM(C511:C512)</f>
        <v>489000</v>
      </c>
      <c r="E513" s="84">
        <f>C513-B513</f>
        <v>395280.01</v>
      </c>
      <c r="F513" s="17">
        <v>43099</v>
      </c>
      <c r="G513" s="17">
        <v>43103</v>
      </c>
    </row>
    <row r="515" spans="1:7" x14ac:dyDescent="0.25">
      <c r="A515" t="s">
        <v>1051</v>
      </c>
      <c r="B515" s="3">
        <v>22052.400000000001</v>
      </c>
      <c r="C515" s="3">
        <v>400000</v>
      </c>
      <c r="D515" s="17">
        <v>43103</v>
      </c>
      <c r="E515" s="3" t="s">
        <v>727</v>
      </c>
    </row>
    <row r="516" spans="1:7" x14ac:dyDescent="0.25">
      <c r="A516" t="s">
        <v>1052</v>
      </c>
      <c r="B516" s="3">
        <v>17796.63</v>
      </c>
      <c r="C516" s="3">
        <v>450000</v>
      </c>
      <c r="D516" s="17">
        <v>43103</v>
      </c>
      <c r="E516" s="3" t="s">
        <v>727</v>
      </c>
    </row>
    <row r="517" spans="1:7" x14ac:dyDescent="0.25">
      <c r="A517" t="s">
        <v>1053</v>
      </c>
      <c r="B517" s="3">
        <v>779864.5</v>
      </c>
      <c r="C517" s="3">
        <v>455000</v>
      </c>
      <c r="D517" s="17">
        <v>43103</v>
      </c>
      <c r="E517" s="3" t="s">
        <v>727</v>
      </c>
    </row>
    <row r="518" spans="1:7" x14ac:dyDescent="0.25">
      <c r="A518" t="s">
        <v>1054</v>
      </c>
      <c r="B518" s="3">
        <v>667527</v>
      </c>
      <c r="C518" s="84">
        <v>395280</v>
      </c>
      <c r="D518" s="17">
        <v>43099</v>
      </c>
      <c r="E518" s="3" t="s">
        <v>722</v>
      </c>
    </row>
    <row r="519" spans="1:7" x14ac:dyDescent="0.25">
      <c r="A519" t="s">
        <v>1055</v>
      </c>
      <c r="B519" s="3">
        <v>346800</v>
      </c>
      <c r="C519" s="3">
        <v>167951</v>
      </c>
      <c r="D519" s="17">
        <v>43098</v>
      </c>
      <c r="E519" s="3" t="s">
        <v>1058</v>
      </c>
    </row>
    <row r="520" spans="1:7" x14ac:dyDescent="0.25">
      <c r="C520" s="3">
        <v>13038</v>
      </c>
      <c r="D520" s="17">
        <v>43099</v>
      </c>
      <c r="E520" s="3" t="s">
        <v>1056</v>
      </c>
    </row>
    <row r="521" spans="1:7" x14ac:dyDescent="0.25">
      <c r="C521" s="3">
        <v>2073</v>
      </c>
      <c r="D521" s="17">
        <v>43099</v>
      </c>
      <c r="E521" s="3" t="s">
        <v>1057</v>
      </c>
    </row>
    <row r="522" spans="1:7" x14ac:dyDescent="0.25">
      <c r="B522" s="3">
        <f>SUM(B515:B521)</f>
        <v>1834040.53</v>
      </c>
      <c r="C522" s="3">
        <f>SUM(C515:C521)</f>
        <v>1883342</v>
      </c>
      <c r="E522" s="127">
        <f>C522-B522</f>
        <v>49301.469999999972</v>
      </c>
      <c r="F522" s="17">
        <v>43103</v>
      </c>
      <c r="G522" s="17">
        <v>43105</v>
      </c>
    </row>
    <row r="524" spans="1:7" x14ac:dyDescent="0.25">
      <c r="A524" t="s">
        <v>1066</v>
      </c>
      <c r="B524" s="3">
        <v>407924</v>
      </c>
      <c r="C524" s="3">
        <v>500000</v>
      </c>
      <c r="D524" s="17">
        <v>43106</v>
      </c>
      <c r="E524" s="3" t="s">
        <v>823</v>
      </c>
    </row>
    <row r="525" spans="1:7" x14ac:dyDescent="0.25">
      <c r="A525" t="s">
        <v>1067</v>
      </c>
      <c r="B525" s="3">
        <v>444800</v>
      </c>
      <c r="C525" s="3">
        <v>534000</v>
      </c>
      <c r="D525" s="17">
        <v>43106</v>
      </c>
      <c r="E525" s="3" t="s">
        <v>823</v>
      </c>
    </row>
    <row r="526" spans="1:7" x14ac:dyDescent="0.25">
      <c r="B526" s="3">
        <f>SUM(B524:B525)</f>
        <v>852724</v>
      </c>
      <c r="C526" s="3">
        <f>SUM(C524:C525)</f>
        <v>1034000</v>
      </c>
      <c r="E526" s="83">
        <f>C526-B526</f>
        <v>181276</v>
      </c>
      <c r="F526" s="17">
        <v>43106</v>
      </c>
      <c r="G526" s="17">
        <v>43106</v>
      </c>
    </row>
    <row r="528" spans="1:7" x14ac:dyDescent="0.25">
      <c r="A528" t="s">
        <v>1069</v>
      </c>
      <c r="B528" s="3">
        <v>420800</v>
      </c>
      <c r="C528" s="3">
        <v>89000</v>
      </c>
      <c r="D528" s="17">
        <v>43102</v>
      </c>
    </row>
    <row r="529" spans="1:16" x14ac:dyDescent="0.25">
      <c r="C529" s="83">
        <v>181276</v>
      </c>
      <c r="D529" s="17">
        <v>43106</v>
      </c>
      <c r="E529" s="3" t="s">
        <v>722</v>
      </c>
    </row>
    <row r="530" spans="1:16" x14ac:dyDescent="0.25">
      <c r="C530" s="3">
        <v>5734</v>
      </c>
      <c r="D530" s="17">
        <v>43102</v>
      </c>
      <c r="E530" s="3" t="s">
        <v>1070</v>
      </c>
    </row>
    <row r="531" spans="1:16" x14ac:dyDescent="0.25">
      <c r="C531" s="3">
        <v>24940</v>
      </c>
      <c r="D531" s="17">
        <v>43106</v>
      </c>
      <c r="E531" s="3" t="s">
        <v>1071</v>
      </c>
    </row>
    <row r="532" spans="1:16" x14ac:dyDescent="0.25">
      <c r="C532" s="3">
        <v>28080</v>
      </c>
      <c r="D532" t="s">
        <v>1072</v>
      </c>
      <c r="E532" s="3" t="s">
        <v>1073</v>
      </c>
    </row>
    <row r="533" spans="1:16" x14ac:dyDescent="0.25">
      <c r="C533" s="3">
        <v>54559</v>
      </c>
      <c r="D533" s="17">
        <v>43106</v>
      </c>
      <c r="E533" s="3" t="s">
        <v>1074</v>
      </c>
    </row>
    <row r="534" spans="1:16" x14ac:dyDescent="0.25">
      <c r="C534" s="3">
        <v>28366</v>
      </c>
      <c r="D534" s="17">
        <v>43104</v>
      </c>
      <c r="E534" s="3" t="s">
        <v>1075</v>
      </c>
    </row>
    <row r="535" spans="1:16" x14ac:dyDescent="0.25">
      <c r="C535" s="3">
        <v>45888</v>
      </c>
      <c r="D535" s="17">
        <v>43106</v>
      </c>
      <c r="E535" s="3" t="s">
        <v>1076</v>
      </c>
    </row>
    <row r="536" spans="1:16" x14ac:dyDescent="0.25">
      <c r="C536" s="3">
        <v>6384</v>
      </c>
      <c r="D536" s="17">
        <v>43105</v>
      </c>
      <c r="E536" s="3" t="s">
        <v>1077</v>
      </c>
    </row>
    <row r="537" spans="1:16" x14ac:dyDescent="0.25">
      <c r="B537" s="3">
        <f>SUM(B528:B536)</f>
        <v>420800</v>
      </c>
      <c r="C537" s="3">
        <f>SUM(C528:C536)</f>
        <v>464227</v>
      </c>
      <c r="E537" s="88">
        <f>C537-B537</f>
        <v>43427</v>
      </c>
      <c r="F537" s="17">
        <v>43106</v>
      </c>
      <c r="G537" s="17">
        <v>43106</v>
      </c>
    </row>
    <row r="539" spans="1:16" x14ac:dyDescent="0.25">
      <c r="A539" t="s">
        <v>1142</v>
      </c>
      <c r="B539" s="3">
        <v>247845</v>
      </c>
      <c r="C539" s="3">
        <v>458000</v>
      </c>
      <c r="D539" s="17">
        <v>43109</v>
      </c>
      <c r="E539" s="3" t="s">
        <v>727</v>
      </c>
    </row>
    <row r="540" spans="1:16" x14ac:dyDescent="0.25">
      <c r="A540" t="s">
        <v>1143</v>
      </c>
      <c r="B540" s="3">
        <v>495200</v>
      </c>
      <c r="C540" s="3">
        <v>500000</v>
      </c>
      <c r="D540" s="17">
        <v>43109</v>
      </c>
      <c r="E540" s="3" t="s">
        <v>727</v>
      </c>
    </row>
    <row r="541" spans="1:16" x14ac:dyDescent="0.25">
      <c r="A541" t="s">
        <v>1144</v>
      </c>
      <c r="B541" s="3">
        <v>25734.400000000001</v>
      </c>
    </row>
    <row r="542" spans="1:16" x14ac:dyDescent="0.25">
      <c r="A542" t="s">
        <v>1145</v>
      </c>
      <c r="B542" s="3">
        <v>20927.7</v>
      </c>
    </row>
    <row r="543" spans="1:16" x14ac:dyDescent="0.25">
      <c r="B543" s="3">
        <f>SUM(B539:B542)</f>
        <v>789707.1</v>
      </c>
      <c r="C543" s="3">
        <f>SUM(C539:C542)</f>
        <v>958000</v>
      </c>
      <c r="E543" s="4">
        <f>C543-B543</f>
        <v>168292.90000000002</v>
      </c>
      <c r="F543" s="17">
        <v>43109</v>
      </c>
      <c r="G543" s="17">
        <v>43110</v>
      </c>
      <c r="I543" s="3">
        <v>168292.9</v>
      </c>
      <c r="J543" s="17">
        <v>43109</v>
      </c>
      <c r="K543" s="17">
        <v>43110</v>
      </c>
      <c r="L543" s="9">
        <v>72050</v>
      </c>
      <c r="M543" s="17">
        <v>43150</v>
      </c>
      <c r="N543" s="17">
        <v>43152</v>
      </c>
      <c r="O543" s="139">
        <f>I543-L543</f>
        <v>96242.9</v>
      </c>
      <c r="P543" s="17">
        <v>43271</v>
      </c>
    </row>
    <row r="545" spans="1:9" x14ac:dyDescent="0.25">
      <c r="A545" t="s">
        <v>1177</v>
      </c>
      <c r="B545" s="3">
        <v>44520</v>
      </c>
      <c r="C545" s="3">
        <v>253000</v>
      </c>
      <c r="D545" s="17">
        <v>43111</v>
      </c>
      <c r="E545" s="3" t="s">
        <v>727</v>
      </c>
    </row>
    <row r="546" spans="1:9" x14ac:dyDescent="0.25">
      <c r="A546" t="s">
        <v>1178</v>
      </c>
      <c r="B546" s="3">
        <v>9696.7999999999993</v>
      </c>
      <c r="C546" s="3">
        <v>460000</v>
      </c>
      <c r="D546" s="17">
        <v>43111</v>
      </c>
      <c r="E546" s="3" t="s">
        <v>727</v>
      </c>
    </row>
    <row r="547" spans="1:9" x14ac:dyDescent="0.25">
      <c r="A547" t="s">
        <v>1179</v>
      </c>
      <c r="B547" s="3">
        <v>34371.199999999997</v>
      </c>
    </row>
    <row r="548" spans="1:9" x14ac:dyDescent="0.25">
      <c r="A548" t="s">
        <v>1180</v>
      </c>
      <c r="B548" s="3">
        <v>274113</v>
      </c>
    </row>
    <row r="549" spans="1:9" x14ac:dyDescent="0.25">
      <c r="A549" t="s">
        <v>1181</v>
      </c>
      <c r="B549" s="3">
        <v>249148</v>
      </c>
    </row>
    <row r="550" spans="1:9" x14ac:dyDescent="0.25">
      <c r="B550" s="3">
        <f>SUM(B545:B549)</f>
        <v>611849</v>
      </c>
      <c r="C550" s="3">
        <f>SUM(C545:C549)</f>
        <v>713000</v>
      </c>
      <c r="E550" s="18">
        <f>C550-B550</f>
        <v>101151</v>
      </c>
      <c r="F550" s="17">
        <v>43112</v>
      </c>
      <c r="G550" s="17">
        <v>43112</v>
      </c>
    </row>
    <row r="551" spans="1:9" x14ac:dyDescent="0.25">
      <c r="H551" s="15" t="s">
        <v>1400</v>
      </c>
      <c r="I551" s="15"/>
    </row>
    <row r="552" spans="1:9" x14ac:dyDescent="0.25">
      <c r="A552" t="s">
        <v>1242</v>
      </c>
      <c r="B552" s="3">
        <v>461643</v>
      </c>
      <c r="C552" s="3">
        <v>500000</v>
      </c>
      <c r="D552" s="17">
        <v>43117</v>
      </c>
      <c r="E552" s="3" t="s">
        <v>727</v>
      </c>
    </row>
    <row r="553" spans="1:9" x14ac:dyDescent="0.25">
      <c r="A553" t="s">
        <v>1243</v>
      </c>
      <c r="B553" s="3">
        <v>331600</v>
      </c>
      <c r="C553" s="3">
        <v>437000</v>
      </c>
      <c r="D553" s="17">
        <v>43117</v>
      </c>
      <c r="E553" s="3" t="s">
        <v>727</v>
      </c>
    </row>
    <row r="554" spans="1:9" x14ac:dyDescent="0.25">
      <c r="B554" s="3">
        <f>SUM(B552:B553)</f>
        <v>793243</v>
      </c>
      <c r="C554" s="3">
        <f>SUM(C552:C553)</f>
        <v>937000</v>
      </c>
      <c r="E554" s="20">
        <f>C554-B554</f>
        <v>143757</v>
      </c>
      <c r="F554" s="17">
        <v>43117</v>
      </c>
      <c r="G554" s="17">
        <v>43117</v>
      </c>
    </row>
    <row r="556" spans="1:9" x14ac:dyDescent="0.25">
      <c r="A556" t="s">
        <v>1268</v>
      </c>
      <c r="B556" s="3">
        <v>251138</v>
      </c>
      <c r="C556" s="3">
        <v>235000</v>
      </c>
      <c r="D556" s="17">
        <v>43118</v>
      </c>
      <c r="E556" s="3" t="s">
        <v>727</v>
      </c>
    </row>
    <row r="557" spans="1:9" x14ac:dyDescent="0.25">
      <c r="C557" s="3">
        <v>16138</v>
      </c>
      <c r="D557" s="17">
        <v>43119</v>
      </c>
    </row>
    <row r="558" spans="1:9" x14ac:dyDescent="0.25">
      <c r="B558" s="3">
        <f>SUM(B556:B557)</f>
        <v>251138</v>
      </c>
      <c r="C558" s="3">
        <f>SUM(C556:C557)</f>
        <v>251138</v>
      </c>
      <c r="E558" s="3">
        <f>C558-B558</f>
        <v>0</v>
      </c>
      <c r="F558" s="17">
        <v>43118</v>
      </c>
      <c r="G558" s="17">
        <v>43120</v>
      </c>
    </row>
    <row r="560" spans="1:9" x14ac:dyDescent="0.25">
      <c r="A560" t="s">
        <v>1288</v>
      </c>
      <c r="B560" s="3">
        <v>8085</v>
      </c>
      <c r="C560" s="3">
        <v>720000</v>
      </c>
      <c r="D560" s="17">
        <v>43120</v>
      </c>
      <c r="E560" s="3" t="s">
        <v>727</v>
      </c>
    </row>
    <row r="561" spans="1:9" x14ac:dyDescent="0.25">
      <c r="A561" t="s">
        <v>1289</v>
      </c>
      <c r="B561" s="3">
        <v>513718</v>
      </c>
    </row>
    <row r="562" spans="1:9" x14ac:dyDescent="0.25">
      <c r="B562" s="3">
        <f>SUM(B560:B561)</f>
        <v>521803</v>
      </c>
      <c r="C562" s="3">
        <f>SUM(C560:C561)</f>
        <v>720000</v>
      </c>
      <c r="E562" s="20">
        <f>C562-B562</f>
        <v>198197</v>
      </c>
      <c r="F562" s="17">
        <v>43120</v>
      </c>
      <c r="G562" s="17">
        <v>43122</v>
      </c>
      <c r="I562" s="14" t="s">
        <v>2958</v>
      </c>
    </row>
    <row r="564" spans="1:9" x14ac:dyDescent="0.25">
      <c r="A564" t="s">
        <v>1305</v>
      </c>
      <c r="B564" s="3">
        <v>272630</v>
      </c>
      <c r="C564" s="3">
        <v>9335</v>
      </c>
      <c r="D564" s="17">
        <v>43122</v>
      </c>
      <c r="E564" s="3" t="s">
        <v>1308</v>
      </c>
    </row>
    <row r="565" spans="1:9" x14ac:dyDescent="0.25">
      <c r="A565" t="s">
        <v>1306</v>
      </c>
      <c r="B565" s="3">
        <v>482565</v>
      </c>
      <c r="C565" s="3">
        <v>5247</v>
      </c>
      <c r="D565" s="17">
        <v>43109</v>
      </c>
      <c r="E565" s="3" t="s">
        <v>1309</v>
      </c>
    </row>
    <row r="566" spans="1:9" x14ac:dyDescent="0.25">
      <c r="A566" t="s">
        <v>1307</v>
      </c>
      <c r="B566" s="3">
        <v>12654.6</v>
      </c>
      <c r="C566" s="3">
        <v>16288</v>
      </c>
      <c r="D566" s="17">
        <v>43108</v>
      </c>
      <c r="E566" s="3" t="s">
        <v>1310</v>
      </c>
    </row>
    <row r="567" spans="1:9" x14ac:dyDescent="0.25">
      <c r="C567" s="3">
        <v>8606</v>
      </c>
      <c r="D567" s="17">
        <v>43111</v>
      </c>
      <c r="E567" s="3" t="s">
        <v>1311</v>
      </c>
    </row>
    <row r="568" spans="1:9" x14ac:dyDescent="0.25">
      <c r="C568" s="3">
        <v>18163</v>
      </c>
      <c r="D568" s="17">
        <v>43109</v>
      </c>
      <c r="E568" s="3" t="s">
        <v>1312</v>
      </c>
    </row>
    <row r="569" spans="1:9" x14ac:dyDescent="0.25">
      <c r="C569" s="3">
        <v>4533</v>
      </c>
      <c r="D569" s="17">
        <v>43115</v>
      </c>
      <c r="E569" s="3" t="s">
        <v>1313</v>
      </c>
    </row>
    <row r="570" spans="1:9" x14ac:dyDescent="0.25">
      <c r="C570" s="3">
        <v>12068</v>
      </c>
      <c r="D570" s="17">
        <v>43113</v>
      </c>
      <c r="E570" s="3" t="s">
        <v>1314</v>
      </c>
    </row>
    <row r="571" spans="1:9" x14ac:dyDescent="0.25">
      <c r="C571" s="3">
        <v>5348</v>
      </c>
      <c r="D571" s="17">
        <v>43118</v>
      </c>
      <c r="E571" s="3" t="s">
        <v>1315</v>
      </c>
    </row>
    <row r="572" spans="1:9" x14ac:dyDescent="0.25">
      <c r="C572" s="3">
        <v>685000</v>
      </c>
      <c r="D572" s="17">
        <v>43123</v>
      </c>
      <c r="E572" s="3" t="s">
        <v>727</v>
      </c>
    </row>
    <row r="573" spans="1:9" x14ac:dyDescent="0.25">
      <c r="C573" s="3">
        <v>3262</v>
      </c>
      <c r="D573" s="17">
        <v>43123</v>
      </c>
      <c r="E573" s="3" t="s">
        <v>721</v>
      </c>
    </row>
    <row r="574" spans="1:9" x14ac:dyDescent="0.25">
      <c r="B574" s="3">
        <f>SUM(B564:B572)</f>
        <v>767849.6</v>
      </c>
      <c r="C574" s="3">
        <f>SUM(C564:C573)</f>
        <v>767850</v>
      </c>
      <c r="E574" s="3">
        <f>C574-B574</f>
        <v>0.40000000002328306</v>
      </c>
      <c r="F574" s="17">
        <v>43123</v>
      </c>
      <c r="G574" s="17">
        <v>43124</v>
      </c>
    </row>
    <row r="576" spans="1:9" x14ac:dyDescent="0.25">
      <c r="A576" t="s">
        <v>1395</v>
      </c>
      <c r="B576" s="3">
        <v>500286</v>
      </c>
      <c r="C576" s="3">
        <v>349000</v>
      </c>
      <c r="D576" s="17">
        <v>43127</v>
      </c>
      <c r="E576" s="3" t="s">
        <v>727</v>
      </c>
    </row>
    <row r="577" spans="1:7" x14ac:dyDescent="0.25">
      <c r="A577" t="s">
        <v>1396</v>
      </c>
      <c r="B577" s="3">
        <v>288152</v>
      </c>
      <c r="C577" s="3">
        <v>300000</v>
      </c>
      <c r="D577" s="17">
        <v>43127</v>
      </c>
      <c r="E577" s="3" t="s">
        <v>727</v>
      </c>
    </row>
    <row r="578" spans="1:7" x14ac:dyDescent="0.25">
      <c r="A578" t="s">
        <v>1397</v>
      </c>
      <c r="B578" s="3">
        <v>513022</v>
      </c>
      <c r="C578" s="3">
        <v>609000</v>
      </c>
      <c r="D578" s="17">
        <v>43125</v>
      </c>
      <c r="E578" s="3" t="s">
        <v>727</v>
      </c>
    </row>
    <row r="579" spans="1:7" x14ac:dyDescent="0.25">
      <c r="A579" t="s">
        <v>1398</v>
      </c>
      <c r="B579" s="3">
        <v>470436</v>
      </c>
      <c r="C579" s="3">
        <v>167000</v>
      </c>
      <c r="D579" s="17">
        <v>43125</v>
      </c>
      <c r="E579" s="3" t="s">
        <v>727</v>
      </c>
    </row>
    <row r="580" spans="1:7" x14ac:dyDescent="0.25">
      <c r="C580" s="3">
        <v>4114</v>
      </c>
      <c r="D580" s="17">
        <v>43126</v>
      </c>
      <c r="E580" s="3" t="s">
        <v>1399</v>
      </c>
    </row>
    <row r="581" spans="1:7" x14ac:dyDescent="0.25">
      <c r="C581" s="127">
        <v>49301.47</v>
      </c>
      <c r="D581" s="17">
        <v>43103</v>
      </c>
      <c r="E581" s="3" t="s">
        <v>722</v>
      </c>
    </row>
    <row r="582" spans="1:7" x14ac:dyDescent="0.25">
      <c r="C582" s="18">
        <v>101151</v>
      </c>
      <c r="D582" s="17">
        <v>43112</v>
      </c>
      <c r="E582" s="3" t="s">
        <v>722</v>
      </c>
    </row>
    <row r="583" spans="1:7" x14ac:dyDescent="0.25">
      <c r="C583" s="86">
        <v>42694</v>
      </c>
      <c r="D583" s="17">
        <v>43115</v>
      </c>
      <c r="E583" s="3" t="s">
        <v>722</v>
      </c>
    </row>
    <row r="584" spans="1:7" x14ac:dyDescent="0.25">
      <c r="C584" s="20">
        <v>143757</v>
      </c>
      <c r="D584" s="17">
        <v>43117</v>
      </c>
      <c r="E584" s="3" t="s">
        <v>722</v>
      </c>
    </row>
    <row r="585" spans="1:7" x14ac:dyDescent="0.25">
      <c r="C585" s="3">
        <v>11500</v>
      </c>
      <c r="D585" s="17">
        <v>43127</v>
      </c>
      <c r="E585" s="84" t="s">
        <v>721</v>
      </c>
    </row>
    <row r="586" spans="1:7" x14ac:dyDescent="0.25">
      <c r="B586" s="3">
        <f>SUM(B576:B585)</f>
        <v>1771896</v>
      </c>
      <c r="C586" s="3">
        <f>SUM(C576:C585)</f>
        <v>1777517.47</v>
      </c>
      <c r="E586" s="84">
        <f>C586-B586</f>
        <v>5621.4699999999721</v>
      </c>
      <c r="F586" s="17">
        <v>43127</v>
      </c>
      <c r="G586" s="17">
        <v>43131</v>
      </c>
    </row>
    <row r="588" spans="1:7" x14ac:dyDescent="0.25">
      <c r="A588" t="s">
        <v>1425</v>
      </c>
      <c r="B588" s="3">
        <v>484058</v>
      </c>
      <c r="C588" s="3">
        <v>661000</v>
      </c>
      <c r="D588" s="17">
        <v>43131</v>
      </c>
      <c r="E588" s="3" t="s">
        <v>727</v>
      </c>
    </row>
    <row r="589" spans="1:7" x14ac:dyDescent="0.25">
      <c r="A589" t="s">
        <v>1426</v>
      </c>
      <c r="B589" s="3">
        <v>240688</v>
      </c>
      <c r="C589" s="3">
        <v>50400</v>
      </c>
      <c r="D589" s="17">
        <v>43132</v>
      </c>
    </row>
    <row r="590" spans="1:7" x14ac:dyDescent="0.25">
      <c r="C590" s="3">
        <v>12958</v>
      </c>
      <c r="D590" s="17">
        <v>43130</v>
      </c>
      <c r="E590" s="3" t="s">
        <v>1427</v>
      </c>
    </row>
    <row r="591" spans="1:7" x14ac:dyDescent="0.25">
      <c r="C591" s="84">
        <v>5621.47</v>
      </c>
      <c r="D591" s="17">
        <v>43127</v>
      </c>
      <c r="E591" s="3" t="s">
        <v>722</v>
      </c>
    </row>
    <row r="592" spans="1:7" x14ac:dyDescent="0.25">
      <c r="B592" s="3">
        <f>SUM(B588:B591)</f>
        <v>724746</v>
      </c>
      <c r="C592" s="3">
        <f>SUM(C588:C591)</f>
        <v>729979.47</v>
      </c>
      <c r="E592" s="88">
        <f>C592-B592</f>
        <v>5233.4699999999721</v>
      </c>
      <c r="F592" s="17">
        <v>43132</v>
      </c>
      <c r="G592" s="17">
        <v>43132</v>
      </c>
    </row>
    <row r="594" spans="1:7" x14ac:dyDescent="0.25">
      <c r="A594" t="s">
        <v>1472</v>
      </c>
      <c r="B594" s="3">
        <v>13358.4</v>
      </c>
      <c r="C594" s="3">
        <v>649000</v>
      </c>
      <c r="D594" s="17">
        <v>43133</v>
      </c>
      <c r="E594" s="3" t="s">
        <v>727</v>
      </c>
      <c r="F594" t="s">
        <v>1473</v>
      </c>
    </row>
    <row r="595" spans="1:7" x14ac:dyDescent="0.25">
      <c r="A595" t="s">
        <v>1474</v>
      </c>
      <c r="B595" s="3">
        <v>17922.7</v>
      </c>
      <c r="C595" s="3">
        <v>462000</v>
      </c>
      <c r="D595" s="17">
        <v>43134</v>
      </c>
      <c r="E595" s="3" t="s">
        <v>727</v>
      </c>
    </row>
    <row r="596" spans="1:7" x14ac:dyDescent="0.25">
      <c r="A596" t="s">
        <v>1475</v>
      </c>
      <c r="B596" s="3">
        <v>468356</v>
      </c>
    </row>
    <row r="597" spans="1:7" x14ac:dyDescent="0.25">
      <c r="A597" t="s">
        <v>1476</v>
      </c>
      <c r="B597" s="3">
        <v>9525.6</v>
      </c>
    </row>
    <row r="598" spans="1:7" x14ac:dyDescent="0.25">
      <c r="A598" t="s">
        <v>1477</v>
      </c>
      <c r="B598" s="3">
        <v>441562.5</v>
      </c>
    </row>
    <row r="599" spans="1:7" x14ac:dyDescent="0.25">
      <c r="B599" s="3">
        <f>SUM(B594:B598)</f>
        <v>950725.2</v>
      </c>
      <c r="C599" s="3">
        <f>SUM(C594:C598)</f>
        <v>1111000</v>
      </c>
      <c r="E599" s="89">
        <f>C599-B599-E600</f>
        <v>144407.70000000004</v>
      </c>
      <c r="F599" s="17">
        <v>43133</v>
      </c>
      <c r="G599" s="17">
        <v>43134</v>
      </c>
    </row>
    <row r="600" spans="1:7" x14ac:dyDescent="0.25">
      <c r="E600" s="130">
        <v>15867.1</v>
      </c>
      <c r="F600" s="17">
        <v>43134</v>
      </c>
      <c r="G600" s="17">
        <v>43134</v>
      </c>
    </row>
    <row r="602" spans="1:7" x14ac:dyDescent="0.25">
      <c r="A602" t="s">
        <v>1493</v>
      </c>
      <c r="B602" s="3">
        <v>243202</v>
      </c>
      <c r="C602" s="89">
        <v>144407.70000000001</v>
      </c>
      <c r="D602" s="17">
        <v>43133</v>
      </c>
      <c r="E602" s="3" t="s">
        <v>722</v>
      </c>
    </row>
    <row r="603" spans="1:7" x14ac:dyDescent="0.25">
      <c r="A603" t="s">
        <v>1494</v>
      </c>
      <c r="B603" s="3">
        <v>48592.800000000003</v>
      </c>
      <c r="C603" s="88">
        <v>5233.47</v>
      </c>
      <c r="D603" s="17">
        <v>43132</v>
      </c>
      <c r="E603" s="3" t="s">
        <v>722</v>
      </c>
    </row>
    <row r="604" spans="1:7" x14ac:dyDescent="0.25">
      <c r="C604" s="130">
        <v>15867.1</v>
      </c>
      <c r="D604" s="17">
        <v>43134</v>
      </c>
      <c r="E604" s="3" t="s">
        <v>722</v>
      </c>
    </row>
    <row r="605" spans="1:7" x14ac:dyDescent="0.25">
      <c r="C605" s="3">
        <v>60924</v>
      </c>
      <c r="D605" s="17">
        <v>43137</v>
      </c>
    </row>
    <row r="606" spans="1:7" x14ac:dyDescent="0.25">
      <c r="C606" s="3">
        <v>31000</v>
      </c>
      <c r="D606" s="17">
        <v>43137</v>
      </c>
    </row>
    <row r="607" spans="1:7" x14ac:dyDescent="0.25">
      <c r="C607" s="3">
        <v>25605</v>
      </c>
      <c r="D607" s="17">
        <v>43134</v>
      </c>
      <c r="E607" s="3" t="s">
        <v>1495</v>
      </c>
    </row>
    <row r="608" spans="1:7" x14ac:dyDescent="0.25">
      <c r="C608" s="3">
        <v>8758</v>
      </c>
      <c r="D608" s="17">
        <v>43134</v>
      </c>
      <c r="E608" s="3" t="s">
        <v>1496</v>
      </c>
    </row>
    <row r="609" spans="1:7" x14ac:dyDescent="0.25">
      <c r="B609" s="3">
        <f>SUM(B602:B608)</f>
        <v>291794.8</v>
      </c>
      <c r="C609" s="3">
        <f>SUM(C602:C608)</f>
        <v>291795.27</v>
      </c>
      <c r="E609" s="3">
        <f>C609-B609</f>
        <v>0.47000000003026798</v>
      </c>
      <c r="F609" s="17">
        <v>43137</v>
      </c>
      <c r="G609" s="17">
        <v>43138</v>
      </c>
    </row>
    <row r="611" spans="1:7" x14ac:dyDescent="0.25">
      <c r="A611" t="s">
        <v>1497</v>
      </c>
      <c r="B611" s="3">
        <v>40078.800000000003</v>
      </c>
      <c r="C611" s="3">
        <v>530000</v>
      </c>
      <c r="D611" s="17">
        <v>43137</v>
      </c>
      <c r="E611" s="3" t="s">
        <v>727</v>
      </c>
    </row>
    <row r="612" spans="1:7" x14ac:dyDescent="0.25">
      <c r="A612" t="s">
        <v>1498</v>
      </c>
      <c r="B612" s="3">
        <v>443304</v>
      </c>
    </row>
    <row r="613" spans="1:7" x14ac:dyDescent="0.25">
      <c r="B613" s="3">
        <f>SUM(B611:B612)</f>
        <v>483382.8</v>
      </c>
      <c r="C613" s="3">
        <f>SUM(C611:C612)</f>
        <v>530000</v>
      </c>
      <c r="E613" s="20">
        <f>C613-B613</f>
        <v>46617.200000000012</v>
      </c>
      <c r="F613" s="17">
        <v>43137</v>
      </c>
      <c r="G613" s="17">
        <v>43138</v>
      </c>
    </row>
    <row r="615" spans="1:7" x14ac:dyDescent="0.25">
      <c r="A615" t="s">
        <v>1526</v>
      </c>
      <c r="B615" s="3">
        <v>70382.5</v>
      </c>
      <c r="C615" s="20">
        <v>46617.2</v>
      </c>
      <c r="D615" s="17">
        <v>43137</v>
      </c>
      <c r="E615" s="3" t="s">
        <v>722</v>
      </c>
    </row>
    <row r="616" spans="1:7" x14ac:dyDescent="0.25">
      <c r="C616" s="3">
        <v>5902</v>
      </c>
      <c r="D616" s="17">
        <v>43136</v>
      </c>
      <c r="E616" s="3" t="s">
        <v>1527</v>
      </c>
    </row>
    <row r="617" spans="1:7" x14ac:dyDescent="0.25">
      <c r="C617" s="3">
        <v>6854.4</v>
      </c>
      <c r="D617" s="17">
        <v>43137</v>
      </c>
      <c r="E617" s="3" t="s">
        <v>1528</v>
      </c>
    </row>
    <row r="618" spans="1:7" x14ac:dyDescent="0.25">
      <c r="C618" s="3">
        <v>11009</v>
      </c>
      <c r="D618" s="17">
        <v>43139</v>
      </c>
      <c r="E618" s="3" t="s">
        <v>721</v>
      </c>
    </row>
    <row r="619" spans="1:7" x14ac:dyDescent="0.25">
      <c r="B619" s="3">
        <f>SUM(B615:B618)</f>
        <v>70382.5</v>
      </c>
      <c r="C619" s="3">
        <f>SUM(C615:C618)</f>
        <v>70382.600000000006</v>
      </c>
      <c r="E619" s="3">
        <f>C619-B619</f>
        <v>0.10000000000582077</v>
      </c>
      <c r="F619" s="17">
        <v>43139</v>
      </c>
      <c r="G619" s="17">
        <v>43139</v>
      </c>
    </row>
    <row r="621" spans="1:7" x14ac:dyDescent="0.25">
      <c r="A621" t="s">
        <v>1529</v>
      </c>
      <c r="B621" s="3">
        <v>415638</v>
      </c>
      <c r="C621" s="3">
        <v>550000</v>
      </c>
      <c r="D621" s="17">
        <v>43139</v>
      </c>
      <c r="E621" s="3" t="s">
        <v>727</v>
      </c>
    </row>
    <row r="622" spans="1:7" x14ac:dyDescent="0.25">
      <c r="B622" s="3">
        <f>SUM(B621)</f>
        <v>415638</v>
      </c>
      <c r="C622" s="3">
        <f>SUM(C621)</f>
        <v>550000</v>
      </c>
      <c r="E622" s="132">
        <f>C622-B622</f>
        <v>134362</v>
      </c>
      <c r="F622" s="17">
        <v>43139</v>
      </c>
      <c r="G622" s="17">
        <v>43139</v>
      </c>
    </row>
    <row r="624" spans="1:7" x14ac:dyDescent="0.25">
      <c r="A624" t="s">
        <v>1547</v>
      </c>
      <c r="B624" s="3">
        <v>251550</v>
      </c>
      <c r="C624" s="3">
        <v>400000</v>
      </c>
      <c r="D624" s="17">
        <v>43140</v>
      </c>
      <c r="E624" s="3" t="s">
        <v>727</v>
      </c>
    </row>
    <row r="625" spans="1:17" x14ac:dyDescent="0.25">
      <c r="A625" t="s">
        <v>1548</v>
      </c>
      <c r="B625" s="3">
        <v>232673</v>
      </c>
      <c r="C625" s="132">
        <v>134362</v>
      </c>
      <c r="D625" s="17">
        <v>43139</v>
      </c>
      <c r="E625" s="3" t="s">
        <v>722</v>
      </c>
    </row>
    <row r="626" spans="1:17" x14ac:dyDescent="0.25">
      <c r="B626" s="3">
        <f>SUM(B624:B625)</f>
        <v>484223</v>
      </c>
      <c r="C626" s="3">
        <f>SUM(C624:C625)</f>
        <v>534362</v>
      </c>
      <c r="E626" s="84">
        <f>C626-B626</f>
        <v>50139</v>
      </c>
      <c r="F626" s="17">
        <v>43140</v>
      </c>
      <c r="G626" s="17">
        <v>43141</v>
      </c>
    </row>
    <row r="628" spans="1:17" x14ac:dyDescent="0.25">
      <c r="A628" t="s">
        <v>1549</v>
      </c>
      <c r="B628" s="3">
        <v>469044</v>
      </c>
      <c r="C628" s="3">
        <v>350000</v>
      </c>
      <c r="D628" s="17">
        <v>43141</v>
      </c>
      <c r="E628" s="3" t="s">
        <v>727</v>
      </c>
    </row>
    <row r="629" spans="1:17" x14ac:dyDescent="0.25">
      <c r="A629" t="s">
        <v>1550</v>
      </c>
      <c r="B629" s="3">
        <v>17852.400000000001</v>
      </c>
      <c r="C629" s="3">
        <v>47464</v>
      </c>
      <c r="D629" s="17">
        <v>43139</v>
      </c>
      <c r="E629" s="3" t="s">
        <v>1551</v>
      </c>
    </row>
    <row r="630" spans="1:17" x14ac:dyDescent="0.25">
      <c r="C630" s="84">
        <v>50139</v>
      </c>
      <c r="D630" s="17">
        <v>43140</v>
      </c>
      <c r="E630" s="3" t="s">
        <v>722</v>
      </c>
    </row>
    <row r="631" spans="1:17" x14ac:dyDescent="0.25">
      <c r="C631" s="3">
        <v>39293</v>
      </c>
      <c r="D631" s="17">
        <v>43141</v>
      </c>
      <c r="E631" s="3" t="s">
        <v>721</v>
      </c>
      <c r="L631" s="3"/>
      <c r="M631" s="17"/>
      <c r="N631" s="17"/>
      <c r="O631" s="3"/>
      <c r="P631" s="17"/>
      <c r="Q631" s="17"/>
    </row>
    <row r="632" spans="1:17" x14ac:dyDescent="0.25">
      <c r="B632" s="3">
        <f>SUM(B628:B629)</f>
        <v>486896.4</v>
      </c>
      <c r="C632" s="3">
        <f>SUM(C628:C631)</f>
        <v>486896</v>
      </c>
      <c r="E632" s="3">
        <f>C632-B632</f>
        <v>-0.40000000002328306</v>
      </c>
      <c r="F632" s="17">
        <v>43141</v>
      </c>
      <c r="G632" s="17">
        <v>43141</v>
      </c>
      <c r="L632" s="3"/>
      <c r="M632" s="17"/>
      <c r="N632" s="17"/>
    </row>
    <row r="633" spans="1:17" x14ac:dyDescent="0.25">
      <c r="L633" s="3"/>
      <c r="M633" s="17"/>
      <c r="N633" s="17"/>
    </row>
    <row r="634" spans="1:17" x14ac:dyDescent="0.25">
      <c r="A634" t="s">
        <v>1585</v>
      </c>
      <c r="B634" s="3">
        <v>73170.100000000006</v>
      </c>
      <c r="C634" s="3">
        <v>2086</v>
      </c>
      <c r="D634" s="17">
        <v>43143</v>
      </c>
      <c r="E634" s="3" t="s">
        <v>1587</v>
      </c>
      <c r="L634" s="3"/>
      <c r="M634" s="17"/>
      <c r="N634" s="17"/>
    </row>
    <row r="635" spans="1:17" x14ac:dyDescent="0.25">
      <c r="A635" t="s">
        <v>1586</v>
      </c>
      <c r="B635" s="3">
        <v>813302</v>
      </c>
      <c r="C635" s="3">
        <v>873000</v>
      </c>
      <c r="D635" s="17">
        <v>43144</v>
      </c>
      <c r="E635" s="3" t="s">
        <v>727</v>
      </c>
      <c r="L635" s="8"/>
    </row>
    <row r="636" spans="1:17" x14ac:dyDescent="0.25">
      <c r="C636" s="3">
        <v>1000</v>
      </c>
      <c r="D636" s="17">
        <v>43144</v>
      </c>
      <c r="E636" s="3" t="s">
        <v>727</v>
      </c>
    </row>
    <row r="637" spans="1:17" x14ac:dyDescent="0.25">
      <c r="C637" s="3">
        <v>10386</v>
      </c>
      <c r="D637" s="17">
        <v>43144</v>
      </c>
      <c r="E637" s="3" t="s">
        <v>721</v>
      </c>
    </row>
    <row r="638" spans="1:17" x14ac:dyDescent="0.25">
      <c r="B638" s="3">
        <f>SUM(B634:B637)</f>
        <v>886472.1</v>
      </c>
      <c r="C638" s="3">
        <f>SUM(C634:C637)</f>
        <v>886472</v>
      </c>
      <c r="E638" s="3">
        <f>C638-B638</f>
        <v>-9.9999999976716936E-2</v>
      </c>
      <c r="F638" s="17">
        <v>43144</v>
      </c>
      <c r="G638" s="17">
        <v>43145</v>
      </c>
    </row>
    <row r="640" spans="1:17" x14ac:dyDescent="0.25">
      <c r="A640" t="s">
        <v>1676</v>
      </c>
      <c r="B640" s="3">
        <v>250514</v>
      </c>
      <c r="C640" s="3">
        <v>110000</v>
      </c>
      <c r="D640" s="17">
        <v>43150</v>
      </c>
      <c r="E640" s="3" t="s">
        <v>727</v>
      </c>
    </row>
    <row r="641" spans="1:7" x14ac:dyDescent="0.25">
      <c r="A641" t="s">
        <v>1677</v>
      </c>
      <c r="B641" s="3">
        <v>467928</v>
      </c>
      <c r="C641" s="3">
        <v>296000</v>
      </c>
      <c r="D641" s="17">
        <v>43150</v>
      </c>
      <c r="E641" s="3" t="s">
        <v>727</v>
      </c>
    </row>
    <row r="642" spans="1:7" x14ac:dyDescent="0.25">
      <c r="A642" t="s">
        <v>1678</v>
      </c>
      <c r="B642" s="3">
        <v>494852</v>
      </c>
      <c r="C642" s="3">
        <v>500000</v>
      </c>
      <c r="D642" s="17">
        <v>43150</v>
      </c>
      <c r="E642" s="3" t="s">
        <v>727</v>
      </c>
    </row>
    <row r="643" spans="1:7" x14ac:dyDescent="0.25">
      <c r="C643" s="3">
        <v>500000</v>
      </c>
      <c r="D643" s="17">
        <v>43150</v>
      </c>
      <c r="E643" s="3" t="s">
        <v>727</v>
      </c>
    </row>
    <row r="644" spans="1:7" x14ac:dyDescent="0.25">
      <c r="B644" s="3">
        <f>SUM(B640:B643)</f>
        <v>1213294</v>
      </c>
      <c r="C644" s="3">
        <f>SUM(C640:C643)</f>
        <v>1406000</v>
      </c>
      <c r="E644" s="20">
        <f>C644-B644</f>
        <v>192706</v>
      </c>
      <c r="F644" s="17">
        <v>43150</v>
      </c>
      <c r="G644" s="17">
        <v>43150</v>
      </c>
    </row>
    <row r="646" spans="1:7" x14ac:dyDescent="0.25">
      <c r="A646" t="s">
        <v>1683</v>
      </c>
      <c r="B646" s="3">
        <v>267112</v>
      </c>
      <c r="C646" s="3">
        <v>3638</v>
      </c>
      <c r="D646" s="17">
        <v>43150</v>
      </c>
      <c r="E646" s="3" t="s">
        <v>1684</v>
      </c>
    </row>
    <row r="647" spans="1:7" x14ac:dyDescent="0.25">
      <c r="C647" s="3">
        <v>44396</v>
      </c>
      <c r="D647" s="17">
        <v>43147</v>
      </c>
      <c r="E647" s="3" t="s">
        <v>1685</v>
      </c>
    </row>
    <row r="648" spans="1:7" x14ac:dyDescent="0.25">
      <c r="C648" s="20">
        <v>192706</v>
      </c>
      <c r="D648" s="17">
        <v>43150</v>
      </c>
      <c r="E648" s="3" t="s">
        <v>722</v>
      </c>
    </row>
    <row r="649" spans="1:7" x14ac:dyDescent="0.25">
      <c r="C649" s="9">
        <v>72050</v>
      </c>
      <c r="D649" s="17">
        <v>43097</v>
      </c>
      <c r="E649" s="3" t="s">
        <v>722</v>
      </c>
      <c r="G649" s="10"/>
    </row>
    <row r="650" spans="1:7" x14ac:dyDescent="0.25">
      <c r="B650" s="3">
        <f>SUM(B646:B649)</f>
        <v>267112</v>
      </c>
      <c r="C650" s="3">
        <f>SUM(C646:C649)</f>
        <v>312790</v>
      </c>
      <c r="E650" s="4">
        <f>C650-B650</f>
        <v>45678</v>
      </c>
      <c r="F650" s="17">
        <v>43150</v>
      </c>
      <c r="G650" s="17">
        <v>43152</v>
      </c>
    </row>
    <row r="652" spans="1:7" x14ac:dyDescent="0.25">
      <c r="A652" t="s">
        <v>1693</v>
      </c>
      <c r="B652" s="3">
        <v>243881.5</v>
      </c>
      <c r="C652" s="3">
        <v>500000</v>
      </c>
      <c r="D652" s="17">
        <v>43151</v>
      </c>
      <c r="E652" s="3" t="s">
        <v>727</v>
      </c>
    </row>
    <row r="653" spans="1:7" x14ac:dyDescent="0.25">
      <c r="A653" t="s">
        <v>1694</v>
      </c>
      <c r="B653" s="3">
        <v>58003.199999999997</v>
      </c>
      <c r="C653" s="4">
        <v>45678</v>
      </c>
      <c r="D653" s="17">
        <v>43150</v>
      </c>
      <c r="E653" s="3" t="s">
        <v>722</v>
      </c>
    </row>
    <row r="654" spans="1:7" x14ac:dyDescent="0.25">
      <c r="A654" t="s">
        <v>1695</v>
      </c>
      <c r="B654" s="3">
        <v>259801.5</v>
      </c>
      <c r="C654" s="3">
        <v>16008</v>
      </c>
      <c r="D654" s="17">
        <v>43152</v>
      </c>
      <c r="E654" s="3" t="s">
        <v>721</v>
      </c>
    </row>
    <row r="655" spans="1:7" x14ac:dyDescent="0.25">
      <c r="B655" s="3">
        <f>SUM(B652:B654)</f>
        <v>561686.19999999995</v>
      </c>
      <c r="C655" s="3">
        <f>SUM(C652:C654)</f>
        <v>561686</v>
      </c>
      <c r="E655" s="3">
        <f>C655-B655</f>
        <v>-0.19999999995343387</v>
      </c>
      <c r="F655" s="17">
        <v>43152</v>
      </c>
      <c r="G655" s="17">
        <v>43152</v>
      </c>
    </row>
    <row r="657" spans="1:18" x14ac:dyDescent="0.25">
      <c r="A657" t="s">
        <v>1699</v>
      </c>
      <c r="B657" s="3">
        <v>257175</v>
      </c>
      <c r="C657" s="3">
        <v>99000</v>
      </c>
      <c r="D657" s="17">
        <v>43152</v>
      </c>
      <c r="E657" s="3" t="s">
        <v>1700</v>
      </c>
    </row>
    <row r="658" spans="1:18" x14ac:dyDescent="0.25">
      <c r="C658" s="3">
        <v>154000</v>
      </c>
      <c r="D658" s="17">
        <v>43152</v>
      </c>
      <c r="E658" s="3" t="s">
        <v>1700</v>
      </c>
    </row>
    <row r="659" spans="1:18" x14ac:dyDescent="0.25">
      <c r="C659" s="3">
        <v>4175</v>
      </c>
      <c r="D659" s="17">
        <v>43152</v>
      </c>
      <c r="E659" s="3" t="s">
        <v>721</v>
      </c>
    </row>
    <row r="660" spans="1:18" x14ac:dyDescent="0.25">
      <c r="B660" s="3">
        <f>SUM(B657:B659)</f>
        <v>257175</v>
      </c>
      <c r="C660" s="3">
        <f>SUM(C657:C659)</f>
        <v>257175</v>
      </c>
      <c r="E660" s="3">
        <f>C660-B660</f>
        <v>0</v>
      </c>
      <c r="F660" s="17">
        <v>43152</v>
      </c>
      <c r="G660" s="17">
        <v>43153</v>
      </c>
    </row>
    <row r="662" spans="1:18" x14ac:dyDescent="0.25">
      <c r="A662" t="s">
        <v>1703</v>
      </c>
      <c r="B662" s="3">
        <v>250420</v>
      </c>
      <c r="C662" s="3">
        <v>389000</v>
      </c>
      <c r="D662" s="17">
        <v>43153</v>
      </c>
      <c r="E662" s="3" t="s">
        <v>727</v>
      </c>
    </row>
    <row r="663" spans="1:18" x14ac:dyDescent="0.25">
      <c r="B663" s="3">
        <f>SUM(B662)</f>
        <v>250420</v>
      </c>
      <c r="C663" s="3">
        <f>SUM(C662)</f>
        <v>389000</v>
      </c>
      <c r="E663" s="18">
        <f>C663-B663</f>
        <v>138580</v>
      </c>
      <c r="F663" s="17">
        <v>43153</v>
      </c>
      <c r="G663" s="17">
        <v>43154</v>
      </c>
    </row>
    <row r="665" spans="1:18" x14ac:dyDescent="0.25">
      <c r="A665" t="s">
        <v>1718</v>
      </c>
      <c r="B665" s="3">
        <v>261060</v>
      </c>
      <c r="C665" s="3">
        <v>611000</v>
      </c>
      <c r="D665" s="17">
        <v>43155</v>
      </c>
      <c r="E665" s="3" t="s">
        <v>727</v>
      </c>
    </row>
    <row r="666" spans="1:18" x14ac:dyDescent="0.25">
      <c r="A666" t="s">
        <v>1719</v>
      </c>
      <c r="B666" s="3">
        <v>494868</v>
      </c>
      <c r="C666" s="18">
        <v>138580</v>
      </c>
      <c r="D666" s="17">
        <v>43153</v>
      </c>
      <c r="E666" s="3" t="s">
        <v>722</v>
      </c>
    </row>
    <row r="667" spans="1:18" x14ac:dyDescent="0.25">
      <c r="C667" s="3">
        <v>6348</v>
      </c>
      <c r="D667" s="17">
        <v>43155</v>
      </c>
      <c r="E667" s="3" t="s">
        <v>721</v>
      </c>
    </row>
    <row r="668" spans="1:18" x14ac:dyDescent="0.25">
      <c r="B668" s="3">
        <f>SUM(B665:B667)</f>
        <v>755928</v>
      </c>
      <c r="C668" s="3">
        <f>SUM(C665:C667)</f>
        <v>755928</v>
      </c>
      <c r="E668" s="3">
        <f>C668-B668</f>
        <v>0</v>
      </c>
      <c r="F668" s="17">
        <v>43155</v>
      </c>
      <c r="G668" s="17">
        <v>43155</v>
      </c>
    </row>
    <row r="670" spans="1:18" x14ac:dyDescent="0.25">
      <c r="A670" t="s">
        <v>1761</v>
      </c>
      <c r="B670" s="3">
        <v>424434</v>
      </c>
      <c r="C670" s="3">
        <v>391000</v>
      </c>
      <c r="D670" s="17">
        <v>43157</v>
      </c>
      <c r="E670" s="3" t="s">
        <v>727</v>
      </c>
    </row>
    <row r="671" spans="1:18" x14ac:dyDescent="0.25">
      <c r="C671" s="3">
        <v>33434</v>
      </c>
      <c r="D671" s="17">
        <v>43158</v>
      </c>
    </row>
    <row r="672" spans="1:18" x14ac:dyDescent="0.25">
      <c r="B672" s="3">
        <f>SUM(B670:B671)</f>
        <v>424434</v>
      </c>
      <c r="C672" s="3">
        <f>SUM(C670:C671)</f>
        <v>424434</v>
      </c>
      <c r="E672" s="3">
        <f>C672-B672</f>
        <v>0</v>
      </c>
      <c r="F672" s="17">
        <v>43157</v>
      </c>
      <c r="G672" s="17">
        <v>43159</v>
      </c>
      <c r="M672" t="s">
        <v>1680</v>
      </c>
      <c r="N672" t="s">
        <v>1679</v>
      </c>
      <c r="O672" t="s">
        <v>1681</v>
      </c>
      <c r="Q672" t="s">
        <v>1682</v>
      </c>
      <c r="R672" t="s">
        <v>929</v>
      </c>
    </row>
    <row r="674" spans="1:14" x14ac:dyDescent="0.25">
      <c r="A674" t="s">
        <v>1763</v>
      </c>
      <c r="B674" s="3">
        <v>31452.6</v>
      </c>
      <c r="C674" s="3">
        <v>300000</v>
      </c>
      <c r="D674" s="17">
        <v>43158</v>
      </c>
      <c r="E674" s="3" t="s">
        <v>727</v>
      </c>
    </row>
    <row r="675" spans="1:14" x14ac:dyDescent="0.25">
      <c r="A675" t="s">
        <v>1764</v>
      </c>
      <c r="B675" s="3">
        <v>256794</v>
      </c>
    </row>
    <row r="676" spans="1:14" x14ac:dyDescent="0.25">
      <c r="B676" s="3">
        <f>SUM(B674:B675)</f>
        <v>288246.59999999998</v>
      </c>
      <c r="C676" s="3">
        <f>SUM(C674:C675)</f>
        <v>300000</v>
      </c>
      <c r="E676" s="157">
        <f>C676-B676</f>
        <v>11753.400000000023</v>
      </c>
      <c r="F676" s="17">
        <v>43158</v>
      </c>
      <c r="G676" s="17">
        <v>43159</v>
      </c>
    </row>
    <row r="678" spans="1:14" x14ac:dyDescent="0.25">
      <c r="A678" t="s">
        <v>1777</v>
      </c>
      <c r="B678" s="3">
        <v>261670</v>
      </c>
      <c r="C678" s="3">
        <v>250000</v>
      </c>
      <c r="D678" s="17">
        <v>43159</v>
      </c>
      <c r="E678" s="3" t="s">
        <v>727</v>
      </c>
    </row>
    <row r="679" spans="1:14" x14ac:dyDescent="0.25">
      <c r="C679" s="3">
        <v>11670</v>
      </c>
      <c r="D679" s="17">
        <v>43160</v>
      </c>
    </row>
    <row r="680" spans="1:14" x14ac:dyDescent="0.25">
      <c r="B680" s="3">
        <f>SUM(B678:B679)</f>
        <v>261670</v>
      </c>
      <c r="C680" s="3">
        <f>SUM(C678:C679)</f>
        <v>261670</v>
      </c>
      <c r="E680" s="3">
        <f>C680-B680</f>
        <v>0</v>
      </c>
      <c r="F680" s="17">
        <v>43159</v>
      </c>
      <c r="G680" s="17">
        <v>43161</v>
      </c>
    </row>
    <row r="681" spans="1:14" x14ac:dyDescent="0.25">
      <c r="L681" s="3"/>
      <c r="M681" s="17"/>
      <c r="N681" s="17"/>
    </row>
    <row r="682" spans="1:14" x14ac:dyDescent="0.25">
      <c r="A682" t="s">
        <v>1798</v>
      </c>
      <c r="B682" s="3">
        <v>425220</v>
      </c>
      <c r="C682" s="3">
        <v>547000</v>
      </c>
      <c r="D682" s="17">
        <v>43161</v>
      </c>
      <c r="E682" s="3" t="s">
        <v>727</v>
      </c>
    </row>
    <row r="683" spans="1:14" x14ac:dyDescent="0.25">
      <c r="B683" s="3">
        <f>SUM(B682)</f>
        <v>425220</v>
      </c>
      <c r="C683" s="3">
        <f>SUM(C682)</f>
        <v>547000</v>
      </c>
      <c r="E683" s="9">
        <f>C683-B683</f>
        <v>121780</v>
      </c>
      <c r="F683" s="17">
        <v>43161</v>
      </c>
      <c r="G683" s="17">
        <v>43161</v>
      </c>
    </row>
    <row r="685" spans="1:14" x14ac:dyDescent="0.25">
      <c r="A685" t="s">
        <v>1877</v>
      </c>
      <c r="B685" s="3">
        <v>235694</v>
      </c>
      <c r="C685" s="157">
        <v>11753</v>
      </c>
      <c r="D685" s="17">
        <v>43158</v>
      </c>
      <c r="E685" s="3" t="s">
        <v>722</v>
      </c>
    </row>
    <row r="686" spans="1:14" x14ac:dyDescent="0.25">
      <c r="C686" s="9">
        <v>121780</v>
      </c>
      <c r="D686" s="17">
        <v>43161</v>
      </c>
      <c r="E686" s="3" t="s">
        <v>722</v>
      </c>
    </row>
    <row r="687" spans="1:14" x14ac:dyDescent="0.25">
      <c r="C687" s="3">
        <v>33661</v>
      </c>
      <c r="D687" s="17">
        <v>43164</v>
      </c>
    </row>
    <row r="688" spans="1:14" x14ac:dyDescent="0.25">
      <c r="C688" s="3">
        <v>68500</v>
      </c>
      <c r="D688" s="17">
        <v>43160</v>
      </c>
    </row>
    <row r="689" spans="1:7" x14ac:dyDescent="0.25">
      <c r="B689" s="3">
        <f>SUM(B685:B688)</f>
        <v>235694</v>
      </c>
      <c r="C689" s="3">
        <f>SUM(C685:C688)</f>
        <v>235694</v>
      </c>
      <c r="E689" s="3">
        <f>C689-B689</f>
        <v>0</v>
      </c>
      <c r="F689" s="17">
        <v>43161</v>
      </c>
      <c r="G689" s="17">
        <v>43164</v>
      </c>
    </row>
    <row r="691" spans="1:7" x14ac:dyDescent="0.25">
      <c r="A691" t="s">
        <v>1878</v>
      </c>
      <c r="B691" s="3">
        <v>448876</v>
      </c>
      <c r="C691" s="3">
        <v>350000</v>
      </c>
      <c r="D691" s="17">
        <v>43164</v>
      </c>
      <c r="E691" s="3" t="s">
        <v>727</v>
      </c>
    </row>
    <row r="692" spans="1:7" x14ac:dyDescent="0.25">
      <c r="C692" s="3">
        <v>63000</v>
      </c>
      <c r="D692" s="17">
        <v>43162</v>
      </c>
    </row>
    <row r="693" spans="1:7" x14ac:dyDescent="0.25">
      <c r="C693" s="3">
        <v>24000</v>
      </c>
      <c r="D693" s="17">
        <v>43164</v>
      </c>
    </row>
    <row r="694" spans="1:7" x14ac:dyDescent="0.25">
      <c r="C694" s="3">
        <v>11876</v>
      </c>
      <c r="D694" s="17">
        <v>43164</v>
      </c>
    </row>
    <row r="695" spans="1:7" x14ac:dyDescent="0.25">
      <c r="B695" s="3">
        <f>SUM(B691:B694)</f>
        <v>448876</v>
      </c>
      <c r="C695" s="3">
        <f>SUM(C691:C694)</f>
        <v>448876</v>
      </c>
      <c r="E695" s="3">
        <f>C695-B695</f>
        <v>0</v>
      </c>
      <c r="F695" s="17">
        <v>43161</v>
      </c>
      <c r="G695" s="17">
        <v>43164</v>
      </c>
    </row>
    <row r="697" spans="1:7" x14ac:dyDescent="0.25">
      <c r="A697" t="s">
        <v>1879</v>
      </c>
      <c r="B697" s="3">
        <v>441216</v>
      </c>
      <c r="C697" s="3">
        <v>433000</v>
      </c>
      <c r="D697" s="17">
        <v>43164</v>
      </c>
      <c r="E697" s="3" t="s">
        <v>727</v>
      </c>
    </row>
    <row r="698" spans="1:7" x14ac:dyDescent="0.25">
      <c r="A698" t="s">
        <v>1880</v>
      </c>
      <c r="B698" s="3">
        <v>6911.72</v>
      </c>
      <c r="C698" s="3">
        <v>15161</v>
      </c>
      <c r="D698" s="17">
        <v>43161</v>
      </c>
      <c r="E698" s="3" t="s">
        <v>1882</v>
      </c>
    </row>
    <row r="699" spans="1:7" x14ac:dyDescent="0.25">
      <c r="A699" t="s">
        <v>1881</v>
      </c>
    </row>
    <row r="700" spans="1:7" x14ac:dyDescent="0.25">
      <c r="B700" s="3">
        <f>SUM(B697:B699)</f>
        <v>448127.72</v>
      </c>
      <c r="C700" s="3">
        <f>SUM(C697:C699)</f>
        <v>448161</v>
      </c>
      <c r="E700" s="86">
        <f>C700-B700</f>
        <v>33.28000000002794</v>
      </c>
      <c r="F700" s="17">
        <v>43164</v>
      </c>
      <c r="G700" s="17">
        <v>43164</v>
      </c>
    </row>
    <row r="702" spans="1:7" x14ac:dyDescent="0.25">
      <c r="A702" t="s">
        <v>1885</v>
      </c>
      <c r="B702" s="3">
        <v>223559</v>
      </c>
      <c r="C702" s="3">
        <v>380000</v>
      </c>
      <c r="D702" s="17">
        <v>43165</v>
      </c>
      <c r="E702" s="3" t="s">
        <v>727</v>
      </c>
    </row>
    <row r="703" spans="1:7" x14ac:dyDescent="0.25">
      <c r="B703" s="3">
        <f>SUM(B702)</f>
        <v>223559</v>
      </c>
      <c r="C703" s="3">
        <f>SUM(C702)</f>
        <v>380000</v>
      </c>
      <c r="E703" s="18">
        <f>C703-B703</f>
        <v>156441</v>
      </c>
      <c r="F703" s="17">
        <v>43165</v>
      </c>
    </row>
    <row r="705" spans="1:7" x14ac:dyDescent="0.25">
      <c r="A705" t="s">
        <v>1902</v>
      </c>
      <c r="B705" s="3">
        <v>433960</v>
      </c>
      <c r="C705" s="3">
        <v>270000</v>
      </c>
      <c r="D705" s="17">
        <v>43166</v>
      </c>
      <c r="E705" s="3" t="s">
        <v>727</v>
      </c>
    </row>
    <row r="706" spans="1:7" x14ac:dyDescent="0.25">
      <c r="C706" s="86">
        <v>33.299999999999997</v>
      </c>
      <c r="D706" s="17">
        <v>43164</v>
      </c>
      <c r="E706" s="3" t="s">
        <v>722</v>
      </c>
    </row>
    <row r="707" spans="1:7" x14ac:dyDescent="0.25">
      <c r="C707" s="18">
        <v>156441</v>
      </c>
      <c r="D707" s="17">
        <v>43165</v>
      </c>
      <c r="E707" s="3" t="s">
        <v>722</v>
      </c>
    </row>
    <row r="708" spans="1:7" x14ac:dyDescent="0.25">
      <c r="C708" s="3">
        <v>6022</v>
      </c>
      <c r="D708" s="17">
        <v>43164</v>
      </c>
      <c r="E708" s="3" t="s">
        <v>1903</v>
      </c>
    </row>
    <row r="709" spans="1:7" x14ac:dyDescent="0.25">
      <c r="C709" s="3">
        <v>3841</v>
      </c>
      <c r="D709" s="17">
        <v>43165</v>
      </c>
      <c r="E709" s="3" t="s">
        <v>1904</v>
      </c>
    </row>
    <row r="710" spans="1:7" x14ac:dyDescent="0.25">
      <c r="C710" s="3">
        <v>5848</v>
      </c>
      <c r="D710" s="17">
        <v>43164</v>
      </c>
      <c r="E710" s="3" t="s">
        <v>1905</v>
      </c>
    </row>
    <row r="711" spans="1:7" x14ac:dyDescent="0.25">
      <c r="B711" s="3">
        <f>SUM(B705:B710)</f>
        <v>433960</v>
      </c>
      <c r="C711" s="3">
        <f>SUM(C705:C710)</f>
        <v>442185.3</v>
      </c>
      <c r="E711" s="9">
        <f>C711-B711</f>
        <v>8225.2999999999884</v>
      </c>
      <c r="F711" s="17">
        <v>43166</v>
      </c>
      <c r="G711" s="17">
        <v>43167</v>
      </c>
    </row>
    <row r="713" spans="1:7" x14ac:dyDescent="0.25">
      <c r="A713" t="s">
        <v>1906</v>
      </c>
      <c r="B713" s="3">
        <v>225848</v>
      </c>
      <c r="C713" s="3">
        <v>180000</v>
      </c>
      <c r="D713" s="17">
        <v>43167</v>
      </c>
      <c r="E713" s="3" t="s">
        <v>727</v>
      </c>
    </row>
    <row r="714" spans="1:7" x14ac:dyDescent="0.25">
      <c r="C714" s="9">
        <v>8225.2999999999993</v>
      </c>
      <c r="D714" s="17">
        <v>43166</v>
      </c>
      <c r="E714" s="3" t="s">
        <v>722</v>
      </c>
    </row>
    <row r="715" spans="1:7" x14ac:dyDescent="0.25">
      <c r="C715" s="3">
        <v>5793</v>
      </c>
      <c r="D715" s="17">
        <v>43166</v>
      </c>
      <c r="E715" s="3" t="s">
        <v>1907</v>
      </c>
    </row>
    <row r="716" spans="1:7" x14ac:dyDescent="0.25">
      <c r="C716" s="3">
        <v>31830</v>
      </c>
      <c r="D716" s="17">
        <v>43167</v>
      </c>
    </row>
    <row r="717" spans="1:7" x14ac:dyDescent="0.25">
      <c r="B717" s="3">
        <f>SUM(B713:B716)</f>
        <v>225848</v>
      </c>
      <c r="C717" s="3">
        <f>SUM(C713:C716)</f>
        <v>225848.3</v>
      </c>
      <c r="E717" s="3">
        <f>C717-B717</f>
        <v>0.29999999998835847</v>
      </c>
      <c r="F717" s="17">
        <v>43167</v>
      </c>
      <c r="G717" s="17">
        <v>43167</v>
      </c>
    </row>
    <row r="719" spans="1:7" x14ac:dyDescent="0.25">
      <c r="A719" t="s">
        <v>1931</v>
      </c>
      <c r="B719" s="3">
        <v>447640</v>
      </c>
      <c r="C719" s="3">
        <v>610000</v>
      </c>
      <c r="D719" s="17">
        <v>43169</v>
      </c>
      <c r="E719" s="3" t="s">
        <v>727</v>
      </c>
    </row>
    <row r="720" spans="1:7" x14ac:dyDescent="0.25">
      <c r="B720" s="3">
        <f>SUM(B719)</f>
        <v>447640</v>
      </c>
      <c r="C720" s="3">
        <f>SUM(C719)</f>
        <v>610000</v>
      </c>
      <c r="E720" s="130">
        <f>C720-B720</f>
        <v>162360</v>
      </c>
      <c r="F720" s="17">
        <v>43169</v>
      </c>
      <c r="G720" s="17">
        <v>43171</v>
      </c>
    </row>
    <row r="722" spans="1:10" x14ac:dyDescent="0.25">
      <c r="A722" t="s">
        <v>1933</v>
      </c>
      <c r="B722" s="3">
        <v>456057</v>
      </c>
      <c r="C722" s="3">
        <v>458000</v>
      </c>
      <c r="D722" s="17">
        <v>43171</v>
      </c>
    </row>
    <row r="723" spans="1:10" x14ac:dyDescent="0.25">
      <c r="B723" s="3">
        <f>SUM(B722)</f>
        <v>456057</v>
      </c>
      <c r="C723" s="3">
        <f>SUM(C722)</f>
        <v>458000</v>
      </c>
      <c r="E723" s="158">
        <f>C723-B723</f>
        <v>1943</v>
      </c>
      <c r="F723" s="17">
        <v>43171</v>
      </c>
      <c r="G723" s="17">
        <v>43171</v>
      </c>
    </row>
    <row r="725" spans="1:10" x14ac:dyDescent="0.25">
      <c r="A725" t="s">
        <v>1947</v>
      </c>
      <c r="B725" s="3">
        <v>17236.400000000001</v>
      </c>
      <c r="C725" s="158">
        <v>1943</v>
      </c>
      <c r="D725" s="17">
        <v>43171</v>
      </c>
      <c r="E725" s="3" t="s">
        <v>722</v>
      </c>
    </row>
    <row r="726" spans="1:10" x14ac:dyDescent="0.25">
      <c r="A726" t="s">
        <v>1948</v>
      </c>
      <c r="B726" s="3">
        <v>444980</v>
      </c>
      <c r="C726" s="88">
        <v>43427</v>
      </c>
      <c r="D726" s="17">
        <v>43106</v>
      </c>
      <c r="E726" s="3" t="s">
        <v>722</v>
      </c>
      <c r="H726" s="88">
        <v>43427</v>
      </c>
      <c r="I726" s="17">
        <v>43106</v>
      </c>
      <c r="J726" s="17">
        <v>43106</v>
      </c>
    </row>
    <row r="727" spans="1:10" x14ac:dyDescent="0.25">
      <c r="C727" s="3">
        <v>9861</v>
      </c>
      <c r="D727" s="17">
        <v>43172</v>
      </c>
      <c r="E727" s="3" t="s">
        <v>1949</v>
      </c>
    </row>
    <row r="728" spans="1:10" x14ac:dyDescent="0.25">
      <c r="C728" s="3">
        <v>5663</v>
      </c>
      <c r="D728" s="17">
        <v>43172</v>
      </c>
      <c r="E728" s="3" t="s">
        <v>1950</v>
      </c>
    </row>
    <row r="729" spans="1:10" x14ac:dyDescent="0.25">
      <c r="C729" s="3">
        <v>4203</v>
      </c>
      <c r="D729" s="17">
        <v>43171</v>
      </c>
      <c r="E729" s="3" t="s">
        <v>1951</v>
      </c>
    </row>
    <row r="730" spans="1:10" x14ac:dyDescent="0.25">
      <c r="C730" s="3">
        <v>352000</v>
      </c>
      <c r="D730" s="17">
        <v>43172</v>
      </c>
      <c r="E730" s="3" t="s">
        <v>727</v>
      </c>
    </row>
    <row r="731" spans="1:10" x14ac:dyDescent="0.25">
      <c r="C731" s="3">
        <v>45119</v>
      </c>
      <c r="D731" s="17">
        <v>43173</v>
      </c>
    </row>
    <row r="732" spans="1:10" x14ac:dyDescent="0.25">
      <c r="B732" s="3">
        <f>SUM(B725:B731)</f>
        <v>462216.4</v>
      </c>
      <c r="C732" s="3">
        <f>SUM(C725:C731)</f>
        <v>462216</v>
      </c>
      <c r="E732" s="3">
        <f>C732-B732</f>
        <v>-0.40000000002328306</v>
      </c>
      <c r="F732" s="17">
        <v>43172</v>
      </c>
      <c r="G732" s="17">
        <v>43173</v>
      </c>
    </row>
    <row r="734" spans="1:10" x14ac:dyDescent="0.25">
      <c r="A734" t="s">
        <v>1957</v>
      </c>
      <c r="B734" s="3">
        <v>18721.8</v>
      </c>
      <c r="C734" s="3">
        <v>328000</v>
      </c>
      <c r="D734" s="17">
        <v>43173</v>
      </c>
      <c r="E734" s="3" t="s">
        <v>727</v>
      </c>
    </row>
    <row r="735" spans="1:10" x14ac:dyDescent="0.25">
      <c r="A735" t="s">
        <v>1958</v>
      </c>
      <c r="B735" s="3">
        <v>231189</v>
      </c>
      <c r="C735" s="3">
        <v>190000</v>
      </c>
      <c r="D735" s="17">
        <v>43174</v>
      </c>
      <c r="E735" s="3" t="s">
        <v>727</v>
      </c>
    </row>
    <row r="736" spans="1:10" x14ac:dyDescent="0.25">
      <c r="A736" t="s">
        <v>1959</v>
      </c>
      <c r="B736" s="3">
        <v>247269</v>
      </c>
    </row>
    <row r="737" spans="1:7" x14ac:dyDescent="0.25">
      <c r="B737" s="3">
        <f>SUM(B734:B736)</f>
        <v>497179.8</v>
      </c>
      <c r="C737" s="3">
        <f>SUM(C734:C736)</f>
        <v>518000</v>
      </c>
      <c r="E737" s="4">
        <f>C737-B737</f>
        <v>20820.200000000012</v>
      </c>
      <c r="F737" s="17">
        <v>43174</v>
      </c>
      <c r="G737" s="17">
        <v>43175</v>
      </c>
    </row>
    <row r="739" spans="1:7" x14ac:dyDescent="0.25">
      <c r="A739" t="s">
        <v>1961</v>
      </c>
      <c r="B739" s="3">
        <v>228518.5</v>
      </c>
      <c r="C739" s="3">
        <v>189000</v>
      </c>
      <c r="D739" s="17">
        <v>43175</v>
      </c>
      <c r="E739" s="3" t="s">
        <v>727</v>
      </c>
    </row>
    <row r="740" spans="1:7" x14ac:dyDescent="0.25">
      <c r="C740" s="3">
        <v>6261</v>
      </c>
      <c r="D740" s="17">
        <v>43174</v>
      </c>
      <c r="E740" s="3" t="s">
        <v>1962</v>
      </c>
    </row>
    <row r="741" spans="1:7" x14ac:dyDescent="0.25">
      <c r="C741" s="4">
        <v>20820.2</v>
      </c>
      <c r="D741" s="17">
        <v>43174</v>
      </c>
      <c r="E741" s="3" t="s">
        <v>722</v>
      </c>
    </row>
    <row r="742" spans="1:7" x14ac:dyDescent="0.25">
      <c r="C742" s="3">
        <v>18000</v>
      </c>
      <c r="D742" s="17">
        <v>43173</v>
      </c>
      <c r="E742" s="3" t="s">
        <v>1963</v>
      </c>
    </row>
    <row r="743" spans="1:7" x14ac:dyDescent="0.25">
      <c r="B743" s="3">
        <f>SUM(B739:B742)</f>
        <v>228518.5</v>
      </c>
      <c r="C743" s="3">
        <f>SUM(C739:C742)</f>
        <v>234081.2</v>
      </c>
      <c r="E743" s="84">
        <f>C743-B743</f>
        <v>5562.7000000000116</v>
      </c>
      <c r="F743" s="17">
        <v>43175</v>
      </c>
      <c r="G743" s="17">
        <v>43175</v>
      </c>
    </row>
    <row r="745" spans="1:7" x14ac:dyDescent="0.25">
      <c r="A745" t="s">
        <v>1976</v>
      </c>
      <c r="B745" s="3">
        <v>419436</v>
      </c>
      <c r="C745" s="84">
        <v>5562.5</v>
      </c>
      <c r="D745" s="17">
        <v>43175</v>
      </c>
      <c r="E745" s="3" t="s">
        <v>722</v>
      </c>
    </row>
    <row r="746" spans="1:7" x14ac:dyDescent="0.25">
      <c r="C746" s="3">
        <v>40873</v>
      </c>
      <c r="D746" s="17">
        <v>43176</v>
      </c>
      <c r="E746" s="3" t="s">
        <v>721</v>
      </c>
    </row>
    <row r="747" spans="1:7" x14ac:dyDescent="0.25">
      <c r="C747" s="3">
        <v>373000</v>
      </c>
      <c r="D747" s="17">
        <v>43176</v>
      </c>
      <c r="E747" s="3" t="s">
        <v>727</v>
      </c>
    </row>
    <row r="748" spans="1:7" x14ac:dyDescent="0.25">
      <c r="B748" s="3">
        <f>SUM(B745:B747)</f>
        <v>419436</v>
      </c>
      <c r="C748" s="3">
        <f>SUM(C745:C747)</f>
        <v>419435.5</v>
      </c>
      <c r="E748" s="3">
        <f>C748-B748</f>
        <v>-0.5</v>
      </c>
      <c r="F748" s="17">
        <v>43176</v>
      </c>
      <c r="G748" s="17">
        <v>43176</v>
      </c>
    </row>
    <row r="750" spans="1:7" x14ac:dyDescent="0.25">
      <c r="A750" t="s">
        <v>1987</v>
      </c>
      <c r="B750" s="3">
        <v>448818</v>
      </c>
      <c r="C750" s="3">
        <v>896000</v>
      </c>
      <c r="D750" s="17">
        <v>43179</v>
      </c>
      <c r="E750" s="3" t="s">
        <v>727</v>
      </c>
    </row>
    <row r="751" spans="1:7" x14ac:dyDescent="0.25">
      <c r="A751" t="s">
        <v>1988</v>
      </c>
      <c r="B751" s="3">
        <v>438150</v>
      </c>
    </row>
    <row r="752" spans="1:7" x14ac:dyDescent="0.25">
      <c r="B752" s="3">
        <f>SUM(B750:B751)</f>
        <v>886968</v>
      </c>
      <c r="C752" s="3">
        <f>SUM(C750:C751)</f>
        <v>896000</v>
      </c>
      <c r="E752" s="20">
        <f>C752-B752</f>
        <v>9032</v>
      </c>
      <c r="F752" s="17">
        <v>43179</v>
      </c>
      <c r="G752" s="17">
        <v>43180</v>
      </c>
    </row>
    <row r="754" spans="1:7" x14ac:dyDescent="0.25">
      <c r="A754" t="s">
        <v>2010</v>
      </c>
      <c r="B754" s="3">
        <v>216976</v>
      </c>
      <c r="C754" s="3">
        <v>240000</v>
      </c>
      <c r="D754" s="17">
        <v>43180</v>
      </c>
      <c r="E754" s="3" t="s">
        <v>727</v>
      </c>
    </row>
    <row r="755" spans="1:7" x14ac:dyDescent="0.25">
      <c r="B755" s="3">
        <f>SUM(B754)</f>
        <v>216976</v>
      </c>
      <c r="C755" s="3">
        <f>SUM(C754)</f>
        <v>240000</v>
      </c>
      <c r="E755" s="18">
        <f>C755-B755</f>
        <v>23024</v>
      </c>
      <c r="F755" s="17">
        <v>43180</v>
      </c>
      <c r="G755" s="17">
        <v>43181</v>
      </c>
    </row>
    <row r="757" spans="1:7" x14ac:dyDescent="0.25">
      <c r="A757" t="s">
        <v>2011</v>
      </c>
      <c r="B757" s="3">
        <v>29328.400000000001</v>
      </c>
      <c r="C757" s="3">
        <v>359000</v>
      </c>
      <c r="D757" s="17">
        <v>43181</v>
      </c>
      <c r="E757" s="3" t="s">
        <v>727</v>
      </c>
    </row>
    <row r="758" spans="1:7" x14ac:dyDescent="0.25">
      <c r="A758" t="s">
        <v>2012</v>
      </c>
      <c r="B758" s="3">
        <v>257556</v>
      </c>
    </row>
    <row r="759" spans="1:7" x14ac:dyDescent="0.25">
      <c r="B759" s="3">
        <f>SUM(B757:B758)</f>
        <v>286884.40000000002</v>
      </c>
      <c r="C759" s="3">
        <f>SUM(C757:C758)</f>
        <v>359000</v>
      </c>
      <c r="E759" s="130">
        <f>C759-B759</f>
        <v>72115.599999999977</v>
      </c>
      <c r="F759" s="17">
        <v>43181</v>
      </c>
      <c r="G759" s="17">
        <v>43181</v>
      </c>
    </row>
    <row r="761" spans="1:7" x14ac:dyDescent="0.25">
      <c r="A761" t="s">
        <v>2042</v>
      </c>
      <c r="B761" s="3">
        <v>465963</v>
      </c>
      <c r="C761" s="3">
        <v>580000</v>
      </c>
      <c r="D761" s="17">
        <v>43183</v>
      </c>
      <c r="E761" s="3" t="s">
        <v>727</v>
      </c>
    </row>
    <row r="762" spans="1:7" x14ac:dyDescent="0.25">
      <c r="A762" t="s">
        <v>2043</v>
      </c>
      <c r="B762" s="3">
        <v>238887</v>
      </c>
      <c r="C762" s="130">
        <v>72115.600000000006</v>
      </c>
      <c r="D762" s="17">
        <v>43181</v>
      </c>
      <c r="E762" s="3" t="s">
        <v>722</v>
      </c>
    </row>
    <row r="763" spans="1:7" x14ac:dyDescent="0.25">
      <c r="C763" s="18">
        <v>23024</v>
      </c>
      <c r="D763" s="17">
        <v>43180</v>
      </c>
      <c r="E763" s="3" t="s">
        <v>722</v>
      </c>
    </row>
    <row r="764" spans="1:7" x14ac:dyDescent="0.25">
      <c r="C764" s="20">
        <v>9032</v>
      </c>
      <c r="D764" s="17">
        <v>43180</v>
      </c>
      <c r="E764" s="3" t="s">
        <v>722</v>
      </c>
    </row>
    <row r="765" spans="1:7" x14ac:dyDescent="0.25">
      <c r="C765" s="3">
        <v>24872</v>
      </c>
      <c r="D765" s="17">
        <v>43181</v>
      </c>
      <c r="E765" s="3" t="s">
        <v>2044</v>
      </c>
    </row>
    <row r="766" spans="1:7" x14ac:dyDescent="0.25">
      <c r="B766" s="3">
        <f>SUM(B761:B765)</f>
        <v>704850</v>
      </c>
      <c r="C766" s="3">
        <f>SUM(C761:C765)</f>
        <v>709043.6</v>
      </c>
      <c r="E766" s="89">
        <f>C766-B766</f>
        <v>4193.5999999999767</v>
      </c>
      <c r="F766" s="17">
        <v>43183</v>
      </c>
      <c r="G766" s="17">
        <v>43183</v>
      </c>
    </row>
    <row r="768" spans="1:7" x14ac:dyDescent="0.25">
      <c r="A768" t="s">
        <v>2068</v>
      </c>
      <c r="B768" s="3">
        <v>447118</v>
      </c>
      <c r="C768" s="3">
        <v>179000</v>
      </c>
      <c r="D768" s="17">
        <v>43185</v>
      </c>
      <c r="E768" s="3" t="s">
        <v>727</v>
      </c>
    </row>
    <row r="769" spans="1:14" x14ac:dyDescent="0.25">
      <c r="C769" s="3">
        <v>226000</v>
      </c>
      <c r="D769" s="17">
        <v>43185</v>
      </c>
      <c r="E769" s="3" t="s">
        <v>727</v>
      </c>
    </row>
    <row r="770" spans="1:14" x14ac:dyDescent="0.25">
      <c r="C770" s="3">
        <v>5881</v>
      </c>
      <c r="D770" s="17">
        <v>43181</v>
      </c>
      <c r="E770" s="3" t="s">
        <v>2069</v>
      </c>
    </row>
    <row r="771" spans="1:14" x14ac:dyDescent="0.25">
      <c r="C771" s="3">
        <v>5975</v>
      </c>
      <c r="D771" s="17">
        <v>43175</v>
      </c>
      <c r="E771" s="3" t="s">
        <v>2070</v>
      </c>
    </row>
    <row r="772" spans="1:14" x14ac:dyDescent="0.25">
      <c r="C772" s="3">
        <v>30262</v>
      </c>
      <c r="D772" s="17">
        <v>43158</v>
      </c>
    </row>
    <row r="773" spans="1:14" x14ac:dyDescent="0.25">
      <c r="B773" s="3">
        <f>SUM(B768:B772)</f>
        <v>447118</v>
      </c>
      <c r="C773" s="3">
        <f>SUM(C768:C772)</f>
        <v>447118</v>
      </c>
      <c r="E773" s="3">
        <f>C773-B773</f>
        <v>0</v>
      </c>
      <c r="F773" s="17">
        <v>43185</v>
      </c>
      <c r="G773" s="17">
        <v>43187</v>
      </c>
    </row>
    <row r="775" spans="1:14" x14ac:dyDescent="0.25">
      <c r="A775" t="s">
        <v>2072</v>
      </c>
      <c r="B775" s="3">
        <v>446355</v>
      </c>
      <c r="C775" s="3">
        <v>483000</v>
      </c>
      <c r="D775" s="17">
        <v>43187</v>
      </c>
      <c r="E775" s="3" t="s">
        <v>727</v>
      </c>
    </row>
    <row r="776" spans="1:14" x14ac:dyDescent="0.25">
      <c r="B776" s="3">
        <f>SUM(B775)</f>
        <v>446355</v>
      </c>
      <c r="C776" s="3">
        <f>SUM(C775)</f>
        <v>483000</v>
      </c>
      <c r="E776" s="84">
        <f>C776-B776</f>
        <v>36645</v>
      </c>
      <c r="F776" s="17">
        <v>43187</v>
      </c>
      <c r="G776" s="17">
        <v>43188</v>
      </c>
    </row>
    <row r="778" spans="1:14" x14ac:dyDescent="0.25">
      <c r="A778" t="s">
        <v>2073</v>
      </c>
      <c r="B778" s="3">
        <v>35762.400000000001</v>
      </c>
      <c r="C778" s="89">
        <v>4193.6000000000004</v>
      </c>
      <c r="D778" s="17">
        <v>43183</v>
      </c>
      <c r="E778" s="3" t="s">
        <v>722</v>
      </c>
      <c r="L778" s="8"/>
      <c r="M778" s="17"/>
      <c r="N778" s="17"/>
    </row>
    <row r="779" spans="1:14" x14ac:dyDescent="0.25">
      <c r="C779" s="3">
        <v>7036</v>
      </c>
      <c r="D779" s="17">
        <v>43187</v>
      </c>
      <c r="E779" s="3" t="s">
        <v>2074</v>
      </c>
    </row>
    <row r="780" spans="1:14" x14ac:dyDescent="0.25">
      <c r="C780" s="3">
        <v>8206</v>
      </c>
      <c r="D780" s="17">
        <v>43186</v>
      </c>
      <c r="E780" s="3" t="s">
        <v>2075</v>
      </c>
    </row>
    <row r="781" spans="1:14" x14ac:dyDescent="0.25">
      <c r="C781" s="3">
        <v>16327</v>
      </c>
    </row>
    <row r="782" spans="1:14" x14ac:dyDescent="0.25">
      <c r="B782" s="3">
        <f>SUM(B778:B781)</f>
        <v>35762.400000000001</v>
      </c>
      <c r="C782" s="3">
        <f>SUM(C778:C781)</f>
        <v>35762.6</v>
      </c>
      <c r="E782" s="3">
        <f>C782-B782</f>
        <v>0.19999999999708962</v>
      </c>
      <c r="F782" s="17">
        <v>43188</v>
      </c>
      <c r="G782" s="17">
        <v>43188</v>
      </c>
    </row>
    <row r="784" spans="1:14" x14ac:dyDescent="0.25">
      <c r="A784" t="s">
        <v>2124</v>
      </c>
      <c r="B784" s="3">
        <v>434147</v>
      </c>
      <c r="C784" s="3">
        <v>996000</v>
      </c>
      <c r="D784" s="17">
        <v>43192</v>
      </c>
      <c r="E784" s="3" t="s">
        <v>727</v>
      </c>
    </row>
    <row r="785" spans="1:7" x14ac:dyDescent="0.25">
      <c r="B785" s="3">
        <f>SUM(B784)</f>
        <v>434147</v>
      </c>
      <c r="C785" s="3">
        <f>SUM(C784)</f>
        <v>996000</v>
      </c>
      <c r="E785" s="88">
        <f>C785-B785</f>
        <v>561853</v>
      </c>
      <c r="F785" s="17">
        <v>43192</v>
      </c>
      <c r="G785" s="17">
        <v>43194</v>
      </c>
    </row>
    <row r="787" spans="1:7" x14ac:dyDescent="0.25">
      <c r="A787" t="s">
        <v>2143</v>
      </c>
      <c r="B787" s="3">
        <v>17072.400000000001</v>
      </c>
      <c r="C787" s="3">
        <v>744000</v>
      </c>
      <c r="D787" s="17">
        <v>43193</v>
      </c>
      <c r="E787" s="3" t="s">
        <v>727</v>
      </c>
    </row>
    <row r="788" spans="1:7" x14ac:dyDescent="0.25">
      <c r="A788" t="s">
        <v>2144</v>
      </c>
      <c r="B788" s="3">
        <v>913769</v>
      </c>
      <c r="C788" s="3">
        <v>55000</v>
      </c>
      <c r="D788" s="17">
        <v>43188</v>
      </c>
      <c r="E788" s="3" t="s">
        <v>816</v>
      </c>
    </row>
    <row r="789" spans="1:7" x14ac:dyDescent="0.25">
      <c r="A789" t="s">
        <v>2145</v>
      </c>
      <c r="B789" s="3">
        <v>224438</v>
      </c>
      <c r="C789" s="3">
        <v>101300</v>
      </c>
      <c r="D789" s="17">
        <v>43188</v>
      </c>
      <c r="E789" s="3" t="s">
        <v>816</v>
      </c>
    </row>
    <row r="790" spans="1:7" x14ac:dyDescent="0.25">
      <c r="C790" s="3">
        <v>32170</v>
      </c>
      <c r="D790" s="17">
        <v>43193</v>
      </c>
    </row>
    <row r="791" spans="1:7" x14ac:dyDescent="0.25">
      <c r="C791" s="84">
        <v>36645</v>
      </c>
      <c r="D791" s="17">
        <v>43187</v>
      </c>
      <c r="E791" s="3" t="s">
        <v>722</v>
      </c>
    </row>
    <row r="792" spans="1:7" x14ac:dyDescent="0.25">
      <c r="C792" s="130">
        <v>162360</v>
      </c>
      <c r="D792" s="17">
        <v>43169</v>
      </c>
      <c r="E792" s="3" t="s">
        <v>722</v>
      </c>
    </row>
    <row r="793" spans="1:7" x14ac:dyDescent="0.25">
      <c r="C793" s="3">
        <v>41470</v>
      </c>
      <c r="D793" s="17">
        <v>43194</v>
      </c>
    </row>
    <row r="794" spans="1:7" x14ac:dyDescent="0.25">
      <c r="B794" s="3">
        <f>SUM(B787:B793)</f>
        <v>1155279.3999999999</v>
      </c>
      <c r="C794" s="3">
        <f>SUM(C787:C793)</f>
        <v>1172945</v>
      </c>
      <c r="E794" s="171">
        <f>C794-B794</f>
        <v>17665.600000000093</v>
      </c>
      <c r="F794" s="17">
        <v>43193</v>
      </c>
      <c r="G794" s="17">
        <v>43194</v>
      </c>
    </row>
    <row r="796" spans="1:7" x14ac:dyDescent="0.25">
      <c r="A796" t="s">
        <v>2149</v>
      </c>
      <c r="B796" s="3">
        <v>24985</v>
      </c>
      <c r="C796" s="3">
        <v>322000</v>
      </c>
      <c r="D796" s="17">
        <v>43194</v>
      </c>
      <c r="E796" s="3" t="s">
        <v>727</v>
      </c>
    </row>
    <row r="797" spans="1:7" x14ac:dyDescent="0.25">
      <c r="A797" t="s">
        <v>2150</v>
      </c>
      <c r="B797" s="3">
        <v>228900</v>
      </c>
    </row>
    <row r="798" spans="1:7" x14ac:dyDescent="0.25">
      <c r="B798" s="3">
        <f>SUM(B796:B797)</f>
        <v>253885</v>
      </c>
      <c r="C798" s="3">
        <f>SUM(C796:C797)</f>
        <v>322000</v>
      </c>
      <c r="E798" s="87">
        <f>C798-B798</f>
        <v>68115</v>
      </c>
      <c r="F798" s="17">
        <v>43194</v>
      </c>
      <c r="G798" s="17">
        <v>43195</v>
      </c>
    </row>
    <row r="800" spans="1:7" x14ac:dyDescent="0.25">
      <c r="A800" t="s">
        <v>2164</v>
      </c>
      <c r="B800" s="3">
        <v>416542.5</v>
      </c>
      <c r="C800" s="3">
        <v>304000</v>
      </c>
      <c r="D800" s="17">
        <v>43198</v>
      </c>
      <c r="E800" s="3" t="s">
        <v>727</v>
      </c>
    </row>
    <row r="801" spans="1:7" x14ac:dyDescent="0.25">
      <c r="A801" t="s">
        <v>2165</v>
      </c>
      <c r="B801" s="3">
        <v>12030.4</v>
      </c>
      <c r="C801" s="87">
        <v>68115</v>
      </c>
      <c r="D801" s="17">
        <v>43194</v>
      </c>
      <c r="E801" s="3" t="s">
        <v>722</v>
      </c>
    </row>
    <row r="802" spans="1:7" x14ac:dyDescent="0.25">
      <c r="C802" s="171">
        <v>17665.599999999999</v>
      </c>
      <c r="D802" s="17">
        <v>43193</v>
      </c>
      <c r="E802" s="3" t="s">
        <v>722</v>
      </c>
    </row>
    <row r="803" spans="1:7" x14ac:dyDescent="0.25">
      <c r="C803" s="3">
        <v>42150</v>
      </c>
      <c r="D803" s="17">
        <v>43195</v>
      </c>
    </row>
    <row r="804" spans="1:7" x14ac:dyDescent="0.25">
      <c r="B804" s="3">
        <f>SUM(B800:B803)</f>
        <v>428572.9</v>
      </c>
      <c r="C804" s="3">
        <f>SUM(C800:C803)</f>
        <v>431930.6</v>
      </c>
      <c r="E804" s="172">
        <f>C804-B804</f>
        <v>3357.6999999999534</v>
      </c>
      <c r="F804" s="17">
        <v>43195</v>
      </c>
      <c r="G804" s="17">
        <v>43196</v>
      </c>
    </row>
    <row r="806" spans="1:7" x14ac:dyDescent="0.25">
      <c r="A806" t="s">
        <v>2174</v>
      </c>
      <c r="B806" s="3">
        <v>423828</v>
      </c>
      <c r="C806" s="3">
        <v>463000</v>
      </c>
      <c r="D806" s="17">
        <v>43196</v>
      </c>
      <c r="E806" s="3" t="s">
        <v>727</v>
      </c>
    </row>
    <row r="807" spans="1:7" x14ac:dyDescent="0.25">
      <c r="B807" s="3">
        <f>SUM(B806)</f>
        <v>423828</v>
      </c>
      <c r="C807" s="3">
        <f>SUM(C806)</f>
        <v>463000</v>
      </c>
      <c r="E807" s="9">
        <f>C807-B807</f>
        <v>39172</v>
      </c>
      <c r="F807" s="17">
        <v>43196</v>
      </c>
      <c r="G807" s="17">
        <v>43197</v>
      </c>
    </row>
    <row r="809" spans="1:7" x14ac:dyDescent="0.25">
      <c r="A809" t="s">
        <v>2190</v>
      </c>
      <c r="B809" s="3">
        <v>36403.199999999997</v>
      </c>
      <c r="C809" s="3">
        <v>290000</v>
      </c>
      <c r="D809" s="17">
        <v>43197</v>
      </c>
      <c r="E809" s="3" t="s">
        <v>727</v>
      </c>
    </row>
    <row r="810" spans="1:7" x14ac:dyDescent="0.25">
      <c r="A810" t="s">
        <v>2191</v>
      </c>
      <c r="B810" s="3">
        <v>224840</v>
      </c>
      <c r="C810" s="172">
        <v>3357.7</v>
      </c>
      <c r="D810" s="17">
        <v>43195</v>
      </c>
      <c r="E810" s="3" t="s">
        <v>722</v>
      </c>
    </row>
    <row r="811" spans="1:7" x14ac:dyDescent="0.25">
      <c r="A811" t="s">
        <v>2192</v>
      </c>
      <c r="B811" s="3">
        <v>30852</v>
      </c>
    </row>
    <row r="812" spans="1:7" x14ac:dyDescent="0.25">
      <c r="B812" s="3">
        <f>SUM(B809:B811)</f>
        <v>292095.2</v>
      </c>
      <c r="C812" s="3">
        <f>SUM(C809:C811)</f>
        <v>293357.7</v>
      </c>
      <c r="E812" s="84">
        <f>C812-B812</f>
        <v>1262.5</v>
      </c>
      <c r="F812" s="17">
        <v>43197</v>
      </c>
      <c r="G812" s="17">
        <v>43197</v>
      </c>
    </row>
    <row r="814" spans="1:7" x14ac:dyDescent="0.25">
      <c r="A814" t="s">
        <v>2208</v>
      </c>
      <c r="B814" s="3">
        <v>466877</v>
      </c>
      <c r="C814" s="3">
        <v>548000</v>
      </c>
      <c r="D814" s="17">
        <v>43199</v>
      </c>
      <c r="E814" s="3" t="s">
        <v>727</v>
      </c>
    </row>
    <row r="815" spans="1:7" x14ac:dyDescent="0.25">
      <c r="B815" s="3">
        <f>SUM(B814)</f>
        <v>466877</v>
      </c>
      <c r="C815" s="3">
        <f>SUM(C814)</f>
        <v>548000</v>
      </c>
      <c r="E815" s="130">
        <f>C815-B815</f>
        <v>81123</v>
      </c>
      <c r="F815" s="17">
        <v>43199</v>
      </c>
      <c r="G815" s="17">
        <v>43202</v>
      </c>
    </row>
    <row r="817" spans="1:7" x14ac:dyDescent="0.25">
      <c r="A817" t="s">
        <v>2209</v>
      </c>
      <c r="B817" s="3">
        <v>260442</v>
      </c>
      <c r="C817" s="3">
        <v>348000</v>
      </c>
      <c r="D817" s="17">
        <v>43200</v>
      </c>
      <c r="E817" s="3" t="s">
        <v>727</v>
      </c>
    </row>
    <row r="818" spans="1:7" x14ac:dyDescent="0.25">
      <c r="B818" s="3">
        <f>SUM(B817)</f>
        <v>260442</v>
      </c>
      <c r="C818" s="3">
        <f>SUM(C817)</f>
        <v>348000</v>
      </c>
      <c r="E818" s="88">
        <f>C818-B818</f>
        <v>87558</v>
      </c>
      <c r="F818" s="17">
        <v>43200</v>
      </c>
      <c r="G818" s="17">
        <v>43202</v>
      </c>
    </row>
    <row r="820" spans="1:7" x14ac:dyDescent="0.25">
      <c r="A820" t="s">
        <v>2220</v>
      </c>
      <c r="B820" s="3">
        <v>412352</v>
      </c>
      <c r="C820" s="3">
        <v>295000</v>
      </c>
      <c r="D820" s="17">
        <v>43201</v>
      </c>
      <c r="E820" s="3" t="s">
        <v>727</v>
      </c>
    </row>
    <row r="821" spans="1:7" x14ac:dyDescent="0.25">
      <c r="C821" s="3">
        <v>62500</v>
      </c>
      <c r="D821" s="17">
        <v>43196</v>
      </c>
    </row>
    <row r="822" spans="1:7" x14ac:dyDescent="0.25">
      <c r="C822" s="3">
        <v>16940</v>
      </c>
      <c r="D822" s="17">
        <v>43199</v>
      </c>
    </row>
    <row r="823" spans="1:7" x14ac:dyDescent="0.25">
      <c r="C823" s="9">
        <v>39182</v>
      </c>
      <c r="D823" s="17">
        <v>43196</v>
      </c>
      <c r="E823" s="3" t="s">
        <v>722</v>
      </c>
    </row>
    <row r="824" spans="1:7" x14ac:dyDescent="0.25">
      <c r="C824" s="84">
        <v>1262.5</v>
      </c>
      <c r="D824" s="17">
        <v>43197</v>
      </c>
      <c r="E824" s="3" t="s">
        <v>722</v>
      </c>
    </row>
    <row r="825" spans="1:7" x14ac:dyDescent="0.25">
      <c r="B825" s="3">
        <f>SUM(B820:B824)</f>
        <v>412352</v>
      </c>
      <c r="C825" s="3">
        <f>SUM(C820:C824)</f>
        <v>414884.5</v>
      </c>
      <c r="E825" s="20">
        <f>C825-B825</f>
        <v>2532.5</v>
      </c>
      <c r="F825" s="17">
        <v>43201</v>
      </c>
      <c r="G825" s="17">
        <v>43202</v>
      </c>
    </row>
    <row r="827" spans="1:7" x14ac:dyDescent="0.25">
      <c r="A827" t="s">
        <v>2249</v>
      </c>
      <c r="B827" s="3">
        <v>434322</v>
      </c>
      <c r="C827" s="3">
        <v>413000</v>
      </c>
      <c r="D827" s="17">
        <v>43203</v>
      </c>
    </row>
    <row r="828" spans="1:7" x14ac:dyDescent="0.25">
      <c r="A828" t="s">
        <v>2250</v>
      </c>
      <c r="B828" s="3">
        <v>243697</v>
      </c>
      <c r="C828" s="3">
        <v>265000</v>
      </c>
      <c r="D828" s="17">
        <v>43202</v>
      </c>
    </row>
    <row r="829" spans="1:7" x14ac:dyDescent="0.25">
      <c r="A829" t="s">
        <v>2251</v>
      </c>
      <c r="B829" s="3">
        <v>5047.2</v>
      </c>
      <c r="C829" s="20">
        <v>2522.5</v>
      </c>
      <c r="D829" s="17">
        <v>43201</v>
      </c>
      <c r="E829" s="3" t="s">
        <v>722</v>
      </c>
    </row>
    <row r="830" spans="1:7" x14ac:dyDescent="0.25">
      <c r="C830" s="3">
        <v>2543</v>
      </c>
      <c r="D830" s="17">
        <v>43204</v>
      </c>
      <c r="E830" s="3" t="s">
        <v>721</v>
      </c>
    </row>
    <row r="831" spans="1:7" x14ac:dyDescent="0.25">
      <c r="B831" s="3">
        <f>SUM(B827:B830)</f>
        <v>683066.2</v>
      </c>
      <c r="C831" s="3">
        <f>SUM(C827:C830)</f>
        <v>683065.5</v>
      </c>
      <c r="E831" s="3">
        <f>C831-B831</f>
        <v>-0.69999999995343387</v>
      </c>
      <c r="F831" s="17">
        <v>43204</v>
      </c>
      <c r="G831" s="17">
        <v>43204</v>
      </c>
    </row>
    <row r="833" spans="1:7" x14ac:dyDescent="0.25">
      <c r="A833" t="s">
        <v>2252</v>
      </c>
      <c r="B833" s="3">
        <v>17195</v>
      </c>
      <c r="C833" s="3">
        <v>462000</v>
      </c>
      <c r="D833" s="17">
        <v>43204</v>
      </c>
      <c r="E833" s="3" t="s">
        <v>727</v>
      </c>
    </row>
    <row r="834" spans="1:7" x14ac:dyDescent="0.25">
      <c r="A834" t="s">
        <v>2254</v>
      </c>
      <c r="B834" s="3">
        <v>461305</v>
      </c>
      <c r="C834" s="3">
        <v>43800</v>
      </c>
      <c r="D834" s="17">
        <v>43202</v>
      </c>
    </row>
    <row r="835" spans="1:7" x14ac:dyDescent="0.25">
      <c r="A835" t="s">
        <v>2255</v>
      </c>
      <c r="B835" s="3">
        <v>21390.2</v>
      </c>
    </row>
    <row r="836" spans="1:7" x14ac:dyDescent="0.25">
      <c r="B836" s="3">
        <f>SUM(B833:B835)</f>
        <v>499890.2</v>
      </c>
      <c r="C836" s="3">
        <f>SUM(C833:C835)</f>
        <v>505800</v>
      </c>
      <c r="E836" s="18">
        <f>C836-B836</f>
        <v>5909.7999999999884</v>
      </c>
      <c r="F836" s="17">
        <v>43204</v>
      </c>
      <c r="G836" s="17">
        <v>43204</v>
      </c>
    </row>
    <row r="838" spans="1:7" x14ac:dyDescent="0.25">
      <c r="A838" t="s">
        <v>2309</v>
      </c>
      <c r="B838" s="3">
        <v>444483</v>
      </c>
      <c r="C838" s="3">
        <v>286000</v>
      </c>
      <c r="D838" s="17">
        <v>43206</v>
      </c>
      <c r="E838" s="3" t="s">
        <v>727</v>
      </c>
    </row>
    <row r="839" spans="1:7" x14ac:dyDescent="0.25">
      <c r="C839" s="130">
        <v>81123</v>
      </c>
      <c r="D839" s="17">
        <v>43199</v>
      </c>
      <c r="E839" s="3" t="s">
        <v>722</v>
      </c>
    </row>
    <row r="840" spans="1:7" x14ac:dyDescent="0.25">
      <c r="C840" s="88">
        <v>87558</v>
      </c>
      <c r="D840" s="17">
        <v>43200</v>
      </c>
      <c r="E840" s="3" t="s">
        <v>722</v>
      </c>
    </row>
    <row r="841" spans="1:7" x14ac:dyDescent="0.25">
      <c r="C841" s="18">
        <v>5910</v>
      </c>
      <c r="D841" s="17">
        <v>43204</v>
      </c>
      <c r="E841" s="3" t="s">
        <v>722</v>
      </c>
    </row>
    <row r="842" spans="1:7" x14ac:dyDescent="0.25">
      <c r="B842" s="3">
        <f>SUM(B838:B841)</f>
        <v>444483</v>
      </c>
      <c r="C842" s="3">
        <f>SUM(C838:C841)</f>
        <v>460591</v>
      </c>
      <c r="E842" s="84">
        <f>C842-B842</f>
        <v>16108</v>
      </c>
      <c r="F842" s="17">
        <v>43206</v>
      </c>
      <c r="G842" s="17">
        <v>43208</v>
      </c>
    </row>
    <row r="844" spans="1:7" x14ac:dyDescent="0.25">
      <c r="A844" t="s">
        <v>2311</v>
      </c>
      <c r="B844" s="3">
        <v>465744</v>
      </c>
      <c r="C844" s="3">
        <v>739000</v>
      </c>
      <c r="D844" s="17">
        <v>43208</v>
      </c>
      <c r="E844" s="3" t="s">
        <v>727</v>
      </c>
    </row>
    <row r="845" spans="1:7" x14ac:dyDescent="0.25">
      <c r="A845" t="s">
        <v>2312</v>
      </c>
      <c r="B845" s="3">
        <v>221712</v>
      </c>
    </row>
    <row r="846" spans="1:7" x14ac:dyDescent="0.25">
      <c r="B846" s="3">
        <f>SUM(B844:B845)</f>
        <v>687456</v>
      </c>
      <c r="C846" s="3">
        <f>SUM(C844:C845)</f>
        <v>739000</v>
      </c>
      <c r="E846" s="177">
        <f>C846-B846</f>
        <v>51544</v>
      </c>
      <c r="F846" s="17">
        <v>43208</v>
      </c>
      <c r="G846" s="17">
        <v>43209</v>
      </c>
    </row>
    <row r="848" spans="1:7" x14ac:dyDescent="0.25">
      <c r="A848" t="s">
        <v>2324</v>
      </c>
      <c r="B848" s="3">
        <v>232379</v>
      </c>
      <c r="C848" s="3">
        <v>676000</v>
      </c>
      <c r="D848" s="17">
        <v>43210</v>
      </c>
      <c r="E848" s="3" t="s">
        <v>727</v>
      </c>
    </row>
    <row r="849" spans="1:7" x14ac:dyDescent="0.25">
      <c r="A849" t="s">
        <v>2325</v>
      </c>
      <c r="B849" s="3">
        <v>231756</v>
      </c>
    </row>
    <row r="850" spans="1:7" x14ac:dyDescent="0.25">
      <c r="B850" s="3">
        <f>SUM(B848:B849)</f>
        <v>464135</v>
      </c>
      <c r="C850" s="3">
        <f>SUM(C848:C849)</f>
        <v>676000</v>
      </c>
      <c r="E850" s="83">
        <f>C850-B850</f>
        <v>211865</v>
      </c>
      <c r="F850" s="17">
        <v>43210</v>
      </c>
      <c r="G850" s="17">
        <v>43211</v>
      </c>
    </row>
    <row r="852" spans="1:7" x14ac:dyDescent="0.25">
      <c r="A852" t="s">
        <v>2329</v>
      </c>
      <c r="B852" s="3">
        <v>426650</v>
      </c>
      <c r="C852" s="3">
        <v>272000</v>
      </c>
      <c r="D852" s="17">
        <v>43211</v>
      </c>
      <c r="E852" s="3" t="s">
        <v>727</v>
      </c>
    </row>
    <row r="853" spans="1:7" x14ac:dyDescent="0.25">
      <c r="C853" s="3">
        <v>50000</v>
      </c>
      <c r="D853" s="17">
        <v>43211</v>
      </c>
    </row>
    <row r="854" spans="1:7" x14ac:dyDescent="0.25">
      <c r="C854" s="84">
        <v>16108</v>
      </c>
      <c r="D854" s="17">
        <v>43206</v>
      </c>
      <c r="E854" s="3" t="s">
        <v>722</v>
      </c>
    </row>
    <row r="855" spans="1:7" x14ac:dyDescent="0.25">
      <c r="C855" s="177">
        <v>51544</v>
      </c>
      <c r="D855" s="17">
        <v>43208</v>
      </c>
      <c r="E855" s="3" t="s">
        <v>722</v>
      </c>
    </row>
    <row r="856" spans="1:7" x14ac:dyDescent="0.25">
      <c r="C856" s="3">
        <v>36998</v>
      </c>
      <c r="D856" s="17">
        <v>43211</v>
      </c>
      <c r="E856" s="3" t="s">
        <v>721</v>
      </c>
    </row>
    <row r="857" spans="1:7" x14ac:dyDescent="0.25">
      <c r="B857" s="3">
        <f>SUM(B852:B856)</f>
        <v>426650</v>
      </c>
      <c r="C857" s="3">
        <f>SUM(C852:C856)</f>
        <v>426650</v>
      </c>
      <c r="E857" s="3">
        <f>C857-B857</f>
        <v>0</v>
      </c>
      <c r="F857" s="17">
        <v>43211</v>
      </c>
      <c r="G857" s="17">
        <v>43211</v>
      </c>
    </row>
    <row r="859" spans="1:7" x14ac:dyDescent="0.25">
      <c r="A859" t="s">
        <v>2407</v>
      </c>
      <c r="B859" s="3">
        <v>5112</v>
      </c>
      <c r="C859" s="3">
        <v>1061000</v>
      </c>
      <c r="D859" s="17">
        <v>43215</v>
      </c>
      <c r="E859" s="3" t="s">
        <v>727</v>
      </c>
    </row>
    <row r="860" spans="1:7" x14ac:dyDescent="0.25">
      <c r="A860" t="s">
        <v>2408</v>
      </c>
      <c r="B860" s="3">
        <v>30633.7</v>
      </c>
    </row>
    <row r="861" spans="1:7" x14ac:dyDescent="0.25">
      <c r="A861" t="s">
        <v>2409</v>
      </c>
      <c r="B861" s="3">
        <v>451236</v>
      </c>
    </row>
    <row r="862" spans="1:7" x14ac:dyDescent="0.25">
      <c r="A862" t="s">
        <v>2411</v>
      </c>
      <c r="B862" s="3">
        <v>227424</v>
      </c>
    </row>
    <row r="863" spans="1:7" x14ac:dyDescent="0.25">
      <c r="A863" t="s">
        <v>2410</v>
      </c>
      <c r="B863" s="3">
        <v>242802</v>
      </c>
    </row>
    <row r="864" spans="1:7" x14ac:dyDescent="0.25">
      <c r="B864" s="3">
        <f>SUM(B859:B863)</f>
        <v>957207.7</v>
      </c>
      <c r="C864" s="3">
        <f>SUM(C859:C863)</f>
        <v>1061000</v>
      </c>
      <c r="E864" s="73">
        <f>C864-B864</f>
        <v>103792.30000000005</v>
      </c>
      <c r="F864" s="17">
        <v>43215</v>
      </c>
      <c r="G864" s="17">
        <v>43216</v>
      </c>
    </row>
    <row r="866" spans="1:7" x14ac:dyDescent="0.25">
      <c r="A866" t="s">
        <v>2413</v>
      </c>
      <c r="B866" s="3">
        <v>230422.5</v>
      </c>
      <c r="C866" s="3">
        <v>273000</v>
      </c>
      <c r="D866" s="17">
        <v>43216</v>
      </c>
      <c r="E866" s="3" t="s">
        <v>727</v>
      </c>
    </row>
    <row r="867" spans="1:7" x14ac:dyDescent="0.25">
      <c r="B867" s="3">
        <f>SUM(B866)</f>
        <v>230422.5</v>
      </c>
      <c r="C867" s="3">
        <f>SUM(C866)</f>
        <v>273000</v>
      </c>
      <c r="E867" s="20">
        <f>C867-B867</f>
        <v>42577.5</v>
      </c>
      <c r="F867" s="17">
        <v>43217</v>
      </c>
      <c r="G867" s="17">
        <v>43217</v>
      </c>
    </row>
    <row r="869" spans="1:7" x14ac:dyDescent="0.25">
      <c r="A869" t="s">
        <v>2419</v>
      </c>
      <c r="B869" s="3">
        <v>448474</v>
      </c>
      <c r="C869" s="3">
        <v>421000</v>
      </c>
      <c r="D869" s="17">
        <v>43217</v>
      </c>
      <c r="E869" s="3" t="s">
        <v>727</v>
      </c>
    </row>
    <row r="870" spans="1:7" x14ac:dyDescent="0.25">
      <c r="C870" s="20">
        <v>42577.5</v>
      </c>
      <c r="D870" s="17">
        <v>43217</v>
      </c>
      <c r="E870" s="3" t="s">
        <v>722</v>
      </c>
    </row>
    <row r="871" spans="1:7" x14ac:dyDescent="0.25">
      <c r="B871" s="3">
        <f>SUM(B869:B870)</f>
        <v>448474</v>
      </c>
      <c r="C871" s="3">
        <f>SUM(C869:C870)</f>
        <v>463577.5</v>
      </c>
      <c r="E871" s="88">
        <f>C871-B871</f>
        <v>15103.5</v>
      </c>
      <c r="F871" s="17">
        <v>43217</v>
      </c>
      <c r="G871" s="17">
        <v>43218</v>
      </c>
    </row>
    <row r="873" spans="1:7" x14ac:dyDescent="0.25">
      <c r="A873" t="s">
        <v>2453</v>
      </c>
      <c r="B873" s="3">
        <v>473616</v>
      </c>
      <c r="C873" s="3">
        <v>328000</v>
      </c>
      <c r="D873" s="17">
        <v>43218</v>
      </c>
      <c r="E873" s="3" t="s">
        <v>727</v>
      </c>
    </row>
    <row r="874" spans="1:7" x14ac:dyDescent="0.25">
      <c r="C874" s="3">
        <v>57000</v>
      </c>
      <c r="D874" s="17">
        <v>43216</v>
      </c>
    </row>
    <row r="875" spans="1:7" x14ac:dyDescent="0.25">
      <c r="C875" s="3">
        <v>100000</v>
      </c>
      <c r="D875" s="17">
        <v>43218</v>
      </c>
      <c r="E875" s="3" t="s">
        <v>721</v>
      </c>
    </row>
    <row r="876" spans="1:7" x14ac:dyDescent="0.25">
      <c r="B876" s="3">
        <f>SUM(B873:B875)</f>
        <v>473616</v>
      </c>
      <c r="C876" s="3">
        <f>SUM(C873:C875)</f>
        <v>485000</v>
      </c>
      <c r="E876" s="18">
        <f>C876-B876</f>
        <v>11384</v>
      </c>
      <c r="F876" s="17">
        <v>43218</v>
      </c>
      <c r="G876" s="17">
        <v>43218</v>
      </c>
    </row>
    <row r="878" spans="1:7" x14ac:dyDescent="0.25">
      <c r="A878" t="s">
        <v>2477</v>
      </c>
      <c r="B878" s="3">
        <v>444307.5</v>
      </c>
      <c r="C878" s="3">
        <v>597000</v>
      </c>
      <c r="D878" s="17">
        <v>43225</v>
      </c>
      <c r="E878" s="3" t="s">
        <v>727</v>
      </c>
    </row>
    <row r="879" spans="1:7" x14ac:dyDescent="0.25">
      <c r="A879" t="s">
        <v>2478</v>
      </c>
      <c r="B879" s="3">
        <v>465532</v>
      </c>
      <c r="C879" s="3">
        <v>305000</v>
      </c>
      <c r="D879" s="17">
        <v>43220</v>
      </c>
      <c r="E879" s="3" t="s">
        <v>727</v>
      </c>
    </row>
    <row r="880" spans="1:7" x14ac:dyDescent="0.25">
      <c r="C880" s="3">
        <v>59350</v>
      </c>
      <c r="D880" s="17">
        <v>43223</v>
      </c>
    </row>
    <row r="881" spans="1:7" x14ac:dyDescent="0.25">
      <c r="B881" s="3">
        <f>SUM(B878:B880)</f>
        <v>909839.5</v>
      </c>
      <c r="C881" s="3">
        <f>SUM(C878:C880)</f>
        <v>961350</v>
      </c>
      <c r="E881" s="127">
        <f>C881-B881</f>
        <v>51510.5</v>
      </c>
      <c r="F881" s="17">
        <v>43222</v>
      </c>
      <c r="G881" s="17">
        <v>43224</v>
      </c>
    </row>
    <row r="883" spans="1:7" x14ac:dyDescent="0.25">
      <c r="A883" t="s">
        <v>2479</v>
      </c>
      <c r="B883" s="3">
        <v>217440</v>
      </c>
      <c r="C883" s="3">
        <v>315000</v>
      </c>
      <c r="D883" s="17">
        <v>43223</v>
      </c>
      <c r="E883" s="3" t="s">
        <v>727</v>
      </c>
    </row>
    <row r="884" spans="1:7" x14ac:dyDescent="0.25">
      <c r="B884" s="3">
        <f>SUM(B883)</f>
        <v>217440</v>
      </c>
      <c r="C884" s="3">
        <f>SUM(C883)</f>
        <v>315000</v>
      </c>
      <c r="E884" s="4">
        <f>C884-B884</f>
        <v>97560</v>
      </c>
      <c r="F884" s="17">
        <v>43223</v>
      </c>
      <c r="G884" s="17">
        <v>43224</v>
      </c>
    </row>
    <row r="886" spans="1:7" x14ac:dyDescent="0.25">
      <c r="A886" t="s">
        <v>2494</v>
      </c>
      <c r="B886" s="3">
        <v>12902.4</v>
      </c>
      <c r="C886" s="3">
        <v>305000</v>
      </c>
      <c r="D886" s="17">
        <v>43224</v>
      </c>
      <c r="E886" s="3" t="s">
        <v>2496</v>
      </c>
    </row>
    <row r="887" spans="1:7" x14ac:dyDescent="0.25">
      <c r="A887" t="s">
        <v>2495</v>
      </c>
      <c r="B887" s="3">
        <v>205175</v>
      </c>
    </row>
    <row r="888" spans="1:7" x14ac:dyDescent="0.25">
      <c r="B888" s="3">
        <f>SUM(B886:B887)</f>
        <v>218077.4</v>
      </c>
      <c r="C888" s="3">
        <f>SUM(C886:C887)</f>
        <v>305000</v>
      </c>
      <c r="E888" s="9">
        <f>C888-B888</f>
        <v>86922.6</v>
      </c>
      <c r="F888" s="17">
        <v>43224</v>
      </c>
      <c r="G888" s="17">
        <v>43225</v>
      </c>
    </row>
    <row r="890" spans="1:7" x14ac:dyDescent="0.25">
      <c r="A890" t="s">
        <v>2556</v>
      </c>
      <c r="B890" s="3">
        <v>428608</v>
      </c>
      <c r="C890" s="3">
        <v>600000</v>
      </c>
      <c r="D890" s="17">
        <v>43229</v>
      </c>
      <c r="E890" s="3" t="s">
        <v>2559</v>
      </c>
    </row>
    <row r="891" spans="1:7" x14ac:dyDescent="0.25">
      <c r="A891" t="s">
        <v>2557</v>
      </c>
      <c r="B891" s="3">
        <v>474715</v>
      </c>
      <c r="C891" s="3">
        <v>676000</v>
      </c>
      <c r="D891" s="17">
        <v>43229</v>
      </c>
      <c r="E891" s="3" t="s">
        <v>2559</v>
      </c>
    </row>
    <row r="892" spans="1:7" x14ac:dyDescent="0.25">
      <c r="A892" t="s">
        <v>2558</v>
      </c>
      <c r="B892" s="3">
        <v>243626</v>
      </c>
    </row>
    <row r="893" spans="1:7" x14ac:dyDescent="0.25">
      <c r="B893" s="3">
        <f>SUM(B890:B892)</f>
        <v>1146949</v>
      </c>
      <c r="C893" s="3">
        <f>SUM(C890:C892)</f>
        <v>1276000</v>
      </c>
      <c r="E893" s="84">
        <f>C893-B893</f>
        <v>129051</v>
      </c>
      <c r="F893" s="17">
        <v>43229</v>
      </c>
      <c r="G893" s="17">
        <v>43230</v>
      </c>
    </row>
    <row r="895" spans="1:7" x14ac:dyDescent="0.25">
      <c r="A895" t="s">
        <v>2560</v>
      </c>
      <c r="B895" s="3">
        <v>214312</v>
      </c>
      <c r="C895" s="3">
        <v>4236</v>
      </c>
      <c r="D895" s="17">
        <v>43229</v>
      </c>
      <c r="E895" s="3" t="s">
        <v>2562</v>
      </c>
    </row>
    <row r="896" spans="1:7" x14ac:dyDescent="0.25">
      <c r="A896" t="s">
        <v>2561</v>
      </c>
      <c r="B896" s="3">
        <v>206610</v>
      </c>
      <c r="C896" s="3">
        <v>22308</v>
      </c>
      <c r="D896" s="17">
        <v>43223</v>
      </c>
      <c r="E896" s="3" t="s">
        <v>2563</v>
      </c>
    </row>
    <row r="897" spans="1:7" x14ac:dyDescent="0.25">
      <c r="C897" s="3">
        <v>4300</v>
      </c>
      <c r="D897" s="17">
        <v>43223</v>
      </c>
      <c r="E897" s="3" t="s">
        <v>2564</v>
      </c>
    </row>
    <row r="898" spans="1:7" x14ac:dyDescent="0.25">
      <c r="C898" s="3">
        <v>15250</v>
      </c>
      <c r="D898" s="17">
        <v>43224</v>
      </c>
    </row>
    <row r="899" spans="1:7" x14ac:dyDescent="0.25">
      <c r="C899" s="3">
        <v>17300</v>
      </c>
      <c r="D899" s="17">
        <v>43227</v>
      </c>
    </row>
    <row r="900" spans="1:7" x14ac:dyDescent="0.25">
      <c r="C900" s="88">
        <v>15103.5</v>
      </c>
      <c r="D900" s="17">
        <v>43217</v>
      </c>
      <c r="E900" s="3" t="s">
        <v>722</v>
      </c>
    </row>
    <row r="901" spans="1:7" x14ac:dyDescent="0.25">
      <c r="C901" s="18">
        <v>11384</v>
      </c>
      <c r="D901" s="17">
        <v>43218</v>
      </c>
      <c r="E901" s="3" t="s">
        <v>722</v>
      </c>
    </row>
    <row r="902" spans="1:7" x14ac:dyDescent="0.25">
      <c r="C902" s="9">
        <v>86922.6</v>
      </c>
      <c r="D902" s="17">
        <v>43224</v>
      </c>
      <c r="E902" s="3" t="s">
        <v>722</v>
      </c>
    </row>
    <row r="903" spans="1:7" x14ac:dyDescent="0.25">
      <c r="C903" s="84">
        <v>129051</v>
      </c>
      <c r="D903" s="17">
        <v>43229</v>
      </c>
      <c r="E903" s="3" t="s">
        <v>722</v>
      </c>
    </row>
    <row r="904" spans="1:7" x14ac:dyDescent="0.25">
      <c r="C904" s="189">
        <v>51510.5</v>
      </c>
      <c r="D904" s="17">
        <v>43222</v>
      </c>
      <c r="E904" s="3" t="s">
        <v>722</v>
      </c>
    </row>
    <row r="905" spans="1:7" x14ac:dyDescent="0.25">
      <c r="C905" s="3">
        <v>40000</v>
      </c>
      <c r="D905" s="17">
        <v>43223</v>
      </c>
    </row>
    <row r="906" spans="1:7" x14ac:dyDescent="0.25">
      <c r="C906" s="3">
        <v>38000</v>
      </c>
      <c r="D906" s="17">
        <v>43230</v>
      </c>
    </row>
    <row r="907" spans="1:7" x14ac:dyDescent="0.25">
      <c r="B907" s="3">
        <f>SUM(B895:B906)</f>
        <v>420922</v>
      </c>
      <c r="C907" s="3">
        <f>SUM(C895:C906)</f>
        <v>435365.6</v>
      </c>
      <c r="E907" s="85">
        <f>C907-B907</f>
        <v>14443.599999999977</v>
      </c>
      <c r="F907" s="17">
        <v>43229</v>
      </c>
      <c r="G907" s="17">
        <v>43230</v>
      </c>
    </row>
    <row r="909" spans="1:7" x14ac:dyDescent="0.25">
      <c r="A909" t="s">
        <v>2601</v>
      </c>
      <c r="B909" s="3">
        <v>415452</v>
      </c>
      <c r="C909" s="3">
        <v>644000</v>
      </c>
      <c r="D909" s="17">
        <v>43231</v>
      </c>
      <c r="E909" s="3" t="s">
        <v>727</v>
      </c>
    </row>
    <row r="910" spans="1:7" x14ac:dyDescent="0.25">
      <c r="A910" t="s">
        <v>2602</v>
      </c>
      <c r="B910" s="3">
        <v>242110</v>
      </c>
      <c r="C910" s="3">
        <v>65095</v>
      </c>
      <c r="D910" s="17">
        <v>43229</v>
      </c>
      <c r="E910" s="3" t="s">
        <v>2604</v>
      </c>
    </row>
    <row r="911" spans="1:7" x14ac:dyDescent="0.25">
      <c r="A911" t="s">
        <v>2603</v>
      </c>
      <c r="B911" s="3">
        <v>2329.8000000000002</v>
      </c>
      <c r="C911" s="3">
        <v>1067</v>
      </c>
      <c r="D911" s="17">
        <v>43231</v>
      </c>
      <c r="E911" s="3" t="s">
        <v>2605</v>
      </c>
    </row>
    <row r="912" spans="1:7" x14ac:dyDescent="0.25">
      <c r="B912" s="3">
        <f>SUM(B909:B911)</f>
        <v>659891.80000000005</v>
      </c>
      <c r="C912" s="3">
        <f>SUM(C909:C911)</f>
        <v>710162</v>
      </c>
      <c r="E912" s="18">
        <f>C912-B912</f>
        <v>50270.199999999953</v>
      </c>
      <c r="F912" s="17">
        <v>43231</v>
      </c>
      <c r="G912" s="17">
        <v>43232</v>
      </c>
    </row>
    <row r="914" spans="1:8" x14ac:dyDescent="0.25">
      <c r="A914" t="s">
        <v>2626</v>
      </c>
      <c r="B914" s="3">
        <v>387660</v>
      </c>
      <c r="C914" s="3">
        <v>649000</v>
      </c>
      <c r="D914" s="17">
        <v>43234</v>
      </c>
      <c r="E914" s="3" t="s">
        <v>844</v>
      </c>
    </row>
    <row r="915" spans="1:8" x14ac:dyDescent="0.25">
      <c r="B915" s="3">
        <f>SUM(B914)</f>
        <v>387660</v>
      </c>
      <c r="C915" s="3">
        <f>SUM(C914)</f>
        <v>649000</v>
      </c>
      <c r="E915" s="3">
        <f>C915-B915</f>
        <v>261340</v>
      </c>
      <c r="F915" s="17">
        <v>43234</v>
      </c>
      <c r="G915" s="17">
        <v>43236</v>
      </c>
      <c r="H915" s="75"/>
    </row>
    <row r="917" spans="1:8" x14ac:dyDescent="0.25">
      <c r="A917" t="s">
        <v>2647</v>
      </c>
      <c r="B917" s="3">
        <v>18291</v>
      </c>
      <c r="C917" s="3">
        <v>63000</v>
      </c>
      <c r="D917" s="17">
        <v>43232</v>
      </c>
      <c r="E917" s="3" t="s">
        <v>2649</v>
      </c>
    </row>
    <row r="918" spans="1:8" x14ac:dyDescent="0.25">
      <c r="A918" t="s">
        <v>2648</v>
      </c>
      <c r="B918" s="3">
        <v>408250</v>
      </c>
      <c r="C918" s="3">
        <v>50000</v>
      </c>
      <c r="D918" s="17">
        <v>43232</v>
      </c>
      <c r="E918" s="3" t="s">
        <v>2649</v>
      </c>
    </row>
    <row r="919" spans="1:8" x14ac:dyDescent="0.25">
      <c r="C919" s="3">
        <v>94450</v>
      </c>
      <c r="D919" s="17">
        <v>43199</v>
      </c>
      <c r="E919" s="3" t="s">
        <v>2649</v>
      </c>
    </row>
    <row r="920" spans="1:8" x14ac:dyDescent="0.25">
      <c r="C920" s="3">
        <v>20000</v>
      </c>
      <c r="D920" s="17">
        <v>43234</v>
      </c>
    </row>
    <row r="921" spans="1:8" x14ac:dyDescent="0.25">
      <c r="C921" s="3">
        <v>8987</v>
      </c>
      <c r="D921" s="17">
        <v>43234</v>
      </c>
      <c r="E921" s="3" t="s">
        <v>2650</v>
      </c>
    </row>
    <row r="922" spans="1:8" x14ac:dyDescent="0.25">
      <c r="C922" s="85">
        <v>14433.1</v>
      </c>
      <c r="D922" s="17">
        <v>43229</v>
      </c>
      <c r="E922" s="3" t="s">
        <v>722</v>
      </c>
    </row>
    <row r="923" spans="1:8" x14ac:dyDescent="0.25">
      <c r="C923" s="18">
        <v>50270.2</v>
      </c>
      <c r="D923" s="17">
        <v>43231</v>
      </c>
      <c r="E923" s="3" t="s">
        <v>722</v>
      </c>
    </row>
    <row r="924" spans="1:8" x14ac:dyDescent="0.25">
      <c r="C924" s="4">
        <v>97560</v>
      </c>
      <c r="D924" s="17">
        <v>43223</v>
      </c>
      <c r="E924" s="3" t="s">
        <v>722</v>
      </c>
    </row>
    <row r="925" spans="1:8" x14ac:dyDescent="0.25">
      <c r="C925" s="3">
        <v>27841</v>
      </c>
      <c r="D925" s="17">
        <v>43234</v>
      </c>
    </row>
    <row r="926" spans="1:8" x14ac:dyDescent="0.25">
      <c r="B926" s="3">
        <f>SUM(B917:B924)</f>
        <v>426541</v>
      </c>
      <c r="C926" s="3">
        <f>SUM(C917:C925)</f>
        <v>426541.3</v>
      </c>
      <c r="E926" s="3">
        <f>C926-B926</f>
        <v>0.29999999998835847</v>
      </c>
      <c r="F926" s="17">
        <v>43234</v>
      </c>
      <c r="G926" s="17">
        <v>43236</v>
      </c>
    </row>
    <row r="928" spans="1:8" x14ac:dyDescent="0.25">
      <c r="A928" t="s">
        <v>2651</v>
      </c>
      <c r="B928" s="3">
        <v>197380</v>
      </c>
      <c r="C928" s="3">
        <v>634000</v>
      </c>
      <c r="D928" s="17">
        <v>43236</v>
      </c>
      <c r="E928" s="3" t="s">
        <v>727</v>
      </c>
    </row>
    <row r="929" spans="1:7" x14ac:dyDescent="0.25">
      <c r="A929" t="s">
        <v>2652</v>
      </c>
      <c r="B929" s="3">
        <v>398665</v>
      </c>
    </row>
    <row r="930" spans="1:7" x14ac:dyDescent="0.25">
      <c r="B930" s="3">
        <f>SUM(B928:B929)</f>
        <v>596045</v>
      </c>
      <c r="C930" s="3">
        <f>SUM(C928:C929)</f>
        <v>634000</v>
      </c>
      <c r="E930" s="20">
        <f>C930-B930</f>
        <v>37955</v>
      </c>
      <c r="F930" s="17">
        <v>43236</v>
      </c>
      <c r="G930" s="17">
        <v>43236</v>
      </c>
    </row>
    <row r="932" spans="1:7" x14ac:dyDescent="0.25">
      <c r="A932" t="s">
        <v>2711</v>
      </c>
      <c r="B932" s="3">
        <v>430260</v>
      </c>
      <c r="C932" s="3">
        <v>250000</v>
      </c>
      <c r="D932" s="17">
        <v>43239</v>
      </c>
      <c r="E932" s="3" t="s">
        <v>727</v>
      </c>
    </row>
    <row r="933" spans="1:7" x14ac:dyDescent="0.25">
      <c r="A933" t="s">
        <v>2712</v>
      </c>
      <c r="B933" s="3">
        <v>26301.9</v>
      </c>
      <c r="D933" s="17"/>
    </row>
    <row r="934" spans="1:7" x14ac:dyDescent="0.25">
      <c r="A934" t="s">
        <v>2713</v>
      </c>
      <c r="B934" s="3">
        <v>200072</v>
      </c>
      <c r="C934" s="20">
        <v>37955</v>
      </c>
      <c r="D934" s="17">
        <v>43236</v>
      </c>
      <c r="E934" s="3" t="s">
        <v>722</v>
      </c>
    </row>
    <row r="935" spans="1:7" x14ac:dyDescent="0.25">
      <c r="A935" t="s">
        <v>2714</v>
      </c>
      <c r="B935" s="3">
        <v>414740</v>
      </c>
      <c r="C935" s="3">
        <v>12850</v>
      </c>
      <c r="D935" s="17">
        <v>43241</v>
      </c>
    </row>
    <row r="936" spans="1:7" x14ac:dyDescent="0.25">
      <c r="C936" s="3">
        <v>80569</v>
      </c>
      <c r="D936" s="17">
        <v>43241</v>
      </c>
    </row>
    <row r="937" spans="1:7" x14ac:dyDescent="0.25">
      <c r="C937" s="3">
        <v>690000</v>
      </c>
      <c r="D937" s="17">
        <v>43238</v>
      </c>
      <c r="E937" s="3" t="s">
        <v>727</v>
      </c>
    </row>
    <row r="938" spans="1:7" x14ac:dyDescent="0.25">
      <c r="B938" s="3">
        <f>SUM(B932:B936)</f>
        <v>1071373.8999999999</v>
      </c>
      <c r="C938" s="3">
        <f>SUM(C932:C937)</f>
        <v>1071374</v>
      </c>
      <c r="E938" s="3">
        <f>C938-B938</f>
        <v>0.10000000009313226</v>
      </c>
      <c r="F938" s="17">
        <v>43238</v>
      </c>
      <c r="G938" s="17">
        <v>43243</v>
      </c>
    </row>
    <row r="940" spans="1:7" x14ac:dyDescent="0.25">
      <c r="A940" t="s">
        <v>2715</v>
      </c>
      <c r="B940" s="3">
        <v>28817.3</v>
      </c>
      <c r="C940" s="3">
        <v>424000</v>
      </c>
      <c r="D940" s="17">
        <v>43241</v>
      </c>
      <c r="E940" s="3" t="s">
        <v>727</v>
      </c>
    </row>
    <row r="941" spans="1:7" x14ac:dyDescent="0.25">
      <c r="A941" t="s">
        <v>2716</v>
      </c>
      <c r="B941" s="3">
        <v>326910.5</v>
      </c>
    </row>
    <row r="942" spans="1:7" x14ac:dyDescent="0.25">
      <c r="B942" s="3">
        <f>SUM(B940:B941)</f>
        <v>355727.8</v>
      </c>
      <c r="C942" s="3">
        <f>SUM(C940:C941)</f>
        <v>424000</v>
      </c>
      <c r="E942" s="87">
        <f>C942-B942</f>
        <v>68272.200000000012</v>
      </c>
      <c r="F942" s="17">
        <v>43241</v>
      </c>
      <c r="G942" s="17">
        <v>43243</v>
      </c>
    </row>
    <row r="944" spans="1:7" x14ac:dyDescent="0.25">
      <c r="A944" t="s">
        <v>2717</v>
      </c>
      <c r="B944" s="3">
        <v>193346</v>
      </c>
      <c r="C944" s="3">
        <v>280000</v>
      </c>
      <c r="D944" s="17">
        <v>43242</v>
      </c>
      <c r="E944" s="3" t="s">
        <v>727</v>
      </c>
    </row>
    <row r="945" spans="1:7" x14ac:dyDescent="0.25">
      <c r="B945" s="3">
        <f>SUM(B944)</f>
        <v>193346</v>
      </c>
      <c r="C945" s="3">
        <f>SUM(C944)</f>
        <v>280000</v>
      </c>
      <c r="E945" s="127">
        <f>C945-B945</f>
        <v>86654</v>
      </c>
      <c r="F945" s="17">
        <v>43242</v>
      </c>
      <c r="G945" s="17">
        <v>43243</v>
      </c>
    </row>
    <row r="947" spans="1:7" x14ac:dyDescent="0.25">
      <c r="A947" t="s">
        <v>2733</v>
      </c>
      <c r="B947" s="3">
        <v>404840</v>
      </c>
      <c r="C947" s="3">
        <v>455000</v>
      </c>
      <c r="D947" s="17">
        <v>43244</v>
      </c>
      <c r="E947" s="3" t="s">
        <v>727</v>
      </c>
    </row>
    <row r="948" spans="1:7" x14ac:dyDescent="0.25">
      <c r="B948" s="3">
        <f>SUM(B947)</f>
        <v>404840</v>
      </c>
      <c r="C948" s="3">
        <f>SUM(C947)</f>
        <v>455000</v>
      </c>
      <c r="E948" s="172">
        <f>C948-B948</f>
        <v>50160</v>
      </c>
      <c r="F948" s="17">
        <v>43244</v>
      </c>
      <c r="G948" s="17">
        <v>43245</v>
      </c>
    </row>
    <row r="950" spans="1:7" x14ac:dyDescent="0.25">
      <c r="A950" t="s">
        <v>2842</v>
      </c>
      <c r="B950" s="3">
        <v>240112</v>
      </c>
      <c r="C950" s="3">
        <v>100000</v>
      </c>
      <c r="D950" s="17">
        <v>43251</v>
      </c>
      <c r="E950" s="3" t="s">
        <v>727</v>
      </c>
    </row>
    <row r="951" spans="1:7" x14ac:dyDescent="0.25">
      <c r="A951" t="s">
        <v>2843</v>
      </c>
      <c r="B951" s="3">
        <v>213500</v>
      </c>
      <c r="C951" s="3">
        <v>500000</v>
      </c>
      <c r="D951" s="17">
        <v>43251</v>
      </c>
      <c r="E951" s="3" t="s">
        <v>727</v>
      </c>
    </row>
    <row r="952" spans="1:7" x14ac:dyDescent="0.25">
      <c r="A952" t="s">
        <v>2844</v>
      </c>
      <c r="B952" s="3">
        <v>239419.5</v>
      </c>
      <c r="C952" s="3">
        <v>753000</v>
      </c>
      <c r="D952" s="17">
        <v>43251</v>
      </c>
      <c r="E952" s="3" t="s">
        <v>727</v>
      </c>
    </row>
    <row r="953" spans="1:7" x14ac:dyDescent="0.25">
      <c r="A953" t="s">
        <v>2845</v>
      </c>
      <c r="B953" s="3">
        <v>206608</v>
      </c>
      <c r="C953" s="3">
        <v>590000</v>
      </c>
      <c r="D953" s="17">
        <v>43251</v>
      </c>
      <c r="E953" s="3" t="s">
        <v>727</v>
      </c>
    </row>
    <row r="954" spans="1:7" x14ac:dyDescent="0.25">
      <c r="A954" t="s">
        <v>2846</v>
      </c>
      <c r="B954" s="3">
        <v>192997</v>
      </c>
      <c r="C954" s="3">
        <v>229000</v>
      </c>
      <c r="D954" s="17">
        <v>43252</v>
      </c>
      <c r="E954" s="3" t="s">
        <v>727</v>
      </c>
    </row>
    <row r="955" spans="1:7" x14ac:dyDescent="0.25">
      <c r="A955" t="s">
        <v>2847</v>
      </c>
      <c r="B955" s="3">
        <v>405300</v>
      </c>
      <c r="C955" s="3">
        <v>54920</v>
      </c>
      <c r="D955" s="17">
        <v>43246</v>
      </c>
      <c r="F955" s="3">
        <v>54950</v>
      </c>
    </row>
    <row r="956" spans="1:7" x14ac:dyDescent="0.25">
      <c r="A956" t="s">
        <v>2848</v>
      </c>
      <c r="B956" s="3">
        <v>382900</v>
      </c>
      <c r="C956" s="3">
        <v>50138</v>
      </c>
      <c r="D956" s="17">
        <v>43242</v>
      </c>
      <c r="E956" s="3" t="s">
        <v>2850</v>
      </c>
    </row>
    <row r="957" spans="1:7" x14ac:dyDescent="0.25">
      <c r="A957" t="s">
        <v>2849</v>
      </c>
      <c r="B957" s="3">
        <v>390741</v>
      </c>
      <c r="C957" s="3">
        <v>4978</v>
      </c>
      <c r="D957" s="17">
        <v>43242</v>
      </c>
      <c r="E957" s="3" t="s">
        <v>2851</v>
      </c>
      <c r="F957" t="s">
        <v>2852</v>
      </c>
    </row>
    <row r="958" spans="1:7" x14ac:dyDescent="0.25">
      <c r="B958" s="3">
        <f>SUM(B950:B957)</f>
        <v>2271577.5</v>
      </c>
      <c r="C958" s="3">
        <f>SUM(C950:C957)</f>
        <v>2282036</v>
      </c>
      <c r="E958" s="20">
        <f>C958-B958</f>
        <v>10458.5</v>
      </c>
      <c r="F958" s="17">
        <v>43252</v>
      </c>
      <c r="G958" s="17">
        <v>43253</v>
      </c>
    </row>
    <row r="960" spans="1:7" x14ac:dyDescent="0.25">
      <c r="A960" t="s">
        <v>2853</v>
      </c>
      <c r="B960" s="3">
        <v>394284</v>
      </c>
      <c r="C960" s="3">
        <v>421000</v>
      </c>
      <c r="D960" s="17">
        <v>43253</v>
      </c>
      <c r="E960" s="3" t="s">
        <v>727</v>
      </c>
    </row>
    <row r="961" spans="1:7" x14ac:dyDescent="0.25">
      <c r="B961" s="3">
        <f>SUM(B960)</f>
        <v>394284</v>
      </c>
      <c r="C961" s="3">
        <f>SUM(C960)</f>
        <v>421000</v>
      </c>
      <c r="E961" s="86">
        <f>C961-B961</f>
        <v>26716</v>
      </c>
      <c r="F961" s="17">
        <v>43253</v>
      </c>
      <c r="G961" s="17">
        <v>43255</v>
      </c>
    </row>
    <row r="963" spans="1:7" x14ac:dyDescent="0.25">
      <c r="A963" t="s">
        <v>2886</v>
      </c>
      <c r="B963" s="3">
        <v>237569</v>
      </c>
      <c r="C963" s="3">
        <v>724000</v>
      </c>
      <c r="D963" s="17">
        <v>43256</v>
      </c>
      <c r="E963" s="3" t="s">
        <v>727</v>
      </c>
    </row>
    <row r="964" spans="1:7" x14ac:dyDescent="0.25">
      <c r="A964" t="s">
        <v>2887</v>
      </c>
      <c r="B964" s="3">
        <v>9691.9</v>
      </c>
      <c r="C964" s="86">
        <v>26716</v>
      </c>
      <c r="D964" s="17">
        <v>43253</v>
      </c>
      <c r="E964" s="3" t="s">
        <v>722</v>
      </c>
    </row>
    <row r="965" spans="1:7" x14ac:dyDescent="0.25">
      <c r="A965" t="s">
        <v>2888</v>
      </c>
      <c r="B965" s="3">
        <v>575940</v>
      </c>
      <c r="C965" s="3">
        <v>74000</v>
      </c>
      <c r="D965" s="17">
        <v>43255</v>
      </c>
    </row>
    <row r="966" spans="1:7" x14ac:dyDescent="0.25">
      <c r="B966" s="3">
        <f>SUM(B963:B965)</f>
        <v>823200.9</v>
      </c>
      <c r="C966" s="3">
        <f>SUM(C963:C965)</f>
        <v>824716</v>
      </c>
      <c r="E966" s="84">
        <f>C966-B966</f>
        <v>1515.0999999999767</v>
      </c>
      <c r="F966" s="17">
        <v>43256</v>
      </c>
      <c r="G966" s="17">
        <v>43257</v>
      </c>
    </row>
    <row r="968" spans="1:7" x14ac:dyDescent="0.25">
      <c r="A968" t="s">
        <v>2900</v>
      </c>
      <c r="B968" s="3">
        <v>203040</v>
      </c>
      <c r="D968" s="17"/>
    </row>
    <row r="969" spans="1:7" x14ac:dyDescent="0.25">
      <c r="C969" s="84">
        <v>1515.1</v>
      </c>
      <c r="D969" s="17">
        <v>43256</v>
      </c>
      <c r="E969" s="3" t="s">
        <v>722</v>
      </c>
    </row>
    <row r="970" spans="1:7" x14ac:dyDescent="0.25">
      <c r="A970" t="s">
        <v>2906</v>
      </c>
      <c r="B970" s="3">
        <v>391878</v>
      </c>
      <c r="C970" s="3">
        <v>34850</v>
      </c>
      <c r="D970" s="17">
        <v>43258</v>
      </c>
      <c r="E970" s="3" t="s">
        <v>2905</v>
      </c>
    </row>
    <row r="971" spans="1:7" x14ac:dyDescent="0.25">
      <c r="C971" s="20">
        <v>10458.5</v>
      </c>
      <c r="D971" s="17">
        <v>43252</v>
      </c>
      <c r="E971" s="3" t="s">
        <v>722</v>
      </c>
    </row>
    <row r="972" spans="1:7" x14ac:dyDescent="0.25">
      <c r="C972" s="3">
        <v>7375.2</v>
      </c>
      <c r="D972" s="17">
        <v>43258</v>
      </c>
      <c r="E972" s="3" t="s">
        <v>2901</v>
      </c>
    </row>
    <row r="973" spans="1:7" x14ac:dyDescent="0.25">
      <c r="C973" s="3">
        <v>6600</v>
      </c>
      <c r="D973" s="17">
        <v>43256</v>
      </c>
      <c r="E973" s="3" t="s">
        <v>2904</v>
      </c>
    </row>
    <row r="974" spans="1:7" x14ac:dyDescent="0.25">
      <c r="C974" s="3">
        <v>20168</v>
      </c>
      <c r="D974" s="17">
        <v>43257</v>
      </c>
      <c r="E974" s="3" t="s">
        <v>2903</v>
      </c>
    </row>
    <row r="975" spans="1:7" x14ac:dyDescent="0.25">
      <c r="C975" s="3">
        <v>2640</v>
      </c>
      <c r="D975" s="17">
        <v>43256</v>
      </c>
      <c r="E975" s="3" t="s">
        <v>2902</v>
      </c>
    </row>
    <row r="976" spans="1:7" x14ac:dyDescent="0.25">
      <c r="C976" s="3">
        <v>67450</v>
      </c>
      <c r="D976" s="17">
        <v>43258</v>
      </c>
      <c r="E976" s="3" t="s">
        <v>2915</v>
      </c>
    </row>
    <row r="977" spans="1:7" x14ac:dyDescent="0.25">
      <c r="C977" s="3">
        <v>445000</v>
      </c>
      <c r="D977" s="17">
        <v>43258</v>
      </c>
      <c r="E977" s="3" t="s">
        <v>727</v>
      </c>
    </row>
    <row r="978" spans="1:7" x14ac:dyDescent="0.25">
      <c r="B978" s="3">
        <f>SUM(B968:B975)</f>
        <v>594918</v>
      </c>
      <c r="C978" s="3">
        <f>SUM(C968:C977)</f>
        <v>596056.80000000005</v>
      </c>
      <c r="E978" s="18">
        <f>C978-B978</f>
        <v>1138.8000000000466</v>
      </c>
      <c r="F978" s="17">
        <v>43258</v>
      </c>
      <c r="G978" s="17">
        <v>43259</v>
      </c>
    </row>
    <row r="980" spans="1:7" x14ac:dyDescent="0.25">
      <c r="A980" t="s">
        <v>2916</v>
      </c>
      <c r="B980" s="3">
        <v>414286</v>
      </c>
      <c r="C980" s="3">
        <v>763000</v>
      </c>
      <c r="D980" s="17">
        <v>43260</v>
      </c>
      <c r="E980" s="3" t="s">
        <v>727</v>
      </c>
    </row>
    <row r="981" spans="1:7" x14ac:dyDescent="0.25">
      <c r="A981" t="s">
        <v>2917</v>
      </c>
      <c r="B981" s="3">
        <v>389156</v>
      </c>
      <c r="C981" s="18">
        <v>1138.5999999999999</v>
      </c>
      <c r="D981" s="17">
        <v>43258</v>
      </c>
      <c r="E981" s="3" t="s">
        <v>722</v>
      </c>
    </row>
    <row r="982" spans="1:7" x14ac:dyDescent="0.25">
      <c r="C982" s="3">
        <v>42000</v>
      </c>
      <c r="D982" s="17">
        <v>43260</v>
      </c>
      <c r="E982" s="3" t="s">
        <v>721</v>
      </c>
    </row>
    <row r="983" spans="1:7" x14ac:dyDescent="0.25">
      <c r="B983" s="3">
        <f>SUM(B980:B982)</f>
        <v>803442</v>
      </c>
      <c r="C983" s="3">
        <f>SUM(C980:C982)</f>
        <v>806138.6</v>
      </c>
      <c r="E983" s="197">
        <f>C983-B983</f>
        <v>2696.5999999999767</v>
      </c>
      <c r="F983" s="17">
        <v>43260</v>
      </c>
      <c r="G983" s="17">
        <v>43260</v>
      </c>
    </row>
    <row r="985" spans="1:7" x14ac:dyDescent="0.25">
      <c r="A985" t="s">
        <v>2954</v>
      </c>
      <c r="B985" s="3">
        <v>408542</v>
      </c>
      <c r="C985" s="172">
        <v>50160</v>
      </c>
      <c r="D985" s="17">
        <v>43244</v>
      </c>
      <c r="E985" s="3" t="s">
        <v>722</v>
      </c>
    </row>
    <row r="986" spans="1:7" x14ac:dyDescent="0.25">
      <c r="A986" t="s">
        <v>2955</v>
      </c>
      <c r="B986" s="3">
        <v>9079.4</v>
      </c>
      <c r="C986" s="3">
        <v>70750</v>
      </c>
      <c r="D986" s="17">
        <v>43246</v>
      </c>
    </row>
    <row r="987" spans="1:7" x14ac:dyDescent="0.25">
      <c r="A987" t="s">
        <v>2956</v>
      </c>
      <c r="B987" s="3">
        <v>10072.799999999999</v>
      </c>
      <c r="C987" s="127">
        <v>86654</v>
      </c>
      <c r="D987" s="17">
        <v>43242</v>
      </c>
      <c r="E987" s="3" t="s">
        <v>722</v>
      </c>
    </row>
    <row r="988" spans="1:7" x14ac:dyDescent="0.25">
      <c r="C988" s="3">
        <v>49900</v>
      </c>
      <c r="D988" s="17">
        <v>43238</v>
      </c>
    </row>
    <row r="989" spans="1:7" x14ac:dyDescent="0.25">
      <c r="C989" s="87">
        <v>68272.2</v>
      </c>
      <c r="D989" s="17">
        <v>43241</v>
      </c>
      <c r="E989" s="3" t="s">
        <v>722</v>
      </c>
    </row>
    <row r="990" spans="1:7" x14ac:dyDescent="0.25">
      <c r="C990" s="197">
        <v>2696.6</v>
      </c>
      <c r="D990" s="17">
        <v>43260</v>
      </c>
      <c r="E990" s="3" t="s">
        <v>722</v>
      </c>
    </row>
    <row r="991" spans="1:7" x14ac:dyDescent="0.25">
      <c r="C991" s="3">
        <v>52550</v>
      </c>
      <c r="D991" s="17">
        <v>43242</v>
      </c>
    </row>
    <row r="992" spans="1:7" x14ac:dyDescent="0.25">
      <c r="C992" s="3">
        <v>13700</v>
      </c>
      <c r="D992" s="17">
        <v>43235</v>
      </c>
    </row>
    <row r="993" spans="1:7" x14ac:dyDescent="0.25">
      <c r="C993" s="3">
        <v>33600</v>
      </c>
      <c r="D993" s="17">
        <v>43244</v>
      </c>
    </row>
    <row r="994" spans="1:7" x14ac:dyDescent="0.25">
      <c r="B994" s="3">
        <f>SUM(B985:B993)</f>
        <v>427694.2</v>
      </c>
      <c r="C994" s="3">
        <f>SUM(C985:C993)</f>
        <v>428282.8</v>
      </c>
      <c r="E994" s="9">
        <f>C994-B994</f>
        <v>588.59999999997672</v>
      </c>
      <c r="F994" s="17">
        <v>43263</v>
      </c>
      <c r="G994" s="17">
        <v>43265</v>
      </c>
    </row>
    <row r="996" spans="1:7" x14ac:dyDescent="0.25">
      <c r="A996" t="s">
        <v>2957</v>
      </c>
      <c r="B996" s="3">
        <v>227601</v>
      </c>
      <c r="C996" s="20">
        <v>198197</v>
      </c>
      <c r="D996" s="17">
        <v>43120</v>
      </c>
      <c r="E996" s="3" t="s">
        <v>722</v>
      </c>
    </row>
    <row r="997" spans="1:7" x14ac:dyDescent="0.25">
      <c r="C997" s="3">
        <v>34000</v>
      </c>
      <c r="D997" s="17">
        <v>43243</v>
      </c>
    </row>
    <row r="998" spans="1:7" x14ac:dyDescent="0.25">
      <c r="B998" s="3">
        <f>SUM(B996:B997)</f>
        <v>227601</v>
      </c>
      <c r="C998" s="3">
        <f>SUM(C996:C997)</f>
        <v>232197</v>
      </c>
      <c r="E998" s="84">
        <f>C998-B998</f>
        <v>4596</v>
      </c>
      <c r="F998" s="17">
        <v>43263</v>
      </c>
      <c r="G998" s="17">
        <v>43265</v>
      </c>
    </row>
    <row r="1000" spans="1:7" x14ac:dyDescent="0.25">
      <c r="A1000" t="s">
        <v>2975</v>
      </c>
      <c r="B1000" s="3">
        <v>37445.300000000003</v>
      </c>
      <c r="C1000" s="9">
        <v>588.6</v>
      </c>
      <c r="D1000" s="17">
        <v>43263</v>
      </c>
      <c r="E1000" s="3" t="s">
        <v>722</v>
      </c>
    </row>
    <row r="1001" spans="1:7" x14ac:dyDescent="0.25">
      <c r="A1001" t="s">
        <v>2976</v>
      </c>
      <c r="B1001" s="3">
        <v>215259</v>
      </c>
      <c r="C1001" s="84">
        <v>4596</v>
      </c>
      <c r="D1001" s="17">
        <v>43263</v>
      </c>
      <c r="E1001" s="3" t="s">
        <v>722</v>
      </c>
    </row>
    <row r="1002" spans="1:7" x14ac:dyDescent="0.25">
      <c r="A1002" t="s">
        <v>2977</v>
      </c>
      <c r="B1002" s="3">
        <v>10152</v>
      </c>
      <c r="C1002" s="3">
        <v>20288</v>
      </c>
      <c r="D1002" s="17">
        <v>43259</v>
      </c>
      <c r="E1002" s="3" t="s">
        <v>2978</v>
      </c>
    </row>
    <row r="1003" spans="1:7" x14ac:dyDescent="0.25">
      <c r="C1003" s="3">
        <v>265000</v>
      </c>
      <c r="D1003" s="17">
        <v>43264</v>
      </c>
      <c r="E1003" s="3" t="s">
        <v>844</v>
      </c>
    </row>
    <row r="1004" spans="1:7" x14ac:dyDescent="0.25">
      <c r="B1004" s="3">
        <f>SUM(B1000:B1003)</f>
        <v>262856.3</v>
      </c>
      <c r="C1004" s="3">
        <f>SUM(C1000:C1003)</f>
        <v>290472.59999999998</v>
      </c>
      <c r="E1004" s="73">
        <f>C1004-B1004</f>
        <v>27616.299999999988</v>
      </c>
      <c r="F1004" s="17">
        <v>43264</v>
      </c>
      <c r="G1004" s="17">
        <v>43265</v>
      </c>
    </row>
    <row r="1005" spans="1:7" x14ac:dyDescent="0.25">
      <c r="E1005" s="3">
        <v>270</v>
      </c>
      <c r="F1005" t="s">
        <v>3062</v>
      </c>
    </row>
    <row r="1006" spans="1:7" x14ac:dyDescent="0.25">
      <c r="A1006" t="s">
        <v>2979</v>
      </c>
      <c r="B1006" s="3">
        <v>226612</v>
      </c>
      <c r="C1006" s="3">
        <v>220000</v>
      </c>
      <c r="D1006" s="17">
        <v>43265</v>
      </c>
      <c r="E1006" s="3" t="s">
        <v>727</v>
      </c>
    </row>
    <row r="1007" spans="1:7" x14ac:dyDescent="0.25">
      <c r="C1007" s="3">
        <v>13200</v>
      </c>
      <c r="D1007" s="17">
        <v>43266</v>
      </c>
    </row>
    <row r="1008" spans="1:7" x14ac:dyDescent="0.25">
      <c r="A1008" t="s">
        <v>3002</v>
      </c>
      <c r="B1008" s="3">
        <v>417824</v>
      </c>
      <c r="C1008" s="73">
        <v>27886.3</v>
      </c>
      <c r="D1008" s="17">
        <v>43264</v>
      </c>
      <c r="E1008" s="3" t="s">
        <v>722</v>
      </c>
    </row>
    <row r="1009" spans="1:7" x14ac:dyDescent="0.25">
      <c r="A1009" t="s">
        <v>3003</v>
      </c>
      <c r="B1009" s="3">
        <v>11023.2</v>
      </c>
      <c r="C1009" s="3">
        <v>65350</v>
      </c>
      <c r="D1009" s="17">
        <v>43265</v>
      </c>
    </row>
    <row r="1010" spans="1:7" x14ac:dyDescent="0.25">
      <c r="C1010" s="3">
        <v>318000</v>
      </c>
      <c r="D1010" s="17">
        <v>43266</v>
      </c>
      <c r="E1010" s="3" t="s">
        <v>727</v>
      </c>
    </row>
    <row r="1011" spans="1:7" x14ac:dyDescent="0.25">
      <c r="C1011" s="3">
        <v>45689</v>
      </c>
      <c r="D1011" s="17">
        <v>43266</v>
      </c>
      <c r="E1011" s="3" t="s">
        <v>3004</v>
      </c>
    </row>
    <row r="1012" spans="1:7" x14ac:dyDescent="0.25">
      <c r="C1012" s="3">
        <v>1885</v>
      </c>
      <c r="D1012" s="17">
        <v>43266</v>
      </c>
      <c r="E1012" s="3" t="s">
        <v>3005</v>
      </c>
    </row>
    <row r="1013" spans="1:7" x14ac:dyDescent="0.25">
      <c r="B1013" s="3">
        <f>SUM(B1006:B1012)</f>
        <v>655459.19999999995</v>
      </c>
      <c r="C1013" s="3">
        <f>SUM(C1006:C1012)</f>
        <v>692010.3</v>
      </c>
      <c r="E1013" s="20">
        <f>C1013-B1013</f>
        <v>36551.100000000093</v>
      </c>
      <c r="F1013" s="17" t="s">
        <v>3006</v>
      </c>
      <c r="G1013" s="17">
        <v>43266</v>
      </c>
    </row>
    <row r="1015" spans="1:7" x14ac:dyDescent="0.25">
      <c r="A1015" t="s">
        <v>3029</v>
      </c>
      <c r="B1015" s="3">
        <v>433422</v>
      </c>
      <c r="C1015" s="3">
        <v>420000</v>
      </c>
      <c r="D1015" s="17">
        <v>43267</v>
      </c>
      <c r="E1015" s="3" t="s">
        <v>727</v>
      </c>
    </row>
    <row r="1016" spans="1:7" x14ac:dyDescent="0.25">
      <c r="C1016" s="3">
        <v>13422</v>
      </c>
      <c r="D1016" s="17">
        <v>43267</v>
      </c>
      <c r="E1016" s="3" t="s">
        <v>721</v>
      </c>
    </row>
    <row r="1017" spans="1:7" x14ac:dyDescent="0.25">
      <c r="B1017" s="3">
        <f>SUM(B1015:B1016)</f>
        <v>433422</v>
      </c>
      <c r="C1017" s="3">
        <f>SUM(C1015:C1016)</f>
        <v>433422</v>
      </c>
      <c r="E1017" s="3">
        <f>C1017-B1017</f>
        <v>0</v>
      </c>
      <c r="F1017" s="17">
        <v>43267</v>
      </c>
      <c r="G1017" s="17">
        <v>43267</v>
      </c>
    </row>
    <row r="1019" spans="1:7" x14ac:dyDescent="0.25">
      <c r="A1019" t="s">
        <v>3058</v>
      </c>
      <c r="B1019" s="3">
        <v>25575.9</v>
      </c>
      <c r="C1019" s="3">
        <v>684000</v>
      </c>
      <c r="D1019" s="17">
        <v>43269</v>
      </c>
      <c r="E1019" s="3" t="s">
        <v>727</v>
      </c>
    </row>
    <row r="1020" spans="1:7" x14ac:dyDescent="0.25">
      <c r="A1020" t="s">
        <v>3059</v>
      </c>
      <c r="B1020" s="3">
        <v>217554</v>
      </c>
    </row>
    <row r="1021" spans="1:7" x14ac:dyDescent="0.25">
      <c r="A1021" t="s">
        <v>3060</v>
      </c>
      <c r="B1021" s="3">
        <v>18044.3</v>
      </c>
    </row>
    <row r="1022" spans="1:7" x14ac:dyDescent="0.25">
      <c r="A1022" t="s">
        <v>3061</v>
      </c>
      <c r="B1022" s="3">
        <v>412173</v>
      </c>
    </row>
    <row r="1023" spans="1:7" x14ac:dyDescent="0.25">
      <c r="B1023" s="3">
        <f>SUM(B1019:B1022)</f>
        <v>673347.2</v>
      </c>
      <c r="C1023" s="3">
        <f>SUM(C1019:C1022)</f>
        <v>684000</v>
      </c>
      <c r="E1023" s="18">
        <f>C1023-B1023</f>
        <v>10652.800000000047</v>
      </c>
      <c r="F1023" s="17">
        <v>43269</v>
      </c>
      <c r="G1023" s="17">
        <v>43270</v>
      </c>
    </row>
    <row r="1025" spans="1:10" x14ac:dyDescent="0.25">
      <c r="A1025" t="s">
        <v>3075</v>
      </c>
      <c r="B1025" s="3">
        <v>378196</v>
      </c>
      <c r="C1025" s="4">
        <v>96242.9</v>
      </c>
      <c r="D1025" s="17">
        <v>43109</v>
      </c>
      <c r="E1025" s="3" t="s">
        <v>722</v>
      </c>
    </row>
    <row r="1026" spans="1:10" x14ac:dyDescent="0.25">
      <c r="C1026" s="73">
        <v>103792.3</v>
      </c>
      <c r="D1026" s="17">
        <v>43215</v>
      </c>
      <c r="E1026" s="3" t="s">
        <v>722</v>
      </c>
    </row>
    <row r="1027" spans="1:10" x14ac:dyDescent="0.25">
      <c r="C1027" s="20">
        <v>36551.1</v>
      </c>
      <c r="D1027" s="17">
        <v>43266</v>
      </c>
      <c r="E1027" s="3" t="s">
        <v>722</v>
      </c>
    </row>
    <row r="1028" spans="1:10" x14ac:dyDescent="0.25">
      <c r="C1028" s="18">
        <v>10652.8</v>
      </c>
      <c r="D1028" s="17">
        <v>43269</v>
      </c>
      <c r="E1028" s="3" t="s">
        <v>722</v>
      </c>
    </row>
    <row r="1029" spans="1:10" x14ac:dyDescent="0.25">
      <c r="C1029" s="3">
        <v>15000</v>
      </c>
      <c r="D1029" s="17">
        <v>43269</v>
      </c>
    </row>
    <row r="1030" spans="1:10" x14ac:dyDescent="0.25">
      <c r="C1030" s="3">
        <v>38500</v>
      </c>
      <c r="D1030" s="17">
        <v>43234</v>
      </c>
    </row>
    <row r="1031" spans="1:10" x14ac:dyDescent="0.25">
      <c r="C1031" s="3">
        <v>50000</v>
      </c>
      <c r="D1031" s="17">
        <v>43272</v>
      </c>
    </row>
    <row r="1032" spans="1:10" x14ac:dyDescent="0.25">
      <c r="C1032" s="3">
        <v>5407</v>
      </c>
      <c r="D1032" s="17">
        <v>43272</v>
      </c>
    </row>
    <row r="1033" spans="1:10" x14ac:dyDescent="0.25">
      <c r="B1033" s="3">
        <f>SUM(B1025:B1032)</f>
        <v>378196</v>
      </c>
      <c r="C1033" s="3">
        <f>SUM(C1025:C1032)</f>
        <v>356146.1</v>
      </c>
      <c r="E1033" s="3">
        <f>C1033-B1033</f>
        <v>-22049.900000000023</v>
      </c>
      <c r="F1033" s="17">
        <v>43271</v>
      </c>
      <c r="G1033" s="17">
        <v>43273</v>
      </c>
      <c r="H1033" s="206"/>
      <c r="I1033" s="206" t="s">
        <v>3081</v>
      </c>
      <c r="J1033" s="16"/>
    </row>
    <row r="1035" spans="1:10" x14ac:dyDescent="0.25">
      <c r="A1035" t="s">
        <v>3082</v>
      </c>
      <c r="B1035" s="3">
        <v>234315</v>
      </c>
      <c r="C1035" s="3">
        <v>190000</v>
      </c>
      <c r="D1035" s="17">
        <v>43271</v>
      </c>
    </row>
    <row r="1036" spans="1:10" x14ac:dyDescent="0.25">
      <c r="C1036" s="3">
        <v>44315</v>
      </c>
      <c r="D1036" s="17">
        <v>43272</v>
      </c>
    </row>
    <row r="1037" spans="1:10" x14ac:dyDescent="0.25">
      <c r="B1037" s="3">
        <f>SUM(B1035:B1036)</f>
        <v>234315</v>
      </c>
      <c r="C1037" s="3">
        <f>SUM(C1035:C1036)</f>
        <v>234315</v>
      </c>
      <c r="E1037" s="3">
        <f>C1037-B1037</f>
        <v>0</v>
      </c>
      <c r="F1037" s="17">
        <v>43271</v>
      </c>
      <c r="G1037" s="17">
        <v>43273</v>
      </c>
    </row>
    <row r="1039" spans="1:10" x14ac:dyDescent="0.25">
      <c r="A1039" t="s">
        <v>3086</v>
      </c>
      <c r="B1039" s="3">
        <v>73128.899999999994</v>
      </c>
      <c r="C1039" s="3">
        <v>450000</v>
      </c>
      <c r="D1039" s="17">
        <v>43273</v>
      </c>
      <c r="E1039" s="3" t="s">
        <v>727</v>
      </c>
    </row>
    <row r="1040" spans="1:10" x14ac:dyDescent="0.25">
      <c r="A1040" t="s">
        <v>3087</v>
      </c>
      <c r="B1040" s="3">
        <v>232744</v>
      </c>
      <c r="C1040" s="3">
        <v>200000</v>
      </c>
      <c r="D1040" s="17">
        <v>43273</v>
      </c>
      <c r="E1040" s="3" t="s">
        <v>727</v>
      </c>
    </row>
    <row r="1041" spans="1:8" x14ac:dyDescent="0.25">
      <c r="A1041" t="s">
        <v>3088</v>
      </c>
      <c r="B1041" s="3">
        <v>226188</v>
      </c>
    </row>
    <row r="1042" spans="1:8" x14ac:dyDescent="0.25">
      <c r="B1042" s="3">
        <f>SUM(B1039:B1041)</f>
        <v>532060.9</v>
      </c>
      <c r="C1042" s="3">
        <f>SUM(C1039:C1041)</f>
        <v>650000</v>
      </c>
      <c r="E1042" s="9">
        <f>C1042-B1042</f>
        <v>117939.09999999998</v>
      </c>
      <c r="F1042" s="17">
        <v>43274</v>
      </c>
      <c r="G1042" s="17">
        <v>43274</v>
      </c>
      <c r="H1042" s="35"/>
    </row>
    <row r="1044" spans="1:8" x14ac:dyDescent="0.25">
      <c r="A1044" t="s">
        <v>3094</v>
      </c>
      <c r="B1044" s="3">
        <v>6350.4</v>
      </c>
      <c r="C1044" s="3">
        <v>466000</v>
      </c>
      <c r="D1044" s="17">
        <v>43274</v>
      </c>
      <c r="E1044" s="3" t="s">
        <v>727</v>
      </c>
    </row>
    <row r="1045" spans="1:8" x14ac:dyDescent="0.25">
      <c r="A1045" t="s">
        <v>3095</v>
      </c>
      <c r="B1045" s="3">
        <v>444056</v>
      </c>
    </row>
    <row r="1046" spans="1:8" x14ac:dyDescent="0.25">
      <c r="B1046" s="3">
        <f>SUM(B1044:B1045)</f>
        <v>450406.40000000002</v>
      </c>
      <c r="C1046" s="3">
        <f>SUM(C1044:C1045)</f>
        <v>466000</v>
      </c>
      <c r="E1046" s="88">
        <f>C1046-B1046</f>
        <v>15593.599999999977</v>
      </c>
      <c r="F1046" s="17">
        <v>43274</v>
      </c>
      <c r="G1046" s="17">
        <v>43274</v>
      </c>
      <c r="H1046" s="35"/>
    </row>
    <row r="1048" spans="1:8" x14ac:dyDescent="0.25">
      <c r="A1048" t="s">
        <v>3138</v>
      </c>
      <c r="B1048" s="3">
        <v>440296</v>
      </c>
      <c r="C1048" s="3">
        <v>250000</v>
      </c>
      <c r="D1048" s="17">
        <v>43276</v>
      </c>
      <c r="E1048" s="3" t="s">
        <v>727</v>
      </c>
    </row>
    <row r="1049" spans="1:8" x14ac:dyDescent="0.25">
      <c r="A1049" t="s">
        <v>3139</v>
      </c>
      <c r="B1049" s="3">
        <v>29875.599999999999</v>
      </c>
      <c r="C1049" s="3">
        <v>100000</v>
      </c>
      <c r="D1049" s="17">
        <v>43276</v>
      </c>
    </row>
    <row r="1050" spans="1:8" x14ac:dyDescent="0.25">
      <c r="C1050" s="9">
        <v>117939.1</v>
      </c>
      <c r="D1050" s="17">
        <v>43274</v>
      </c>
      <c r="E1050" s="3" t="s">
        <v>722</v>
      </c>
    </row>
    <row r="1051" spans="1:8" x14ac:dyDescent="0.25">
      <c r="C1051" s="88">
        <v>15593.6</v>
      </c>
      <c r="D1051" s="17">
        <v>43274</v>
      </c>
      <c r="E1051" s="3" t="s">
        <v>722</v>
      </c>
    </row>
    <row r="1052" spans="1:8" x14ac:dyDescent="0.25">
      <c r="B1052" s="3">
        <f>SUM(B1048:B1051)</f>
        <v>470171.6</v>
      </c>
      <c r="C1052" s="3">
        <f>SUM(C1048:C1051)</f>
        <v>483532.69999999995</v>
      </c>
      <c r="E1052" s="3">
        <f>C1052-B1052</f>
        <v>13361.099999999977</v>
      </c>
      <c r="F1052" s="17">
        <v>43276</v>
      </c>
      <c r="G1052" s="17">
        <v>43276</v>
      </c>
      <c r="H1052" s="207"/>
    </row>
    <row r="1054" spans="1:8" x14ac:dyDescent="0.25">
      <c r="A1054" t="s">
        <v>3167</v>
      </c>
      <c r="B1054" s="3">
        <v>1666.6</v>
      </c>
      <c r="C1054" s="3">
        <v>660000</v>
      </c>
      <c r="D1054" s="17">
        <v>43278</v>
      </c>
      <c r="E1054" s="3" t="s">
        <v>727</v>
      </c>
    </row>
    <row r="1055" spans="1:8" x14ac:dyDescent="0.25">
      <c r="A1055" t="s">
        <v>3168</v>
      </c>
      <c r="B1055" s="3">
        <v>400618</v>
      </c>
    </row>
    <row r="1056" spans="1:8" x14ac:dyDescent="0.25">
      <c r="A1056" t="s">
        <v>3169</v>
      </c>
      <c r="B1056" s="3">
        <v>236311</v>
      </c>
    </row>
    <row r="1057" spans="1:8" x14ac:dyDescent="0.25">
      <c r="B1057" s="3">
        <f>SUM(B1054:B1056)</f>
        <v>638595.6</v>
      </c>
      <c r="C1057" s="8">
        <f>SUM(C1054:C1056)</f>
        <v>660000</v>
      </c>
      <c r="E1057" s="3">
        <f>C1057-B1057</f>
        <v>21404.400000000023</v>
      </c>
      <c r="F1057" s="17">
        <v>43278</v>
      </c>
      <c r="G1057" s="17">
        <v>43278</v>
      </c>
      <c r="H1057" s="207"/>
    </row>
    <row r="1059" spans="1:8" x14ac:dyDescent="0.25">
      <c r="A1059" t="s">
        <v>3172</v>
      </c>
      <c r="B1059" s="3">
        <v>14144</v>
      </c>
      <c r="C1059" s="3">
        <v>21404.400000000001</v>
      </c>
      <c r="D1059" s="17">
        <v>43278</v>
      </c>
      <c r="E1059" s="3" t="s">
        <v>722</v>
      </c>
    </row>
    <row r="1060" spans="1:8" x14ac:dyDescent="0.25">
      <c r="A1060" t="s">
        <v>3173</v>
      </c>
      <c r="B1060" s="3">
        <v>438535</v>
      </c>
      <c r="C1060" s="3">
        <v>40000</v>
      </c>
      <c r="D1060" s="17">
        <v>43276</v>
      </c>
      <c r="E1060" s="3" t="s">
        <v>722</v>
      </c>
    </row>
    <row r="1061" spans="1:8" x14ac:dyDescent="0.25">
      <c r="C1061" s="3">
        <v>13361.1</v>
      </c>
      <c r="D1061" s="17">
        <v>43276</v>
      </c>
      <c r="E1061" s="3" t="s">
        <v>722</v>
      </c>
    </row>
    <row r="1062" spans="1:8" x14ac:dyDescent="0.25">
      <c r="C1062" s="3">
        <v>355000</v>
      </c>
      <c r="D1062" s="17">
        <v>43279</v>
      </c>
      <c r="E1062" s="3" t="s">
        <v>727</v>
      </c>
    </row>
    <row r="1063" spans="1:8" x14ac:dyDescent="0.25">
      <c r="C1063" s="3">
        <v>43200</v>
      </c>
      <c r="D1063" s="17">
        <v>43280</v>
      </c>
    </row>
    <row r="1064" spans="1:8" x14ac:dyDescent="0.25">
      <c r="B1064" s="3">
        <f>SUM(B1059:B1063)</f>
        <v>452679</v>
      </c>
      <c r="C1064" s="3">
        <f>SUM(C1059:C1063)</f>
        <v>472965.5</v>
      </c>
      <c r="E1064" s="213">
        <f>C1064-B1064</f>
        <v>20286.5</v>
      </c>
      <c r="F1064" s="17">
        <v>43280</v>
      </c>
      <c r="G1064" s="17">
        <v>43281</v>
      </c>
      <c r="H1064" s="35"/>
    </row>
    <row r="1066" spans="1:8" x14ac:dyDescent="0.25">
      <c r="A1066" t="s">
        <v>3236</v>
      </c>
      <c r="B1066" s="3">
        <v>24529</v>
      </c>
      <c r="C1066" s="3">
        <v>719000</v>
      </c>
      <c r="D1066" s="17">
        <v>43281</v>
      </c>
      <c r="E1066" s="3" t="s">
        <v>727</v>
      </c>
    </row>
    <row r="1067" spans="1:8" x14ac:dyDescent="0.25">
      <c r="A1067" t="s">
        <v>3237</v>
      </c>
      <c r="B1067" s="3">
        <v>429292.5</v>
      </c>
    </row>
    <row r="1068" spans="1:8" x14ac:dyDescent="0.25">
      <c r="A1068" t="s">
        <v>3238</v>
      </c>
      <c r="B1068" s="3">
        <v>250592</v>
      </c>
    </row>
    <row r="1069" spans="1:8" x14ac:dyDescent="0.25">
      <c r="B1069" s="3">
        <f>SUM(B1066:B1068)</f>
        <v>704413.5</v>
      </c>
      <c r="C1069" s="3">
        <f>SUM(C1066:C1068)</f>
        <v>719000</v>
      </c>
      <c r="E1069" s="20">
        <f>C1069-B1069</f>
        <v>14586.5</v>
      </c>
      <c r="F1069" s="17">
        <v>43281</v>
      </c>
      <c r="G1069" s="17">
        <v>43284</v>
      </c>
      <c r="H1069" s="35"/>
    </row>
    <row r="1071" spans="1:8" x14ac:dyDescent="0.25">
      <c r="A1071" t="s">
        <v>3247</v>
      </c>
      <c r="B1071" s="3">
        <v>470814</v>
      </c>
      <c r="C1071" s="3">
        <v>454000</v>
      </c>
      <c r="D1071" s="17">
        <v>43285</v>
      </c>
      <c r="E1071" s="3" t="s">
        <v>727</v>
      </c>
    </row>
    <row r="1072" spans="1:8" x14ac:dyDescent="0.25">
      <c r="A1072" t="s">
        <v>3248</v>
      </c>
      <c r="B1072" s="3">
        <v>430248</v>
      </c>
      <c r="C1072" s="3">
        <v>600000</v>
      </c>
      <c r="D1072" s="17">
        <v>43285</v>
      </c>
      <c r="E1072" s="3" t="s">
        <v>727</v>
      </c>
    </row>
    <row r="1073" spans="1:8" x14ac:dyDescent="0.25">
      <c r="B1073" s="3">
        <f>SUM(B1071:B1072)</f>
        <v>901062</v>
      </c>
      <c r="C1073" s="3">
        <f>SUM(C1071:C1072)</f>
        <v>1054000</v>
      </c>
      <c r="E1073" s="84">
        <f>C1073-B1073</f>
        <v>152938</v>
      </c>
      <c r="F1073" s="17">
        <v>43285</v>
      </c>
      <c r="G1073" s="17">
        <v>43286</v>
      </c>
      <c r="H1073" s="35"/>
    </row>
    <row r="1075" spans="1:8" x14ac:dyDescent="0.25">
      <c r="A1075" t="s">
        <v>3249</v>
      </c>
      <c r="B1075" s="3">
        <v>236768</v>
      </c>
      <c r="C1075" s="3">
        <v>88750</v>
      </c>
      <c r="D1075" s="17">
        <v>43286</v>
      </c>
    </row>
    <row r="1076" spans="1:8" x14ac:dyDescent="0.25">
      <c r="C1076" s="84">
        <v>152938</v>
      </c>
      <c r="D1076" s="17">
        <v>43285</v>
      </c>
      <c r="E1076" s="3" t="s">
        <v>722</v>
      </c>
    </row>
    <row r="1077" spans="1:8" x14ac:dyDescent="0.25">
      <c r="B1077" s="3">
        <f>SUM(B1075:B1076)</f>
        <v>236768</v>
      </c>
      <c r="C1077" s="3">
        <f>SUM(C1075:C1076)</f>
        <v>241688</v>
      </c>
      <c r="E1077" s="197">
        <f>C1077-B1077</f>
        <v>4920</v>
      </c>
      <c r="F1077" s="17">
        <v>43286</v>
      </c>
      <c r="G1077" s="17">
        <v>43286</v>
      </c>
    </row>
    <row r="1079" spans="1:8" x14ac:dyDescent="0.25">
      <c r="A1079" t="s">
        <v>3326</v>
      </c>
      <c r="B1079" s="3">
        <v>453185</v>
      </c>
      <c r="C1079" s="3">
        <v>670000</v>
      </c>
      <c r="D1079" s="17">
        <v>43287</v>
      </c>
      <c r="E1079" s="3" t="s">
        <v>727</v>
      </c>
    </row>
    <row r="1080" spans="1:8" x14ac:dyDescent="0.25">
      <c r="A1080" t="s">
        <v>3327</v>
      </c>
      <c r="B1080" s="3">
        <v>243183</v>
      </c>
      <c r="C1080" s="197">
        <v>4920</v>
      </c>
      <c r="D1080" s="17">
        <v>43286</v>
      </c>
      <c r="E1080" s="3" t="s">
        <v>722</v>
      </c>
    </row>
    <row r="1081" spans="1:8" x14ac:dyDescent="0.25">
      <c r="C1081" s="213">
        <v>20286.5</v>
      </c>
      <c r="D1081" s="17">
        <v>43280</v>
      </c>
      <c r="E1081" s="3" t="s">
        <v>722</v>
      </c>
    </row>
    <row r="1082" spans="1:8" x14ac:dyDescent="0.25">
      <c r="C1082" s="3">
        <v>1162</v>
      </c>
      <c r="D1082" s="17">
        <v>43288</v>
      </c>
    </row>
    <row r="1083" spans="1:8" x14ac:dyDescent="0.25">
      <c r="B1083" s="3">
        <f>SUM(B1079:B1082)</f>
        <v>696368</v>
      </c>
      <c r="C1083" s="3">
        <f>SUM(C1079:C1082)</f>
        <v>696368.5</v>
      </c>
      <c r="E1083" s="3">
        <f>C1083-B1083</f>
        <v>0.5</v>
      </c>
      <c r="F1083" s="17">
        <v>43287</v>
      </c>
      <c r="G1083" s="17">
        <v>43291</v>
      </c>
    </row>
    <row r="1085" spans="1:8" x14ac:dyDescent="0.25">
      <c r="A1085" t="s">
        <v>3328</v>
      </c>
      <c r="B1085" s="3">
        <v>427326</v>
      </c>
      <c r="C1085" s="3">
        <v>500000</v>
      </c>
      <c r="D1085" s="17">
        <v>43290</v>
      </c>
      <c r="E1085" s="3" t="s">
        <v>727</v>
      </c>
    </row>
    <row r="1086" spans="1:8" x14ac:dyDescent="0.25">
      <c r="A1086" t="s">
        <v>3329</v>
      </c>
      <c r="B1086" s="3">
        <v>451526</v>
      </c>
      <c r="C1086" s="3">
        <v>505000</v>
      </c>
      <c r="D1086" s="17">
        <v>43290</v>
      </c>
      <c r="E1086" s="3" t="s">
        <v>727</v>
      </c>
    </row>
    <row r="1087" spans="1:8" x14ac:dyDescent="0.25">
      <c r="A1087" t="s">
        <v>3330</v>
      </c>
      <c r="B1087" s="3">
        <v>13968</v>
      </c>
    </row>
    <row r="1088" spans="1:8" x14ac:dyDescent="0.25">
      <c r="A1088" t="s">
        <v>3331</v>
      </c>
      <c r="B1088" s="3">
        <v>68472.2</v>
      </c>
    </row>
    <row r="1089" spans="1:20" x14ac:dyDescent="0.25">
      <c r="B1089" s="3">
        <f>SUM(B1085:B1088)</f>
        <v>961292.2</v>
      </c>
      <c r="C1089" s="3">
        <f>SUM(C1085:C1088)</f>
        <v>1005000</v>
      </c>
      <c r="E1089" s="9">
        <f>C1089-B1089</f>
        <v>43707.800000000047</v>
      </c>
      <c r="F1089" s="17">
        <v>43291</v>
      </c>
      <c r="G1089" s="17">
        <v>43291</v>
      </c>
      <c r="H1089" s="35"/>
    </row>
    <row r="1091" spans="1:20" x14ac:dyDescent="0.25">
      <c r="A1091" t="s">
        <v>3336</v>
      </c>
      <c r="B1091" s="3">
        <v>1653.6</v>
      </c>
      <c r="C1091" s="3">
        <v>104900</v>
      </c>
      <c r="D1091" s="17">
        <v>43290</v>
      </c>
    </row>
    <row r="1092" spans="1:20" x14ac:dyDescent="0.25">
      <c r="A1092" t="s">
        <v>3337</v>
      </c>
      <c r="B1092" s="3">
        <v>470270</v>
      </c>
      <c r="C1092" s="20">
        <v>14586.5</v>
      </c>
      <c r="D1092" s="17">
        <v>43281</v>
      </c>
      <c r="E1092" s="3" t="s">
        <v>722</v>
      </c>
    </row>
    <row r="1093" spans="1:20" x14ac:dyDescent="0.25">
      <c r="A1093" t="s">
        <v>3338</v>
      </c>
      <c r="B1093" s="3">
        <v>465608</v>
      </c>
      <c r="C1093" s="83">
        <v>211865</v>
      </c>
      <c r="D1093" s="17">
        <v>43210</v>
      </c>
      <c r="E1093" s="3" t="s">
        <v>722</v>
      </c>
      <c r="J1093" t="s">
        <v>3396</v>
      </c>
      <c r="L1093" s="4">
        <v>168292.9</v>
      </c>
      <c r="M1093" s="17">
        <v>43109</v>
      </c>
      <c r="N1093" s="17">
        <v>43110</v>
      </c>
      <c r="O1093" s="9">
        <v>72050</v>
      </c>
      <c r="P1093" s="17">
        <v>43150</v>
      </c>
      <c r="Q1093" s="17">
        <v>43152</v>
      </c>
      <c r="R1093" s="139">
        <f>L1093-O1093</f>
        <v>96242.9</v>
      </c>
      <c r="S1093" s="17">
        <v>43271</v>
      </c>
      <c r="T1093" t="s">
        <v>3140</v>
      </c>
    </row>
    <row r="1094" spans="1:20" x14ac:dyDescent="0.25">
      <c r="C1094" s="88">
        <v>561853</v>
      </c>
      <c r="D1094" s="17">
        <v>43192</v>
      </c>
      <c r="E1094" s="3" t="s">
        <v>722</v>
      </c>
      <c r="L1094" s="3">
        <v>261340</v>
      </c>
      <c r="M1094" s="17">
        <v>43234</v>
      </c>
      <c r="N1094" s="17">
        <v>43236</v>
      </c>
    </row>
    <row r="1095" spans="1:20" x14ac:dyDescent="0.25">
      <c r="C1095" s="9">
        <v>43707.8</v>
      </c>
      <c r="D1095" s="17">
        <v>43291</v>
      </c>
      <c r="E1095" s="3" t="s">
        <v>722</v>
      </c>
      <c r="L1095" s="3">
        <v>13361.1</v>
      </c>
      <c r="M1095" s="17">
        <v>43276</v>
      </c>
      <c r="N1095" s="17">
        <v>43276</v>
      </c>
    </row>
    <row r="1096" spans="1:20" x14ac:dyDescent="0.25">
      <c r="C1096" s="3">
        <v>619</v>
      </c>
      <c r="D1096" s="17">
        <v>43292</v>
      </c>
      <c r="E1096" s="3" t="s">
        <v>721</v>
      </c>
      <c r="L1096" s="3">
        <v>24404.400000000001</v>
      </c>
      <c r="M1096" s="17">
        <v>43278</v>
      </c>
      <c r="N1096" s="17">
        <v>43308</v>
      </c>
    </row>
    <row r="1097" spans="1:20" x14ac:dyDescent="0.25">
      <c r="B1097" s="3">
        <f>SUM(B1091:B1095)</f>
        <v>937531.6</v>
      </c>
      <c r="C1097" s="3">
        <f>SUM(C1091:C1096)</f>
        <v>937531.3</v>
      </c>
      <c r="E1097" s="3">
        <f>C1097-B1097</f>
        <v>-0.29999999993015081</v>
      </c>
      <c r="F1097" s="17">
        <v>43292</v>
      </c>
      <c r="G1097" s="17">
        <v>43292</v>
      </c>
    </row>
    <row r="1099" spans="1:20" x14ac:dyDescent="0.25">
      <c r="A1099" t="s">
        <v>3394</v>
      </c>
      <c r="B1099" s="3">
        <v>244218</v>
      </c>
      <c r="C1099" s="3">
        <v>241000</v>
      </c>
      <c r="D1099" s="17">
        <v>43294</v>
      </c>
      <c r="E1099" s="3" t="s">
        <v>727</v>
      </c>
    </row>
    <row r="1100" spans="1:20" x14ac:dyDescent="0.25">
      <c r="A1100" t="s">
        <v>3395</v>
      </c>
      <c r="B1100" s="3">
        <v>491986</v>
      </c>
      <c r="C1100" s="3">
        <v>500000</v>
      </c>
      <c r="D1100" s="17">
        <v>43294</v>
      </c>
      <c r="E1100" s="3" t="s">
        <v>727</v>
      </c>
    </row>
    <row r="1101" spans="1:20" x14ac:dyDescent="0.25">
      <c r="B1101" s="3">
        <f>SUM(B1099:B1100)</f>
        <v>736204</v>
      </c>
      <c r="C1101" s="3">
        <f>SUM(C1099:C1100)</f>
        <v>741000</v>
      </c>
      <c r="E1101" s="3">
        <f>C1101-B1101</f>
        <v>4796</v>
      </c>
      <c r="F1101" s="17">
        <v>43294</v>
      </c>
      <c r="G1101" s="17">
        <v>43295</v>
      </c>
      <c r="H1101" s="75"/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D99"/>
  <sheetViews>
    <sheetView zoomScale="80" zoomScaleNormal="80" workbookViewId="0">
      <selection activeCell="K12" sqref="K12"/>
    </sheetView>
  </sheetViews>
  <sheetFormatPr baseColWidth="10" defaultRowHeight="15" x14ac:dyDescent="0.25"/>
  <cols>
    <col min="1" max="1" width="4.140625" customWidth="1"/>
    <col min="2" max="2" width="17.42578125" customWidth="1"/>
    <col min="3" max="3" width="13" bestFit="1" customWidth="1"/>
    <col min="4" max="4" width="17.5703125" customWidth="1"/>
    <col min="5" max="5" width="11.7109375" customWidth="1"/>
    <col min="7" max="7" width="11" customWidth="1"/>
    <col min="13" max="13" width="4.28515625" customWidth="1"/>
    <col min="16" max="16" width="10.5703125" customWidth="1"/>
    <col min="22" max="22" width="7" customWidth="1"/>
    <col min="23" max="23" width="9.85546875" customWidth="1"/>
    <col min="24" max="24" width="11.42578125" hidden="1" customWidth="1"/>
    <col min="25" max="25" width="12.28515625" customWidth="1"/>
    <col min="26" max="26" width="14.7109375" customWidth="1"/>
  </cols>
  <sheetData>
    <row r="2" spans="1:29" x14ac:dyDescent="0.25">
      <c r="A2" s="21" t="s">
        <v>302</v>
      </c>
      <c r="S2" s="22"/>
      <c r="W2" s="22"/>
      <c r="Z2" s="3"/>
    </row>
    <row r="3" spans="1:29" ht="30.75" thickBot="1" x14ac:dyDescent="0.3">
      <c r="A3" s="23"/>
      <c r="B3" s="23" t="s">
        <v>303</v>
      </c>
      <c r="C3" s="23" t="s">
        <v>304</v>
      </c>
      <c r="D3" s="23" t="s">
        <v>305</v>
      </c>
      <c r="E3" s="23" t="s">
        <v>306</v>
      </c>
      <c r="F3" s="24" t="s">
        <v>307</v>
      </c>
      <c r="G3" s="24" t="s">
        <v>308</v>
      </c>
      <c r="H3" s="25" t="s">
        <v>309</v>
      </c>
      <c r="I3" s="26" t="s">
        <v>310</v>
      </c>
      <c r="J3" s="23" t="s">
        <v>311</v>
      </c>
      <c r="K3" s="27" t="s">
        <v>312</v>
      </c>
      <c r="L3" s="27" t="s">
        <v>313</v>
      </c>
      <c r="M3" s="23" t="s">
        <v>314</v>
      </c>
      <c r="N3" s="23" t="s">
        <v>315</v>
      </c>
      <c r="O3" s="28" t="s">
        <v>316</v>
      </c>
      <c r="P3" s="29" t="s">
        <v>317</v>
      </c>
      <c r="Q3" s="28" t="s">
        <v>318</v>
      </c>
      <c r="R3" s="30" t="s">
        <v>319</v>
      </c>
      <c r="S3" s="30" t="s">
        <v>320</v>
      </c>
      <c r="T3" s="31" t="s">
        <v>321</v>
      </c>
      <c r="U3" s="28" t="s">
        <v>322</v>
      </c>
      <c r="V3" s="28" t="s">
        <v>323</v>
      </c>
      <c r="W3" s="31" t="s">
        <v>324</v>
      </c>
      <c r="X3" s="28" t="s">
        <v>325</v>
      </c>
      <c r="Y3" s="28" t="s">
        <v>326</v>
      </c>
      <c r="Z3" s="32" t="s">
        <v>327</v>
      </c>
      <c r="AA3" s="28"/>
    </row>
    <row r="4" spans="1:29" x14ac:dyDescent="0.25">
      <c r="A4" s="33"/>
      <c r="B4" t="s">
        <v>1010</v>
      </c>
      <c r="C4" t="s">
        <v>1012</v>
      </c>
      <c r="D4" t="s">
        <v>1014</v>
      </c>
      <c r="E4" t="s">
        <v>1015</v>
      </c>
      <c r="F4" s="96">
        <v>2000</v>
      </c>
      <c r="G4" s="96">
        <v>2000</v>
      </c>
      <c r="H4" s="38">
        <f>G4-F4</f>
        <v>0</v>
      </c>
      <c r="I4" s="97" t="s">
        <v>1017</v>
      </c>
      <c r="K4" s="39"/>
      <c r="L4" s="39">
        <v>43102</v>
      </c>
      <c r="M4" t="s">
        <v>355</v>
      </c>
      <c r="O4" s="22">
        <v>38</v>
      </c>
      <c r="P4" s="46"/>
      <c r="Q4" s="22"/>
      <c r="R4" s="98"/>
      <c r="S4" s="98"/>
      <c r="T4" s="99"/>
      <c r="U4" s="22"/>
      <c r="V4" s="22"/>
      <c r="W4" s="22">
        <v>-1.7</v>
      </c>
      <c r="X4" s="22">
        <f t="shared" ref="X4:X10" si="0">IF(O4&gt;0,O4,((P4*2.2046*S4)+(Q4+R4)/G4)+V4)</f>
        <v>38</v>
      </c>
      <c r="Y4" s="22">
        <f t="shared" ref="Y4:Y10" si="1">IF(O4&gt;0,O4,((P4*2.2046*S4)+(Q4+R4+T4)/G4)+V4+W4)</f>
        <v>38</v>
      </c>
      <c r="Z4" s="3">
        <f t="shared" ref="Z4:Z10" si="2">Y4*F4</f>
        <v>76000</v>
      </c>
      <c r="AA4" s="44">
        <v>43102</v>
      </c>
    </row>
    <row r="5" spans="1:29" x14ac:dyDescent="0.25">
      <c r="A5" s="33"/>
      <c r="B5" t="s">
        <v>1011</v>
      </c>
      <c r="C5" t="s">
        <v>1013</v>
      </c>
      <c r="D5" t="s">
        <v>1014</v>
      </c>
      <c r="E5" t="s">
        <v>1016</v>
      </c>
      <c r="F5" s="96">
        <v>100</v>
      </c>
      <c r="G5" s="96">
        <v>100</v>
      </c>
      <c r="H5" s="38">
        <f>G5-F5</f>
        <v>0</v>
      </c>
      <c r="I5" s="97" t="s">
        <v>1017</v>
      </c>
      <c r="K5" s="39"/>
      <c r="L5" s="39">
        <v>43102</v>
      </c>
      <c r="M5" t="s">
        <v>355</v>
      </c>
      <c r="O5" s="22">
        <v>170</v>
      </c>
      <c r="P5" s="46"/>
      <c r="Q5" s="22"/>
      <c r="R5" s="98"/>
      <c r="S5" s="98"/>
      <c r="T5" s="99"/>
      <c r="U5" s="22"/>
      <c r="V5" s="22"/>
      <c r="W5" s="22">
        <v>-0.7</v>
      </c>
      <c r="X5" s="22">
        <f t="shared" si="0"/>
        <v>170</v>
      </c>
      <c r="Y5" s="22">
        <f t="shared" si="1"/>
        <v>170</v>
      </c>
      <c r="Z5" s="3">
        <f t="shared" si="2"/>
        <v>17000</v>
      </c>
      <c r="AA5" s="44">
        <v>43102</v>
      </c>
    </row>
    <row r="6" spans="1:29" x14ac:dyDescent="0.25">
      <c r="A6" s="33"/>
      <c r="B6" s="34" t="s">
        <v>328</v>
      </c>
      <c r="C6" s="35" t="s">
        <v>329</v>
      </c>
      <c r="D6" s="35" t="s">
        <v>329</v>
      </c>
      <c r="E6" t="s">
        <v>1021</v>
      </c>
      <c r="F6" s="36">
        <f>41610*0.4536</f>
        <v>18874.295999999998</v>
      </c>
      <c r="G6" s="38">
        <v>18825.82</v>
      </c>
      <c r="H6" s="38">
        <f>G6-F6</f>
        <v>-48.475999999998749</v>
      </c>
      <c r="I6" t="s">
        <v>330</v>
      </c>
      <c r="J6" s="5" t="s">
        <v>1023</v>
      </c>
      <c r="K6" s="39">
        <v>43103</v>
      </c>
      <c r="L6" s="39">
        <v>43105</v>
      </c>
      <c r="M6" s="35" t="s">
        <v>342</v>
      </c>
      <c r="N6" s="35" t="s">
        <v>332</v>
      </c>
      <c r="O6" s="22"/>
      <c r="P6" s="40">
        <f>0.5804+0.095</f>
        <v>0.6754</v>
      </c>
      <c r="Q6" s="111">
        <v>23000</v>
      </c>
      <c r="R6" s="120">
        <v>9500</v>
      </c>
      <c r="S6" s="45">
        <v>19.218</v>
      </c>
      <c r="T6" s="137">
        <f>X6*F6*0.005</f>
        <v>2874.7158553462973</v>
      </c>
      <c r="V6" s="22">
        <v>0.12</v>
      </c>
      <c r="W6" s="22">
        <v>0.3</v>
      </c>
      <c r="X6" s="22">
        <f t="shared" si="0"/>
        <v>30.461701515609349</v>
      </c>
      <c r="Y6" s="22">
        <f t="shared" si="1"/>
        <v>30.914402213658427</v>
      </c>
      <c r="Z6" s="3">
        <f t="shared" si="2"/>
        <v>583487.57804364432</v>
      </c>
      <c r="AA6" s="44">
        <v>43112</v>
      </c>
      <c r="AB6" s="3"/>
      <c r="AC6" s="3"/>
    </row>
    <row r="7" spans="1:29" x14ac:dyDescent="0.25">
      <c r="A7" s="33"/>
      <c r="B7" s="34" t="s">
        <v>328</v>
      </c>
      <c r="C7" s="35" t="s">
        <v>329</v>
      </c>
      <c r="D7" s="35" t="s">
        <v>329</v>
      </c>
      <c r="E7" t="s">
        <v>1021</v>
      </c>
      <c r="F7" s="36">
        <f>41712*0.4536</f>
        <v>18920.563200000001</v>
      </c>
      <c r="G7" s="38">
        <v>18893.43</v>
      </c>
      <c r="H7" s="38">
        <f>G7-F7</f>
        <v>-27.133200000000215</v>
      </c>
      <c r="I7" t="s">
        <v>333</v>
      </c>
      <c r="J7" s="5" t="s">
        <v>1023</v>
      </c>
      <c r="K7" s="39">
        <v>43102</v>
      </c>
      <c r="L7" s="39">
        <v>43104</v>
      </c>
      <c r="M7" s="35" t="s">
        <v>331</v>
      </c>
      <c r="N7" s="35" t="s">
        <v>332</v>
      </c>
      <c r="O7" s="22"/>
      <c r="P7" s="40">
        <v>0.6754</v>
      </c>
      <c r="Q7" s="111">
        <v>23000</v>
      </c>
      <c r="R7" s="120">
        <v>9500</v>
      </c>
      <c r="S7" s="45">
        <v>19.225000000000001</v>
      </c>
      <c r="T7" s="137">
        <f>X7*F7*0.005</f>
        <v>2882.1643484181736</v>
      </c>
      <c r="V7" s="22">
        <v>0.12</v>
      </c>
      <c r="W7" s="22">
        <v>0.3</v>
      </c>
      <c r="X7" s="22">
        <f t="shared" si="0"/>
        <v>30.465946684062484</v>
      </c>
      <c r="Y7" s="22">
        <f t="shared" si="1"/>
        <v>30.918495180995979</v>
      </c>
      <c r="Z7" s="3">
        <f t="shared" si="2"/>
        <v>584995.34212092985</v>
      </c>
      <c r="AA7" s="44">
        <v>43112</v>
      </c>
      <c r="AB7" s="3"/>
      <c r="AC7" s="3"/>
    </row>
    <row r="8" spans="1:29" x14ac:dyDescent="0.25">
      <c r="A8" s="33"/>
      <c r="B8" s="34" t="s">
        <v>328</v>
      </c>
      <c r="C8" s="35" t="s">
        <v>329</v>
      </c>
      <c r="D8" s="35" t="s">
        <v>329</v>
      </c>
      <c r="E8" t="s">
        <v>1021</v>
      </c>
      <c r="F8" s="36">
        <f>40962*0.4536</f>
        <v>18580.3632</v>
      </c>
      <c r="G8" s="38">
        <v>18484.59</v>
      </c>
      <c r="H8" s="38">
        <f t="shared" ref="H8:H13" si="3">G8-F8</f>
        <v>-95.773199999999633</v>
      </c>
      <c r="I8" t="s">
        <v>334</v>
      </c>
      <c r="J8" s="5" t="s">
        <v>1022</v>
      </c>
      <c r="K8" s="39">
        <v>43102</v>
      </c>
      <c r="L8" s="39">
        <v>43103</v>
      </c>
      <c r="M8" s="35" t="s">
        <v>331</v>
      </c>
      <c r="N8" s="35" t="s">
        <v>335</v>
      </c>
      <c r="O8" s="22"/>
      <c r="P8" s="40">
        <f>0.5453+0.095</f>
        <v>0.64029999999999998</v>
      </c>
      <c r="Q8" s="111">
        <v>23000</v>
      </c>
      <c r="R8" s="120">
        <v>9500</v>
      </c>
      <c r="S8" s="45">
        <v>19.283999999999999</v>
      </c>
      <c r="T8" s="137">
        <f>X8*F8*0.005</f>
        <v>2703.4074923254834</v>
      </c>
      <c r="V8" s="22">
        <v>0.12</v>
      </c>
      <c r="W8" s="22">
        <v>0.3</v>
      </c>
      <c r="X8" s="22">
        <f t="shared" si="0"/>
        <v>29.099619455506485</v>
      </c>
      <c r="Y8" s="22">
        <f t="shared" si="1"/>
        <v>29.545871414155581</v>
      </c>
      <c r="Z8" s="3">
        <f t="shared" si="2"/>
        <v>548973.02193550835</v>
      </c>
      <c r="AA8" s="44">
        <v>43104</v>
      </c>
      <c r="AB8" s="3"/>
      <c r="AC8" s="3"/>
    </row>
    <row r="9" spans="1:29" x14ac:dyDescent="0.25">
      <c r="A9" s="33"/>
      <c r="B9" s="34" t="s">
        <v>328</v>
      </c>
      <c r="C9" s="35" t="s">
        <v>336</v>
      </c>
      <c r="D9" s="35" t="s">
        <v>336</v>
      </c>
      <c r="E9" t="s">
        <v>1021</v>
      </c>
      <c r="F9" s="36">
        <f>41031*0.4536</f>
        <v>18611.661599999999</v>
      </c>
      <c r="G9" s="38">
        <v>18495.07</v>
      </c>
      <c r="H9" s="38">
        <f t="shared" si="3"/>
        <v>-116.59159999999974</v>
      </c>
      <c r="I9" t="s">
        <v>337</v>
      </c>
      <c r="J9" s="5" t="s">
        <v>1022</v>
      </c>
      <c r="K9" s="39">
        <v>43102</v>
      </c>
      <c r="L9" s="39">
        <v>43103</v>
      </c>
      <c r="M9" s="35" t="s">
        <v>331</v>
      </c>
      <c r="N9" s="35" t="s">
        <v>338</v>
      </c>
      <c r="O9" s="22"/>
      <c r="P9" s="40">
        <f>0.5673+0.095</f>
        <v>0.6623</v>
      </c>
      <c r="Q9" s="111">
        <v>23000</v>
      </c>
      <c r="R9" s="22">
        <v>9400</v>
      </c>
      <c r="S9" s="45">
        <v>19.766999999999999</v>
      </c>
      <c r="T9" s="137">
        <f>X9*F9*0.005</f>
        <v>2860.0303039306905</v>
      </c>
      <c r="V9" s="22">
        <v>0.12</v>
      </c>
      <c r="W9" s="22">
        <v>0.3</v>
      </c>
      <c r="X9" s="22">
        <f t="shared" si="0"/>
        <v>30.733744954085029</v>
      </c>
      <c r="Y9" s="22">
        <f t="shared" si="1"/>
        <v>31.188382395518381</v>
      </c>
      <c r="Z9" s="3">
        <f t="shared" si="2"/>
        <v>580467.61899678549</v>
      </c>
      <c r="AA9" s="44">
        <v>43096</v>
      </c>
      <c r="AB9" s="3"/>
      <c r="AC9" s="3"/>
    </row>
    <row r="10" spans="1:29" x14ac:dyDescent="0.25">
      <c r="A10" s="33"/>
      <c r="B10" s="34" t="s">
        <v>328</v>
      </c>
      <c r="C10" s="35" t="s">
        <v>336</v>
      </c>
      <c r="D10" s="35" t="s">
        <v>336</v>
      </c>
      <c r="E10" t="s">
        <v>1021</v>
      </c>
      <c r="F10" s="36">
        <f>41653*0.4536</f>
        <v>18893.800800000001</v>
      </c>
      <c r="G10" s="38">
        <v>18807.990000000002</v>
      </c>
      <c r="H10" s="38">
        <f t="shared" si="3"/>
        <v>-85.81079999999929</v>
      </c>
      <c r="I10" t="s">
        <v>339</v>
      </c>
      <c r="J10" s="5" t="s">
        <v>1022</v>
      </c>
      <c r="K10" s="39">
        <v>43102</v>
      </c>
      <c r="L10" s="39">
        <v>43103</v>
      </c>
      <c r="M10" s="35" t="s">
        <v>331</v>
      </c>
      <c r="N10" s="35" t="s">
        <v>338</v>
      </c>
      <c r="O10" s="22"/>
      <c r="P10" s="40">
        <v>0.6623</v>
      </c>
      <c r="Q10" s="111">
        <v>23000</v>
      </c>
      <c r="R10" s="22">
        <v>9400</v>
      </c>
      <c r="S10" s="45">
        <v>19.79</v>
      </c>
      <c r="T10" s="137">
        <f>X10*F10*0.005</f>
        <v>2903.8053757598054</v>
      </c>
      <c r="V10" s="22">
        <v>0.12</v>
      </c>
      <c r="W10" s="22">
        <v>0.3</v>
      </c>
      <c r="X10" s="22">
        <f t="shared" si="0"/>
        <v>30.738181337868291</v>
      </c>
      <c r="Y10" s="22">
        <f t="shared" si="1"/>
        <v>31.19257345397213</v>
      </c>
      <c r="Z10" s="3">
        <f t="shared" si="2"/>
        <v>589346.26927871746</v>
      </c>
      <c r="AA10" s="44">
        <v>43096</v>
      </c>
      <c r="AB10" s="3"/>
      <c r="AC10" s="3"/>
    </row>
    <row r="11" spans="1:29" x14ac:dyDescent="0.25">
      <c r="A11" s="33"/>
      <c r="B11" s="34" t="s">
        <v>340</v>
      </c>
      <c r="C11" t="s">
        <v>341</v>
      </c>
      <c r="D11" s="35" t="s">
        <v>1037</v>
      </c>
      <c r="E11">
        <f>250+10</f>
        <v>260</v>
      </c>
      <c r="F11" s="36">
        <f>25470+1025</f>
        <v>26495</v>
      </c>
      <c r="G11" s="38">
        <f>10620+10160</f>
        <v>20780</v>
      </c>
      <c r="H11" s="38">
        <f t="shared" si="3"/>
        <v>-5715</v>
      </c>
      <c r="I11" t="s">
        <v>1038</v>
      </c>
      <c r="K11" s="39"/>
      <c r="L11" s="39">
        <v>43103</v>
      </c>
      <c r="M11" s="35" t="s">
        <v>331</v>
      </c>
      <c r="O11" s="22">
        <v>30</v>
      </c>
      <c r="P11" s="46"/>
      <c r="Q11" s="47">
        <v>19800</v>
      </c>
      <c r="R11" s="22">
        <f>65*E11</f>
        <v>16900</v>
      </c>
      <c r="S11" s="43">
        <f>-38*E11</f>
        <v>-9880</v>
      </c>
      <c r="T11" s="137">
        <f>X11*F11*0.0045</f>
        <v>4721.8794838787298</v>
      </c>
      <c r="U11" s="22">
        <f>E11*5</f>
        <v>1300</v>
      </c>
      <c r="W11" s="22">
        <v>0.3</v>
      </c>
      <c r="X11" s="22">
        <f>((O11*F11)+Q11+R11+S11+U11)/G11</f>
        <v>39.603946102021176</v>
      </c>
      <c r="Y11" s="22">
        <f>((O11*F11)+Q11+R11+S11+T11+U11)/G11+W11</f>
        <v>40.131178030985502</v>
      </c>
      <c r="Z11" s="3">
        <f>Y11*G11</f>
        <v>833925.87948387873</v>
      </c>
      <c r="AA11" s="44">
        <v>43116</v>
      </c>
      <c r="AB11" s="3">
        <v>43</v>
      </c>
      <c r="AC11" s="3" t="s">
        <v>1039</v>
      </c>
    </row>
    <row r="12" spans="1:29" x14ac:dyDescent="0.25">
      <c r="A12" s="33"/>
      <c r="B12" s="34" t="s">
        <v>340</v>
      </c>
      <c r="C12" t="s">
        <v>341</v>
      </c>
      <c r="D12" s="35" t="s">
        <v>1047</v>
      </c>
      <c r="E12">
        <v>200</v>
      </c>
      <c r="F12" s="36">
        <v>21535</v>
      </c>
      <c r="G12" s="38">
        <v>17230</v>
      </c>
      <c r="H12" s="38">
        <f t="shared" si="3"/>
        <v>-4305</v>
      </c>
      <c r="I12" t="s">
        <v>1049</v>
      </c>
      <c r="K12" s="39"/>
      <c r="L12" s="39">
        <v>43104</v>
      </c>
      <c r="M12" s="35" t="s">
        <v>342</v>
      </c>
      <c r="O12" s="22">
        <v>30</v>
      </c>
      <c r="P12" s="46"/>
      <c r="Q12" s="47">
        <v>19800</v>
      </c>
      <c r="R12" s="22">
        <f>65*E12</f>
        <v>13000</v>
      </c>
      <c r="S12" s="43">
        <f>-38*E12</f>
        <v>-7600</v>
      </c>
      <c r="T12" s="137">
        <f>X12*F12*0.0045</f>
        <v>3780.9673171793384</v>
      </c>
      <c r="U12" s="22">
        <f>E12*5</f>
        <v>1000</v>
      </c>
      <c r="W12" s="22">
        <v>0.3</v>
      </c>
      <c r="X12" s="22">
        <f>((O12*F12)+Q12+R12+S12+U12)/G12</f>
        <v>39.01625072547882</v>
      </c>
      <c r="Y12" s="22">
        <f>((O12*F12)+Q12+R12+S12+T12+U12)/G12+W12</f>
        <v>39.535691660892589</v>
      </c>
      <c r="Z12" s="3">
        <f>Y12*G12</f>
        <v>681199.96731717931</v>
      </c>
      <c r="AA12" s="44">
        <v>43117</v>
      </c>
      <c r="AB12" s="3"/>
      <c r="AC12" s="3"/>
    </row>
    <row r="13" spans="1:29" x14ac:dyDescent="0.25">
      <c r="A13" s="33"/>
      <c r="B13" s="34" t="s">
        <v>340</v>
      </c>
      <c r="C13" t="s">
        <v>341</v>
      </c>
      <c r="D13" s="35" t="s">
        <v>1048</v>
      </c>
      <c r="E13">
        <v>130</v>
      </c>
      <c r="F13" s="36">
        <v>14180</v>
      </c>
      <c r="G13" s="38">
        <v>11120</v>
      </c>
      <c r="H13" s="38">
        <f t="shared" si="3"/>
        <v>-3060</v>
      </c>
      <c r="I13" t="s">
        <v>1050</v>
      </c>
      <c r="K13" s="39"/>
      <c r="L13" s="39">
        <v>43104</v>
      </c>
      <c r="M13" s="35" t="s">
        <v>342</v>
      </c>
      <c r="O13" s="22">
        <v>30</v>
      </c>
      <c r="P13" s="46"/>
      <c r="Q13" s="111">
        <v>15700</v>
      </c>
      <c r="R13" s="22">
        <f>65*E13</f>
        <v>8450</v>
      </c>
      <c r="S13" s="43">
        <f>-38*E13</f>
        <v>-4940</v>
      </c>
      <c r="T13" s="137">
        <f>X13*F13*0.0045</f>
        <v>2555.039622302158</v>
      </c>
      <c r="U13" s="22">
        <f>E13*5</f>
        <v>650</v>
      </c>
      <c r="W13" s="22">
        <v>0.3</v>
      </c>
      <c r="X13" s="22">
        <f>((O13*F13)+Q13+R13+S13+U13)/G13</f>
        <v>40.041366906474821</v>
      </c>
      <c r="Y13" s="22">
        <f>((O13*F13)+Q13+R13+S13+T13+U13)/G13+W13</f>
        <v>40.571136656681844</v>
      </c>
      <c r="Z13" s="3">
        <f>Y13*G13</f>
        <v>451151.03962230211</v>
      </c>
      <c r="AA13" s="44">
        <v>43117</v>
      </c>
      <c r="AB13" s="3"/>
      <c r="AC13" s="3" t="s">
        <v>1059</v>
      </c>
    </row>
    <row r="14" spans="1:29" x14ac:dyDescent="0.25">
      <c r="A14" s="33"/>
      <c r="B14" s="34" t="s">
        <v>328</v>
      </c>
      <c r="C14" s="35" t="s">
        <v>343</v>
      </c>
      <c r="D14" s="35" t="s">
        <v>343</v>
      </c>
      <c r="E14" t="s">
        <v>1040</v>
      </c>
      <c r="F14" s="36">
        <f>42393*0.4536</f>
        <v>19229.464800000002</v>
      </c>
      <c r="G14" s="38">
        <v>19149.22</v>
      </c>
      <c r="H14" s="38">
        <f>G14-F14</f>
        <v>-80.244800000000396</v>
      </c>
      <c r="I14" t="s">
        <v>344</v>
      </c>
      <c r="J14" s="5" t="s">
        <v>1022</v>
      </c>
      <c r="K14" s="39">
        <v>43105</v>
      </c>
      <c r="L14" s="39">
        <v>43105</v>
      </c>
      <c r="M14" s="35" t="s">
        <v>348</v>
      </c>
      <c r="N14" s="35" t="s">
        <v>346</v>
      </c>
      <c r="O14" s="22"/>
      <c r="P14" s="40">
        <f>0.5734+0.105</f>
        <v>0.6784</v>
      </c>
      <c r="Q14" s="111">
        <v>23000</v>
      </c>
      <c r="R14" s="22">
        <v>9400</v>
      </c>
      <c r="S14" s="45">
        <v>19.64</v>
      </c>
      <c r="T14" s="137">
        <f>X14*F14*0.005</f>
        <v>2998.4092462483927</v>
      </c>
      <c r="V14" s="22">
        <v>0.12</v>
      </c>
      <c r="W14" s="22">
        <v>0.3</v>
      </c>
      <c r="X14" s="22">
        <f>IF(O14&gt;0,O14,((P14*2.2046*S14)+(Q14+R14)/G14)+V14)</f>
        <v>31.185571490771729</v>
      </c>
      <c r="Y14" s="22">
        <f>IF(O14&gt;0,O14,((P14*2.2046*S14)+(Q14+R14+T14)/G14)+V14+W14)</f>
        <v>31.642152763860054</v>
      </c>
      <c r="Z14" s="3">
        <f>Y14*F14</f>
        <v>608461.66276886966</v>
      </c>
      <c r="AA14" s="44">
        <v>43095</v>
      </c>
      <c r="AB14" s="3"/>
      <c r="AC14" s="3"/>
    </row>
    <row r="15" spans="1:29" x14ac:dyDescent="0.25">
      <c r="A15" s="33"/>
      <c r="B15" s="34" t="s">
        <v>340</v>
      </c>
      <c r="C15" t="s">
        <v>341</v>
      </c>
      <c r="D15" s="35" t="s">
        <v>1060</v>
      </c>
      <c r="E15">
        <v>200</v>
      </c>
      <c r="F15" s="36">
        <v>19730</v>
      </c>
      <c r="G15" s="38">
        <v>16180</v>
      </c>
      <c r="H15" s="38">
        <f>G15-F15</f>
        <v>-3550</v>
      </c>
      <c r="I15" t="s">
        <v>1061</v>
      </c>
      <c r="K15" s="39"/>
      <c r="L15" s="39">
        <v>43105</v>
      </c>
      <c r="M15" s="35" t="s">
        <v>345</v>
      </c>
      <c r="O15" s="22">
        <v>30</v>
      </c>
      <c r="P15" s="46"/>
      <c r="Q15" s="111">
        <v>19800</v>
      </c>
      <c r="R15" s="22">
        <f>65*E15</f>
        <v>13000</v>
      </c>
      <c r="S15" s="43">
        <f>-38*E15</f>
        <v>-7600</v>
      </c>
      <c r="T15" s="137">
        <f>X15*F15*0.0045</f>
        <v>3391.7186959208898</v>
      </c>
      <c r="U15" s="22">
        <f>E15*5</f>
        <v>1000</v>
      </c>
      <c r="W15" s="22">
        <v>0.3</v>
      </c>
      <c r="X15" s="22">
        <f>((O15*F15)+Q15+R15+S15+U15)/G15</f>
        <v>38.201483312731767</v>
      </c>
      <c r="Y15" s="22">
        <f>((O15*F15)+Q15+R15+S15+T15+U15)/G15+W15</f>
        <v>38.711107459574833</v>
      </c>
      <c r="Z15" s="3">
        <f>Y15*G15</f>
        <v>626345.71869592078</v>
      </c>
      <c r="AA15" s="44">
        <v>43118</v>
      </c>
      <c r="AB15" s="3"/>
      <c r="AC15" s="3"/>
    </row>
    <row r="16" spans="1:29" x14ac:dyDescent="0.25">
      <c r="A16" s="33"/>
      <c r="B16" s="34" t="s">
        <v>340</v>
      </c>
      <c r="C16" t="s">
        <v>341</v>
      </c>
      <c r="D16" s="35" t="s">
        <v>1048</v>
      </c>
      <c r="E16">
        <v>130</v>
      </c>
      <c r="F16" s="36">
        <v>13795</v>
      </c>
      <c r="G16" s="38">
        <v>10520</v>
      </c>
      <c r="H16" s="38">
        <f>G16-F16</f>
        <v>-3275</v>
      </c>
      <c r="I16" s="35" t="s">
        <v>1062</v>
      </c>
      <c r="K16" s="39"/>
      <c r="L16" s="39">
        <v>43105</v>
      </c>
      <c r="M16" s="35" t="s">
        <v>345</v>
      </c>
      <c r="O16" s="22">
        <v>30</v>
      </c>
      <c r="P16" s="46"/>
      <c r="Q16" s="111">
        <v>15700</v>
      </c>
      <c r="R16" s="22">
        <f>65*E16</f>
        <v>8450</v>
      </c>
      <c r="S16" s="43">
        <f>-38*E16</f>
        <v>-4940</v>
      </c>
      <c r="T16" s="137">
        <f>X16*F16*0.0045</f>
        <v>2559.2806582699618</v>
      </c>
      <c r="U16" s="22">
        <f>E16*5</f>
        <v>650</v>
      </c>
      <c r="W16" s="22">
        <v>0.3</v>
      </c>
      <c r="X16" s="22">
        <f>((O16*F16)+Q16+R16+S16+U16)/G16</f>
        <v>41.227186311787072</v>
      </c>
      <c r="Y16" s="22">
        <f>((O16*F16)+Q16+R16+S16+T16+U16)/G16+W16</f>
        <v>41.770463940900179</v>
      </c>
      <c r="Z16" s="3">
        <f>Y16*G16</f>
        <v>439425.28065826988</v>
      </c>
      <c r="AA16" s="44">
        <v>43118</v>
      </c>
      <c r="AB16" s="3">
        <v>39.92</v>
      </c>
      <c r="AC16" s="3" t="s">
        <v>1068</v>
      </c>
    </row>
    <row r="17" spans="1:29" x14ac:dyDescent="0.25">
      <c r="A17" s="33"/>
      <c r="B17" s="102" t="s">
        <v>328</v>
      </c>
      <c r="C17" s="103" t="s">
        <v>329</v>
      </c>
      <c r="D17" s="103" t="s">
        <v>329</v>
      </c>
      <c r="E17" s="74" t="s">
        <v>384</v>
      </c>
      <c r="F17" s="104">
        <f>42672*0.4536</f>
        <v>19356.019199999999</v>
      </c>
      <c r="G17" s="105">
        <v>19300</v>
      </c>
      <c r="H17" s="105">
        <f>G17-F17</f>
        <v>-56.019199999998818</v>
      </c>
      <c r="I17" s="106" t="s">
        <v>347</v>
      </c>
      <c r="J17" s="74" t="s">
        <v>384</v>
      </c>
      <c r="K17" s="107">
        <v>43105</v>
      </c>
      <c r="L17" s="107">
        <v>43106</v>
      </c>
      <c r="M17" s="103" t="s">
        <v>348</v>
      </c>
      <c r="N17" s="103" t="s">
        <v>1032</v>
      </c>
      <c r="O17" s="100"/>
      <c r="P17" s="108">
        <f>0.5804+0.095</f>
        <v>0.6754</v>
      </c>
      <c r="Q17" s="100">
        <v>23000</v>
      </c>
      <c r="R17" s="100">
        <v>9500</v>
      </c>
      <c r="S17" s="109">
        <v>20</v>
      </c>
      <c r="T17" s="110">
        <f>X17*F17*0.005</f>
        <v>3056.6710621274374</v>
      </c>
      <c r="U17" s="106"/>
      <c r="V17" s="100">
        <v>0.12</v>
      </c>
      <c r="W17" s="100">
        <v>0.3</v>
      </c>
      <c r="X17" s="100">
        <f>IF(O17&gt;0,O17,((P17*2.2046*S17)+(Q17+R17)/G17)+V17)</f>
        <v>31.583674623834199</v>
      </c>
      <c r="Y17" s="100">
        <f>IF(O17&gt;0,O17,((P17*2.2046*S17)+(Q17+R17+T17)/G17)+V17+W17)</f>
        <v>32.042051362804536</v>
      </c>
      <c r="Z17" s="84">
        <f>Y17*F17</f>
        <v>620206.56138583075</v>
      </c>
      <c r="AA17" s="101" t="s">
        <v>384</v>
      </c>
      <c r="AB17" s="3"/>
      <c r="AC17" s="3"/>
    </row>
    <row r="18" spans="1:29" ht="15.75" thickBot="1" x14ac:dyDescent="0.3">
      <c r="A18" s="48"/>
      <c r="B18" s="49"/>
      <c r="C18" s="23"/>
      <c r="D18" s="23"/>
      <c r="E18" s="23"/>
      <c r="F18" s="50"/>
      <c r="G18" s="50"/>
      <c r="H18" s="50"/>
      <c r="I18" s="26"/>
      <c r="J18" s="23"/>
      <c r="K18" s="27"/>
      <c r="L18" s="27"/>
      <c r="M18" s="23"/>
      <c r="N18" s="23"/>
      <c r="O18" s="28"/>
      <c r="P18" s="29"/>
      <c r="Q18" s="28"/>
      <c r="R18" s="28"/>
      <c r="S18" s="28"/>
      <c r="T18" s="28"/>
      <c r="U18" s="28"/>
      <c r="V18" s="28"/>
      <c r="W18" s="28"/>
      <c r="X18" s="28"/>
      <c r="Y18" s="28"/>
      <c r="Z18" s="32"/>
      <c r="AA18" s="51"/>
      <c r="AB18" s="3"/>
      <c r="AC18" s="3"/>
    </row>
    <row r="19" spans="1:29" x14ac:dyDescent="0.25">
      <c r="A19" s="52"/>
      <c r="B19" s="53" t="s">
        <v>340</v>
      </c>
      <c r="C19" s="53" t="s">
        <v>341</v>
      </c>
      <c r="D19" s="54" t="s">
        <v>1047</v>
      </c>
      <c r="E19" s="53">
        <v>200</v>
      </c>
      <c r="F19" s="55">
        <v>24150</v>
      </c>
      <c r="G19" s="56">
        <v>17430</v>
      </c>
      <c r="H19" s="38">
        <f t="shared" ref="H19:H27" si="4">G19-F19</f>
        <v>-6720</v>
      </c>
      <c r="I19" s="57" t="s">
        <v>1100</v>
      </c>
      <c r="J19" s="53"/>
      <c r="K19" s="58"/>
      <c r="L19" s="58">
        <v>43107</v>
      </c>
      <c r="M19" s="54" t="s">
        <v>349</v>
      </c>
      <c r="N19" s="53"/>
      <c r="O19" s="59">
        <v>30</v>
      </c>
      <c r="P19" s="60"/>
      <c r="Q19" s="61">
        <v>19800</v>
      </c>
      <c r="R19" s="59">
        <f>65*E19</f>
        <v>13000</v>
      </c>
      <c r="S19" s="59">
        <f>-38*E19</f>
        <v>-7600</v>
      </c>
      <c r="T19" s="138">
        <f>X19*F19*0.0045</f>
        <v>4680.5692771084332</v>
      </c>
      <c r="U19" s="59">
        <f>E19*5</f>
        <v>1000</v>
      </c>
      <c r="V19" s="53"/>
      <c r="W19" s="59">
        <v>0.3</v>
      </c>
      <c r="X19" s="59">
        <f>((O19*F19)+Q19+R19+S19+U19)/G19</f>
        <v>43.069420539300054</v>
      </c>
      <c r="Y19" s="63">
        <f>((O19*F19)+Q19+R19+S19+T19+U19)/G19+W19</f>
        <v>43.63795578181918</v>
      </c>
      <c r="Z19" s="63">
        <f>Y19*G19</f>
        <v>760609.5692771083</v>
      </c>
      <c r="AA19" s="64">
        <v>43122</v>
      </c>
      <c r="AB19" s="3">
        <v>43</v>
      </c>
      <c r="AC19" s="3"/>
    </row>
    <row r="20" spans="1:29" x14ac:dyDescent="0.25">
      <c r="A20" s="65"/>
      <c r="B20" s="34" t="s">
        <v>340</v>
      </c>
      <c r="C20" t="s">
        <v>341</v>
      </c>
      <c r="D20" s="35" t="s">
        <v>1102</v>
      </c>
      <c r="E20">
        <v>129</v>
      </c>
      <c r="F20" s="36">
        <v>13370</v>
      </c>
      <c r="G20" s="38">
        <v>12380</v>
      </c>
      <c r="H20" s="38">
        <f t="shared" si="4"/>
        <v>-990</v>
      </c>
      <c r="I20" s="35" t="s">
        <v>1101</v>
      </c>
      <c r="K20" s="39"/>
      <c r="L20" s="39">
        <v>43107</v>
      </c>
      <c r="M20" s="35" t="s">
        <v>349</v>
      </c>
      <c r="O20" s="22">
        <v>30</v>
      </c>
      <c r="P20" s="46"/>
      <c r="Q20" s="111">
        <v>15700</v>
      </c>
      <c r="R20" s="22">
        <f>65*E20</f>
        <v>8385</v>
      </c>
      <c r="S20" s="43">
        <f>-38*E20</f>
        <v>-4902</v>
      </c>
      <c r="T20" s="137">
        <f>X20*F20*0.0045</f>
        <v>2045.6488788368335</v>
      </c>
      <c r="U20" s="22">
        <f>E20*5</f>
        <v>645</v>
      </c>
      <c r="W20" s="22">
        <v>0.3</v>
      </c>
      <c r="X20" s="22">
        <f>((O20*F20)+Q20+R20+S20+U20)/G20</f>
        <v>34.000646203554119</v>
      </c>
      <c r="Y20" s="22">
        <f>((O20*F20)+Q20+R20+S20+T20+U20)/G20+W20</f>
        <v>34.465884400552248</v>
      </c>
      <c r="Z20" s="3">
        <f>Y20*G20</f>
        <v>426687.64887883683</v>
      </c>
      <c r="AA20" s="44">
        <v>43122</v>
      </c>
      <c r="AB20" s="3">
        <v>39.82</v>
      </c>
      <c r="AC20" s="3" t="s">
        <v>1120</v>
      </c>
    </row>
    <row r="21" spans="1:29" x14ac:dyDescent="0.25">
      <c r="A21" s="65"/>
      <c r="B21" s="34" t="s">
        <v>340</v>
      </c>
      <c r="C21" t="s">
        <v>341</v>
      </c>
      <c r="D21" s="35" t="s">
        <v>1048</v>
      </c>
      <c r="E21">
        <f>230</f>
        <v>230</v>
      </c>
      <c r="F21" s="36">
        <v>22185</v>
      </c>
      <c r="G21" s="38">
        <f>11120+6150</f>
        <v>17270</v>
      </c>
      <c r="H21" s="38">
        <f>G21-F21</f>
        <v>-4915</v>
      </c>
      <c r="I21" s="35" t="s">
        <v>1103</v>
      </c>
      <c r="K21" s="39"/>
      <c r="L21" s="39">
        <v>43108</v>
      </c>
      <c r="M21" s="35" t="s">
        <v>350</v>
      </c>
      <c r="O21" s="22">
        <v>30</v>
      </c>
      <c r="P21" s="46"/>
      <c r="Q21" s="111">
        <f>19800</f>
        <v>19800</v>
      </c>
      <c r="R21" s="22">
        <f>65*E21</f>
        <v>14950</v>
      </c>
      <c r="S21" s="43">
        <f>-38*E21</f>
        <v>-8740</v>
      </c>
      <c r="T21" s="137">
        <f>X21*F21*0.0045</f>
        <v>4004.3411160972782</v>
      </c>
      <c r="U21" s="22">
        <f>E21*5</f>
        <v>1150</v>
      </c>
      <c r="W21" s="22">
        <v>0.3</v>
      </c>
      <c r="X21" s="22">
        <f>((O21*F21)+Q21+R21+S21+U21)/G21</f>
        <v>40.11059640995947</v>
      </c>
      <c r="Y21" s="22">
        <f>((O21*F21)+Q21+R21+S21+T21+U21)/G21+W21</f>
        <v>40.642463295662843</v>
      </c>
      <c r="Z21" s="3">
        <f>Y21*G21</f>
        <v>701895.34111609729</v>
      </c>
      <c r="AA21" s="44">
        <v>43122</v>
      </c>
      <c r="AB21" s="3"/>
      <c r="AC21" s="3" t="s">
        <v>1138</v>
      </c>
    </row>
    <row r="22" spans="1:29" x14ac:dyDescent="0.25">
      <c r="A22" s="65"/>
      <c r="B22" s="34" t="s">
        <v>351</v>
      </c>
      <c r="C22" t="s">
        <v>352</v>
      </c>
      <c r="D22" s="35" t="s">
        <v>353</v>
      </c>
      <c r="E22" t="s">
        <v>1211</v>
      </c>
      <c r="F22" s="36">
        <v>18506.554</v>
      </c>
      <c r="G22" s="38">
        <v>18506.554</v>
      </c>
      <c r="H22" s="38">
        <f>G22-F22</f>
        <v>0</v>
      </c>
      <c r="I22" s="35" t="s">
        <v>1210</v>
      </c>
      <c r="K22" s="39"/>
      <c r="L22" s="39">
        <v>43108</v>
      </c>
      <c r="M22" s="35" t="s">
        <v>350</v>
      </c>
      <c r="O22" s="22">
        <v>42.5</v>
      </c>
      <c r="P22" s="46"/>
      <c r="Q22" s="22"/>
      <c r="R22" s="22"/>
      <c r="S22" s="45"/>
      <c r="T22" s="43"/>
      <c r="V22" s="22"/>
      <c r="W22" s="22"/>
      <c r="X22" s="22">
        <f t="shared" ref="X22:X27" si="5">IF(O22&gt;0,O22,((P22*2.2046*S22)+(Q22+R22)/G22)+V22)</f>
        <v>42.5</v>
      </c>
      <c r="Y22" s="22">
        <f t="shared" ref="Y22:Y27" si="6">IF(O22&gt;0,O22,((P22*2.2046*S22)+(Q22+R22+T22)/G22)+V22+W22)</f>
        <v>42.5</v>
      </c>
      <c r="Z22" s="3">
        <f t="shared" ref="Z22:Z27" si="7">Y22*F22</f>
        <v>786528.54500000004</v>
      </c>
      <c r="AA22" s="44">
        <v>43129</v>
      </c>
      <c r="AB22" s="3"/>
      <c r="AC22" s="3"/>
    </row>
    <row r="23" spans="1:29" x14ac:dyDescent="0.25">
      <c r="A23" s="65"/>
      <c r="B23" s="34" t="s">
        <v>1105</v>
      </c>
      <c r="C23" t="s">
        <v>343</v>
      </c>
      <c r="D23" s="35" t="s">
        <v>1106</v>
      </c>
      <c r="E23" t="s">
        <v>1107</v>
      </c>
      <c r="F23" s="36">
        <v>4545.8</v>
      </c>
      <c r="G23" s="38">
        <v>4645.8</v>
      </c>
      <c r="H23" s="38">
        <f>G23-F23</f>
        <v>100</v>
      </c>
      <c r="I23" s="35" t="s">
        <v>1108</v>
      </c>
      <c r="K23" s="39"/>
      <c r="L23" s="39">
        <v>43108</v>
      </c>
      <c r="M23" s="35" t="s">
        <v>350</v>
      </c>
      <c r="O23" s="22">
        <v>20</v>
      </c>
      <c r="P23" s="46"/>
      <c r="Q23" s="22"/>
      <c r="R23" s="22"/>
      <c r="S23" s="45"/>
      <c r="T23" s="43"/>
      <c r="V23" s="22"/>
      <c r="W23" s="22"/>
      <c r="X23" s="22">
        <f t="shared" si="5"/>
        <v>20</v>
      </c>
      <c r="Y23" s="22">
        <f t="shared" si="6"/>
        <v>20</v>
      </c>
      <c r="Z23" s="3">
        <f t="shared" si="7"/>
        <v>90916</v>
      </c>
      <c r="AA23" s="44">
        <v>43115</v>
      </c>
      <c r="AB23" s="3"/>
      <c r="AC23" s="3"/>
    </row>
    <row r="24" spans="1:29" x14ac:dyDescent="0.25">
      <c r="A24" s="65"/>
      <c r="B24" s="34" t="s">
        <v>1063</v>
      </c>
      <c r="C24" t="s">
        <v>1064</v>
      </c>
      <c r="D24" s="35" t="s">
        <v>1065</v>
      </c>
      <c r="E24" t="s">
        <v>1213</v>
      </c>
      <c r="F24" s="36">
        <v>10019.02</v>
      </c>
      <c r="G24" s="38">
        <v>10019.620000000001</v>
      </c>
      <c r="H24" s="38">
        <f>G24-F24</f>
        <v>0.6000000000003638</v>
      </c>
      <c r="I24" s="35" t="s">
        <v>1233</v>
      </c>
      <c r="K24" s="39"/>
      <c r="L24" s="39">
        <v>43108</v>
      </c>
      <c r="M24" s="35" t="s">
        <v>350</v>
      </c>
      <c r="O24" s="22">
        <v>93</v>
      </c>
      <c r="P24" s="46"/>
      <c r="Q24" s="22"/>
      <c r="R24" s="22"/>
      <c r="S24" s="45"/>
      <c r="T24" s="43"/>
      <c r="V24" s="22"/>
      <c r="W24" s="22"/>
      <c r="X24" s="22">
        <f t="shared" si="5"/>
        <v>93</v>
      </c>
      <c r="Y24" s="22">
        <f t="shared" si="6"/>
        <v>93</v>
      </c>
      <c r="Z24" s="3">
        <f t="shared" si="7"/>
        <v>931768.86</v>
      </c>
      <c r="AA24" s="44">
        <v>43116</v>
      </c>
      <c r="AB24" s="3"/>
      <c r="AC24" s="3"/>
    </row>
    <row r="25" spans="1:29" x14ac:dyDescent="0.25">
      <c r="A25" s="65"/>
      <c r="B25" s="34" t="s">
        <v>1122</v>
      </c>
      <c r="C25" t="s">
        <v>1123</v>
      </c>
      <c r="D25" s="35" t="s">
        <v>1014</v>
      </c>
      <c r="E25" t="s">
        <v>1207</v>
      </c>
      <c r="F25" s="36">
        <v>1003.34</v>
      </c>
      <c r="G25" s="38">
        <v>1003.34</v>
      </c>
      <c r="H25" s="38">
        <f>G25-F25</f>
        <v>0</v>
      </c>
      <c r="I25" s="35" t="s">
        <v>1202</v>
      </c>
      <c r="K25" s="39"/>
      <c r="L25" s="39">
        <v>43108</v>
      </c>
      <c r="M25" s="35" t="s">
        <v>350</v>
      </c>
      <c r="O25" s="22">
        <v>50</v>
      </c>
      <c r="P25" s="46"/>
      <c r="Q25" s="22"/>
      <c r="R25" s="22"/>
      <c r="S25" s="45"/>
      <c r="T25" s="43"/>
      <c r="V25" s="22"/>
      <c r="W25" s="22"/>
      <c r="X25" s="22">
        <f t="shared" si="5"/>
        <v>50</v>
      </c>
      <c r="Y25" s="22">
        <f t="shared" si="6"/>
        <v>50</v>
      </c>
      <c r="Z25" s="3">
        <f t="shared" si="7"/>
        <v>50167</v>
      </c>
      <c r="AA25" s="44">
        <v>43108</v>
      </c>
      <c r="AB25" s="3"/>
      <c r="AC25" s="3"/>
    </row>
    <row r="26" spans="1:29" x14ac:dyDescent="0.25">
      <c r="A26" s="65"/>
      <c r="B26" s="34" t="s">
        <v>328</v>
      </c>
      <c r="C26" t="s">
        <v>329</v>
      </c>
      <c r="D26" s="35" t="s">
        <v>329</v>
      </c>
      <c r="E26" t="s">
        <v>1021</v>
      </c>
      <c r="F26" s="36">
        <f>40543*0.4536</f>
        <v>18390.304800000002</v>
      </c>
      <c r="G26" s="38">
        <v>18217.39</v>
      </c>
      <c r="H26" s="38">
        <f t="shared" si="4"/>
        <v>-172.91480000000229</v>
      </c>
      <c r="I26" s="35" t="s">
        <v>354</v>
      </c>
      <c r="J26" s="5" t="s">
        <v>1022</v>
      </c>
      <c r="K26" s="39">
        <v>43108</v>
      </c>
      <c r="L26" s="39">
        <v>43109</v>
      </c>
      <c r="M26" s="35" t="s">
        <v>355</v>
      </c>
      <c r="N26" s="35" t="s">
        <v>356</v>
      </c>
      <c r="O26" s="22"/>
      <c r="P26" s="40">
        <f>0.5726+0.095</f>
        <v>0.66759999999999997</v>
      </c>
      <c r="Q26" s="111">
        <v>23000</v>
      </c>
      <c r="R26" s="120">
        <v>9500</v>
      </c>
      <c r="S26" s="45">
        <v>19.058</v>
      </c>
      <c r="T26" s="137">
        <f>X26*F26*0.005</f>
        <v>2754.2609435704858</v>
      </c>
      <c r="V26" s="22">
        <v>0.12</v>
      </c>
      <c r="W26" s="22">
        <v>0.3</v>
      </c>
      <c r="X26" s="22">
        <f t="shared" si="5"/>
        <v>29.953401789952771</v>
      </c>
      <c r="Y26" s="22">
        <f t="shared" si="6"/>
        <v>30.404590348992812</v>
      </c>
      <c r="Z26" s="3">
        <f t="shared" si="7"/>
        <v>559149.68383711623</v>
      </c>
      <c r="AA26" s="44">
        <v>43119</v>
      </c>
      <c r="AB26" s="3"/>
      <c r="AC26" s="3"/>
    </row>
    <row r="27" spans="1:29" x14ac:dyDescent="0.25">
      <c r="A27" s="65"/>
      <c r="B27" s="34" t="s">
        <v>328</v>
      </c>
      <c r="C27" t="s">
        <v>336</v>
      </c>
      <c r="D27" s="35" t="s">
        <v>358</v>
      </c>
      <c r="E27" t="s">
        <v>1021</v>
      </c>
      <c r="F27" s="36">
        <f>41210*0.4536</f>
        <v>18692.856</v>
      </c>
      <c r="G27" s="38">
        <v>18603.2</v>
      </c>
      <c r="H27" s="38">
        <f t="shared" si="4"/>
        <v>-89.65599999999904</v>
      </c>
      <c r="I27" s="35" t="s">
        <v>359</v>
      </c>
      <c r="J27" s="5" t="s">
        <v>1022</v>
      </c>
      <c r="K27" s="39">
        <v>43108</v>
      </c>
      <c r="L27" s="39">
        <v>43109</v>
      </c>
      <c r="M27" s="35" t="s">
        <v>355</v>
      </c>
      <c r="N27" t="s">
        <v>360</v>
      </c>
      <c r="O27" s="22"/>
      <c r="P27" s="40">
        <f>0.5714+0.105</f>
        <v>0.6764</v>
      </c>
      <c r="Q27" s="111">
        <v>23000</v>
      </c>
      <c r="R27" s="22">
        <v>9400</v>
      </c>
      <c r="S27" s="45">
        <v>19.274999999999999</v>
      </c>
      <c r="T27" s="137">
        <f>X27*F27*0.005</f>
        <v>2860.4136173987458</v>
      </c>
      <c r="V27" s="22">
        <v>0.12</v>
      </c>
      <c r="W27" s="22">
        <v>0.3</v>
      </c>
      <c r="X27" s="22">
        <f t="shared" si="5"/>
        <v>30.604350853596113</v>
      </c>
      <c r="Y27" s="22">
        <f t="shared" si="6"/>
        <v>31.058110078750861</v>
      </c>
      <c r="Z27" s="3">
        <f t="shared" si="7"/>
        <v>580564.7793342385</v>
      </c>
      <c r="AA27" s="44">
        <v>43108</v>
      </c>
      <c r="AB27" s="3"/>
      <c r="AC27" s="3"/>
    </row>
    <row r="28" spans="1:29" x14ac:dyDescent="0.25">
      <c r="A28" s="65"/>
      <c r="B28" s="34" t="s">
        <v>340</v>
      </c>
      <c r="C28" t="s">
        <v>341</v>
      </c>
      <c r="D28" s="35" t="s">
        <v>1060</v>
      </c>
      <c r="E28">
        <v>220</v>
      </c>
      <c r="F28" s="36">
        <v>26760</v>
      </c>
      <c r="G28" s="38">
        <f>14710+6870</f>
        <v>21580</v>
      </c>
      <c r="H28" s="38">
        <f t="shared" ref="H28:H41" si="8">G28-F28</f>
        <v>-5180</v>
      </c>
      <c r="I28" t="s">
        <v>1141</v>
      </c>
      <c r="K28" s="39"/>
      <c r="L28" s="39">
        <v>43109</v>
      </c>
      <c r="M28" s="35" t="s">
        <v>355</v>
      </c>
      <c r="O28" s="22">
        <v>30</v>
      </c>
      <c r="P28" s="46"/>
      <c r="Q28" s="47">
        <v>19800</v>
      </c>
      <c r="R28" s="22">
        <f>65*E28</f>
        <v>14300</v>
      </c>
      <c r="S28" s="43">
        <f>-38*E28</f>
        <v>-8360</v>
      </c>
      <c r="T28" s="137">
        <f>X28*F28*0.005</f>
        <v>5143.9217794253937</v>
      </c>
      <c r="U28" s="22">
        <f>E28*5</f>
        <v>1100</v>
      </c>
      <c r="W28" s="22">
        <v>0.3</v>
      </c>
      <c r="X28" s="22">
        <f>((O28*F28)+Q28+R28+S28+U28)/G28</f>
        <v>38.444856348470807</v>
      </c>
      <c r="Y28" s="22">
        <f>((O28*F28)+Q28+R28+S28+T28+U28)/G28+W28</f>
        <v>38.983221583847325</v>
      </c>
      <c r="Z28" s="3">
        <f>Y28*G28</f>
        <v>841257.92177942523</v>
      </c>
      <c r="AA28" s="44">
        <v>43122</v>
      </c>
      <c r="AB28" s="3">
        <v>43</v>
      </c>
      <c r="AC28" s="3" t="s">
        <v>1150</v>
      </c>
    </row>
    <row r="29" spans="1:29" x14ac:dyDescent="0.25">
      <c r="A29" s="65"/>
      <c r="B29" s="34" t="s">
        <v>328</v>
      </c>
      <c r="C29" s="35" t="s">
        <v>343</v>
      </c>
      <c r="D29" s="35" t="s">
        <v>343</v>
      </c>
      <c r="E29" t="s">
        <v>1040</v>
      </c>
      <c r="F29" s="36">
        <f>42283*0.4536</f>
        <v>19179.568800000001</v>
      </c>
      <c r="G29" s="38">
        <v>19135.919999999998</v>
      </c>
      <c r="H29" s="38">
        <f t="shared" si="8"/>
        <v>-43.648800000002666</v>
      </c>
      <c r="I29" s="35" t="s">
        <v>361</v>
      </c>
      <c r="J29" s="5" t="s">
        <v>1089</v>
      </c>
      <c r="K29" s="39">
        <v>43110</v>
      </c>
      <c r="L29" s="39">
        <v>43111</v>
      </c>
      <c r="M29" s="35" t="s">
        <v>342</v>
      </c>
      <c r="N29" s="35" t="s">
        <v>362</v>
      </c>
      <c r="O29" s="22"/>
      <c r="P29" s="40">
        <f>0.5726+0.105</f>
        <v>0.67759999999999998</v>
      </c>
      <c r="Q29" s="111">
        <v>23000</v>
      </c>
      <c r="R29" s="22">
        <v>9400</v>
      </c>
      <c r="S29" s="45">
        <v>19.863</v>
      </c>
      <c r="T29" s="137">
        <f>X29*F29*0.005</f>
        <v>3019.3660994394049</v>
      </c>
      <c r="V29" s="22">
        <v>0.12</v>
      </c>
      <c r="W29" s="22">
        <v>0.3</v>
      </c>
      <c r="X29" s="22">
        <f>IF(O29&gt;0,O29,((P29*2.2046*S29)+(Q29+R29)/G29)+V29)</f>
        <v>31.485234427579048</v>
      </c>
      <c r="Y29" s="22">
        <f>IF(O29&gt;0,O29,((P29*2.2046*S29)+(Q29+R29+T29)/G29)+V29+W29)</f>
        <v>31.94301968689448</v>
      </c>
      <c r="Z29" s="3">
        <f>Y29*F29</f>
        <v>612653.34376454714</v>
      </c>
      <c r="AA29" s="44">
        <v>43097</v>
      </c>
      <c r="AB29" s="3">
        <v>33</v>
      </c>
      <c r="AC29" s="3"/>
    </row>
    <row r="30" spans="1:29" x14ac:dyDescent="0.25">
      <c r="A30" s="65"/>
      <c r="B30" s="34" t="s">
        <v>1134</v>
      </c>
      <c r="C30" t="s">
        <v>343</v>
      </c>
      <c r="D30" s="35" t="s">
        <v>1065</v>
      </c>
      <c r="E30" t="s">
        <v>1217</v>
      </c>
      <c r="F30" s="36">
        <v>1402.86</v>
      </c>
      <c r="G30" s="38">
        <v>1402.86</v>
      </c>
      <c r="H30" s="38">
        <f t="shared" si="8"/>
        <v>0</v>
      </c>
      <c r="I30" s="35" t="s">
        <v>1214</v>
      </c>
      <c r="K30" s="39"/>
      <c r="L30" s="39">
        <v>43110</v>
      </c>
      <c r="M30" s="35" t="s">
        <v>331</v>
      </c>
      <c r="O30" s="22">
        <v>49</v>
      </c>
      <c r="P30" s="46"/>
      <c r="Q30" s="22"/>
      <c r="R30" s="22"/>
      <c r="S30" s="45"/>
      <c r="T30" s="43"/>
      <c r="V30" s="22"/>
      <c r="W30" s="22"/>
      <c r="X30" s="22">
        <f>IF(O30&gt;0,O30,((P30*2.2046*S30)+(Q30+R30)/G30)+V30)</f>
        <v>49</v>
      </c>
      <c r="Y30" s="22">
        <f>IF(O30&gt;0,O30,((P30*2.2046*S30)+(Q30+R30+T30)/G30)+V30+W30)</f>
        <v>49</v>
      </c>
      <c r="Z30" s="3">
        <f>Y30*F30</f>
        <v>68740.14</v>
      </c>
      <c r="AA30" s="44">
        <v>43116</v>
      </c>
      <c r="AB30" s="3"/>
      <c r="AC30" s="3"/>
    </row>
    <row r="31" spans="1:29" x14ac:dyDescent="0.25">
      <c r="A31" s="65"/>
      <c r="B31" s="34" t="s">
        <v>1135</v>
      </c>
      <c r="C31" t="s">
        <v>1136</v>
      </c>
      <c r="D31" s="35" t="s">
        <v>1065</v>
      </c>
      <c r="E31" t="s">
        <v>1218</v>
      </c>
      <c r="F31" s="36">
        <v>1013.32</v>
      </c>
      <c r="G31" s="38">
        <v>1013.32</v>
      </c>
      <c r="H31" s="38">
        <f t="shared" si="8"/>
        <v>0</v>
      </c>
      <c r="I31" s="35" t="s">
        <v>1214</v>
      </c>
      <c r="K31" s="39"/>
      <c r="L31" s="39">
        <v>43110</v>
      </c>
      <c r="M31" s="35" t="s">
        <v>331</v>
      </c>
      <c r="O31" s="22">
        <v>45.8</v>
      </c>
      <c r="P31" s="46"/>
      <c r="Q31" s="22"/>
      <c r="R31" s="22"/>
      <c r="S31" s="45"/>
      <c r="T31" s="43"/>
      <c r="V31" s="22"/>
      <c r="W31" s="22"/>
      <c r="X31" s="22">
        <f>IF(O31&gt;0,O31,((P31*2.2046*S31)+(Q31+R31)/G31)+V31)</f>
        <v>45.8</v>
      </c>
      <c r="Y31" s="22">
        <f>IF(O31&gt;0,O31,((P31*2.2046*S31)+(Q31+R31+T31)/G31)+V31+W31)</f>
        <v>45.8</v>
      </c>
      <c r="Z31" s="3">
        <f>Y31*F31</f>
        <v>46410.055999999997</v>
      </c>
      <c r="AA31" s="44">
        <v>43116</v>
      </c>
      <c r="AB31" s="3"/>
      <c r="AC31" s="3"/>
    </row>
    <row r="32" spans="1:29" x14ac:dyDescent="0.25">
      <c r="A32" s="65"/>
      <c r="B32" s="34" t="s">
        <v>340</v>
      </c>
      <c r="C32" t="s">
        <v>341</v>
      </c>
      <c r="D32" s="35" t="s">
        <v>1047</v>
      </c>
      <c r="E32">
        <v>220</v>
      </c>
      <c r="F32" s="36">
        <v>24330</v>
      </c>
      <c r="G32" s="38">
        <f>13350+6260</f>
        <v>19610</v>
      </c>
      <c r="H32" s="38">
        <f t="shared" si="8"/>
        <v>-4720</v>
      </c>
      <c r="I32" s="35" t="s">
        <v>1167</v>
      </c>
      <c r="K32" s="39"/>
      <c r="L32" s="39">
        <v>43110</v>
      </c>
      <c r="M32" s="35" t="s">
        <v>331</v>
      </c>
      <c r="O32" s="22">
        <v>30</v>
      </c>
      <c r="P32" s="46"/>
      <c r="Q32" s="111">
        <v>19800</v>
      </c>
      <c r="R32" s="22">
        <f>65*E32</f>
        <v>14300</v>
      </c>
      <c r="S32" s="43">
        <f>-38*E32</f>
        <v>-8360</v>
      </c>
      <c r="T32" s="137">
        <f>X32*F32*0.0045</f>
        <v>4224.9708771035184</v>
      </c>
      <c r="U32" s="22">
        <f>E32*5</f>
        <v>1100</v>
      </c>
      <c r="W32" s="22">
        <v>0.3</v>
      </c>
      <c r="X32" s="22">
        <f>((O32*F32)+Q32+R32+S32+U32)/G32</f>
        <v>38.589495155532894</v>
      </c>
      <c r="Y32" s="22">
        <f>((O32*F32)+Q32+R32+S32+T32+U32)/G32+W32</f>
        <v>39.104944970785489</v>
      </c>
      <c r="Z32" s="3">
        <f>Y32*G32</f>
        <v>766847.97087710339</v>
      </c>
      <c r="AA32" s="44">
        <v>43123</v>
      </c>
      <c r="AB32" s="3">
        <v>42</v>
      </c>
      <c r="AC32" s="3" t="s">
        <v>1169</v>
      </c>
    </row>
    <row r="33" spans="1:30" x14ac:dyDescent="0.25">
      <c r="A33" s="65"/>
      <c r="B33" s="34" t="s">
        <v>328</v>
      </c>
      <c r="C33" s="35" t="s">
        <v>343</v>
      </c>
      <c r="D33" s="35" t="s">
        <v>343</v>
      </c>
      <c r="E33" t="s">
        <v>1040</v>
      </c>
      <c r="F33" s="36">
        <f>41935*0.4536</f>
        <v>19021.716</v>
      </c>
      <c r="G33" s="38">
        <v>19016.099999999999</v>
      </c>
      <c r="H33" s="38">
        <f t="shared" si="8"/>
        <v>-5.6160000000018044</v>
      </c>
      <c r="I33" t="s">
        <v>363</v>
      </c>
      <c r="J33" s="5" t="s">
        <v>1022</v>
      </c>
      <c r="K33" s="39">
        <v>43111</v>
      </c>
      <c r="L33" s="39">
        <v>43112</v>
      </c>
      <c r="M33" s="35" t="s">
        <v>345</v>
      </c>
      <c r="N33" s="35" t="s">
        <v>364</v>
      </c>
      <c r="O33" s="22"/>
      <c r="P33" s="40">
        <f>0.5656+0.105</f>
        <v>0.67059999999999997</v>
      </c>
      <c r="Q33" s="111">
        <v>23000</v>
      </c>
      <c r="R33" s="22">
        <v>9400</v>
      </c>
      <c r="S33" s="45">
        <v>19.53</v>
      </c>
      <c r="T33" s="137">
        <f>X33*F33*0.005</f>
        <v>2920.0543489170245</v>
      </c>
      <c r="V33" s="22">
        <v>0.12</v>
      </c>
      <c r="W33" s="22">
        <v>0.3</v>
      </c>
      <c r="X33" s="22">
        <f>IF(O33&gt;0,O33,((P33*2.2046*S33)+(Q33+R37)/G33)+V33)</f>
        <v>30.702323059780984</v>
      </c>
      <c r="Y33" s="22">
        <f>IF(O33&gt;0,O33,((P33*2.2046*S33)+(Q33+R29+T33)/G33)+V33+W33)</f>
        <v>31.150621309628065</v>
      </c>
      <c r="Z33" s="3">
        <f>Y33*F33</f>
        <v>592538.27177529316</v>
      </c>
      <c r="AA33" s="44">
        <v>43104</v>
      </c>
      <c r="AB33" s="3"/>
      <c r="AC33" s="3"/>
    </row>
    <row r="34" spans="1:30" x14ac:dyDescent="0.25">
      <c r="A34" s="65"/>
      <c r="B34" s="34" t="s">
        <v>1105</v>
      </c>
      <c r="C34" s="35" t="s">
        <v>343</v>
      </c>
      <c r="D34" s="35" t="s">
        <v>1106</v>
      </c>
      <c r="E34" t="s">
        <v>1107</v>
      </c>
      <c r="F34" s="36">
        <v>4534</v>
      </c>
      <c r="G34" s="38">
        <v>4534</v>
      </c>
      <c r="H34" s="38">
        <f t="shared" si="8"/>
        <v>0</v>
      </c>
      <c r="I34" s="35" t="s">
        <v>1240</v>
      </c>
      <c r="K34" s="39"/>
      <c r="L34" s="39">
        <v>43112</v>
      </c>
      <c r="M34" s="35" t="s">
        <v>345</v>
      </c>
      <c r="N34" s="35"/>
      <c r="O34" s="22">
        <v>20</v>
      </c>
      <c r="P34" s="40"/>
      <c r="Q34" s="22"/>
      <c r="R34" s="22"/>
      <c r="S34" s="45"/>
      <c r="T34" s="43"/>
      <c r="V34" s="22"/>
      <c r="W34" s="22"/>
      <c r="X34" s="22">
        <f>IF(O34&gt;0,O34,((P34*2.2046*S34)+(Q34+R38)/G34)+V34)</f>
        <v>20</v>
      </c>
      <c r="Y34" s="22">
        <f>IF(O34&gt;0,O34,((P34*2.2046*S34)+(Q34+R30+T34)/G34)+V34+W34)</f>
        <v>20</v>
      </c>
      <c r="Z34" s="3">
        <f>Y34*F34</f>
        <v>90680</v>
      </c>
      <c r="AA34" s="44">
        <v>43119</v>
      </c>
      <c r="AB34" s="3"/>
      <c r="AC34" s="3"/>
    </row>
    <row r="35" spans="1:30" x14ac:dyDescent="0.25">
      <c r="A35" s="65"/>
      <c r="B35" s="34" t="s">
        <v>340</v>
      </c>
      <c r="C35" t="s">
        <v>341</v>
      </c>
      <c r="D35" s="35" t="s">
        <v>1174</v>
      </c>
      <c r="E35">
        <f>218</f>
        <v>218</v>
      </c>
      <c r="F35" s="115">
        <f>31755</f>
        <v>31755</v>
      </c>
      <c r="G35" s="38">
        <f>25640</f>
        <v>25640</v>
      </c>
      <c r="H35" s="38">
        <f t="shared" si="8"/>
        <v>-6115</v>
      </c>
      <c r="I35" s="35" t="s">
        <v>1175</v>
      </c>
      <c r="J35">
        <v>250</v>
      </c>
      <c r="K35" s="39"/>
      <c r="L35" s="39">
        <v>43111</v>
      </c>
      <c r="M35" s="35" t="s">
        <v>342</v>
      </c>
      <c r="O35" s="22">
        <v>30</v>
      </c>
      <c r="P35" s="46"/>
      <c r="Q35" s="47">
        <f>19800</f>
        <v>19800</v>
      </c>
      <c r="R35" s="22">
        <f>65*E35</f>
        <v>14170</v>
      </c>
      <c r="S35" s="43">
        <f>-38*E35</f>
        <v>-8284</v>
      </c>
      <c r="T35" s="137">
        <f>X35*F35*0.0045</f>
        <v>5458.5618890405613</v>
      </c>
      <c r="U35" s="22">
        <f>E35*5</f>
        <v>1090</v>
      </c>
      <c r="W35" s="22">
        <v>0.3</v>
      </c>
      <c r="X35" s="22">
        <f>((O35*F35)+Q35+R35+S35+U35)/G35</f>
        <v>38.199141965678628</v>
      </c>
      <c r="Y35" s="22">
        <f>((O35*F35)+Q35+R35+S35+T35+U35)/G35+W35</f>
        <v>38.712034395048377</v>
      </c>
      <c r="Z35" s="3">
        <f>Y35*G35</f>
        <v>992576.5618890404</v>
      </c>
      <c r="AA35" s="44">
        <v>43124</v>
      </c>
      <c r="AB35" s="3"/>
      <c r="AC35" s="20" t="s">
        <v>1182</v>
      </c>
      <c r="AD35" t="s">
        <v>1228</v>
      </c>
    </row>
    <row r="36" spans="1:30" x14ac:dyDescent="0.25">
      <c r="A36" s="65"/>
      <c r="B36" s="34" t="s">
        <v>340</v>
      </c>
      <c r="C36" t="s">
        <v>341</v>
      </c>
      <c r="D36" s="35" t="s">
        <v>1060</v>
      </c>
      <c r="E36">
        <v>160</v>
      </c>
      <c r="F36" s="36">
        <v>18480</v>
      </c>
      <c r="G36" s="38">
        <v>15150</v>
      </c>
      <c r="H36" s="38">
        <f t="shared" si="8"/>
        <v>-3330</v>
      </c>
      <c r="I36" s="35" t="s">
        <v>1176</v>
      </c>
      <c r="J36">
        <v>128</v>
      </c>
      <c r="K36" s="39"/>
      <c r="L36" s="39">
        <v>43111</v>
      </c>
      <c r="M36" s="35" t="s">
        <v>342</v>
      </c>
      <c r="O36" s="22">
        <v>30</v>
      </c>
      <c r="P36" s="46"/>
      <c r="Q36" s="111">
        <v>15700</v>
      </c>
      <c r="R36" s="22">
        <f>65*E36</f>
        <v>10400</v>
      </c>
      <c r="S36" s="43">
        <f>-38*E36</f>
        <v>-6080</v>
      </c>
      <c r="T36" s="137">
        <f>X36*F36*0.0045</f>
        <v>3157.445227722772</v>
      </c>
      <c r="U36" s="22">
        <f>E36*5</f>
        <v>800</v>
      </c>
      <c r="W36" s="22">
        <v>0.3</v>
      </c>
      <c r="X36" s="22">
        <f>((O36*F36)+Q36+R36+S36+U36)/G36</f>
        <v>37.968316831683168</v>
      </c>
      <c r="Y36" s="22">
        <f>((O36*F36)+Q36+R36+S36+T36+U36)/G36+W36</f>
        <v>38.476729057935493</v>
      </c>
      <c r="Z36" s="3">
        <f>Y36*G36</f>
        <v>582922.44522772275</v>
      </c>
      <c r="AA36" s="44">
        <v>43124</v>
      </c>
      <c r="AB36" s="3"/>
      <c r="AC36" s="3"/>
    </row>
    <row r="37" spans="1:30" x14ac:dyDescent="0.25">
      <c r="A37" s="65"/>
      <c r="B37" s="34" t="s">
        <v>328</v>
      </c>
      <c r="C37" t="s">
        <v>329</v>
      </c>
      <c r="D37" s="35" t="s">
        <v>329</v>
      </c>
      <c r="E37" t="s">
        <v>1021</v>
      </c>
      <c r="F37" s="36">
        <f>42836*0.4536</f>
        <v>19430.409599999999</v>
      </c>
      <c r="G37" s="38">
        <v>19430.830000000002</v>
      </c>
      <c r="H37" s="38">
        <f t="shared" si="8"/>
        <v>0.42040000000270084</v>
      </c>
      <c r="I37" s="35" t="s">
        <v>357</v>
      </c>
      <c r="J37" s="5" t="s">
        <v>1022</v>
      </c>
      <c r="K37" s="39">
        <v>43111</v>
      </c>
      <c r="L37" s="39">
        <v>43113</v>
      </c>
      <c r="M37" s="35" t="s">
        <v>348</v>
      </c>
      <c r="N37" s="35" t="s">
        <v>366</v>
      </c>
      <c r="O37" s="22"/>
      <c r="P37" s="40">
        <f>0.5656+0.095</f>
        <v>0.66059999999999997</v>
      </c>
      <c r="Q37" s="111">
        <v>23000</v>
      </c>
      <c r="R37" s="120">
        <v>9500</v>
      </c>
      <c r="S37" s="45">
        <v>18.638999999999999</v>
      </c>
      <c r="T37" s="137">
        <f>X37*F37*0.005</f>
        <v>2811.3539636809628</v>
      </c>
      <c r="V37" s="22">
        <v>0.12</v>
      </c>
      <c r="W37" s="22">
        <v>0.3</v>
      </c>
      <c r="X37" s="22">
        <f>IF(O37&gt;0,O37,((P37*2.2046*S37)+(Q37+R37)/G37)+V37)</f>
        <v>28.9376706055745</v>
      </c>
      <c r="Y37" s="22">
        <f>IF(O37&gt;0,O37,((P37*2.2046*S37)+(Q37+R37+T37)/G37)+V37+W37)</f>
        <v>29.382355828165657</v>
      </c>
      <c r="Z37" s="3">
        <f>Y37*F37</f>
        <v>570911.20875420596</v>
      </c>
      <c r="AA37" s="44">
        <v>43123</v>
      </c>
      <c r="AB37" s="3">
        <v>33.5</v>
      </c>
      <c r="AC37" s="3"/>
    </row>
    <row r="38" spans="1:30" x14ac:dyDescent="0.25">
      <c r="A38" s="65"/>
      <c r="B38" s="34" t="s">
        <v>328</v>
      </c>
      <c r="C38" s="35" t="s">
        <v>329</v>
      </c>
      <c r="D38" s="35" t="s">
        <v>329</v>
      </c>
      <c r="E38" t="s">
        <v>1168</v>
      </c>
      <c r="F38" s="36">
        <f>39232*0.4536</f>
        <v>17795.635200000001</v>
      </c>
      <c r="G38" s="38">
        <v>17613.310000000001</v>
      </c>
      <c r="H38" s="38">
        <f t="shared" si="8"/>
        <v>-182.32519999999931</v>
      </c>
      <c r="I38" t="s">
        <v>365</v>
      </c>
      <c r="J38" s="5" t="s">
        <v>1022</v>
      </c>
      <c r="K38" s="39">
        <v>43111</v>
      </c>
      <c r="L38" s="39">
        <v>43112</v>
      </c>
      <c r="M38" s="35" t="s">
        <v>345</v>
      </c>
      <c r="N38" s="35" t="s">
        <v>366</v>
      </c>
      <c r="O38" s="22"/>
      <c r="P38" s="40">
        <f>0.5656+0.095</f>
        <v>0.66059999999999997</v>
      </c>
      <c r="Q38" s="111">
        <v>23000</v>
      </c>
      <c r="R38" s="120">
        <v>9500</v>
      </c>
      <c r="S38" s="45">
        <v>18.856999999999999</v>
      </c>
      <c r="T38" s="137">
        <f>X38*F38*0.005</f>
        <v>2618.4277516691741</v>
      </c>
      <c r="V38" s="22">
        <v>0.12</v>
      </c>
      <c r="W38" s="22">
        <v>0.3</v>
      </c>
      <c r="X38" s="22">
        <f>IF(O38&gt;0,O38,((P38*2.2046*S38)+(Q38+R38)/G38)+V38)</f>
        <v>29.427752617329155</v>
      </c>
      <c r="Y38" s="22">
        <f>IF(O38&gt;0,O38,((P38*2.2046*S38)+(Q38+R38+T38)/G38)+V38+W38)</f>
        <v>29.876414495855631</v>
      </c>
      <c r="Z38" s="3">
        <f>Y38*F38</f>
        <v>531669.77345223876</v>
      </c>
      <c r="AA38" s="44">
        <v>43119</v>
      </c>
      <c r="AB38" s="3">
        <v>33.5</v>
      </c>
      <c r="AC38" s="3"/>
    </row>
    <row r="39" spans="1:30" x14ac:dyDescent="0.25">
      <c r="A39" s="65"/>
      <c r="B39" s="34" t="s">
        <v>340</v>
      </c>
      <c r="C39" t="s">
        <v>341</v>
      </c>
      <c r="D39" s="35" t="s">
        <v>1048</v>
      </c>
      <c r="E39">
        <v>249</v>
      </c>
      <c r="F39" s="36">
        <v>25530</v>
      </c>
      <c r="G39" s="38">
        <v>20200</v>
      </c>
      <c r="H39" s="38">
        <f t="shared" si="8"/>
        <v>-5330</v>
      </c>
      <c r="I39" s="35" t="s">
        <v>1191</v>
      </c>
      <c r="J39">
        <v>250</v>
      </c>
      <c r="K39" s="39"/>
      <c r="L39" s="39">
        <v>43112</v>
      </c>
      <c r="M39" s="35" t="s">
        <v>345</v>
      </c>
      <c r="O39" s="22">
        <v>30</v>
      </c>
      <c r="P39" s="46"/>
      <c r="Q39" s="111">
        <v>19800</v>
      </c>
      <c r="R39" s="22">
        <f>65*E39</f>
        <v>16185</v>
      </c>
      <c r="S39" s="43">
        <f>-38*E39</f>
        <v>-9462</v>
      </c>
      <c r="T39" s="137">
        <f>X39*F39*0.0045</f>
        <v>4513.8885237623754</v>
      </c>
      <c r="U39" s="22">
        <f>E39*5</f>
        <v>1245</v>
      </c>
      <c r="W39" s="22">
        <v>0.3</v>
      </c>
      <c r="X39" s="22">
        <f>((O39*F39)+Q39+R39+S39+U39)/G39</f>
        <v>39.290495049504948</v>
      </c>
      <c r="Y39" s="22">
        <f>((O39*F39)+Q39+R39+S39+T39+U39)/G39+W39</f>
        <v>39.813954877413977</v>
      </c>
      <c r="Z39" s="3">
        <f>Y39*G39</f>
        <v>804241.88852376235</v>
      </c>
      <c r="AA39" s="44">
        <v>43125</v>
      </c>
      <c r="AB39" s="3">
        <v>42</v>
      </c>
      <c r="AC39" s="3"/>
    </row>
    <row r="40" spans="1:30" x14ac:dyDescent="0.25">
      <c r="A40" s="65"/>
      <c r="B40" s="34" t="s">
        <v>340</v>
      </c>
      <c r="C40" t="s">
        <v>341</v>
      </c>
      <c r="D40" s="35" t="s">
        <v>1048</v>
      </c>
      <c r="E40">
        <v>130</v>
      </c>
      <c r="F40" s="36">
        <v>13445</v>
      </c>
      <c r="G40" s="38">
        <v>10560</v>
      </c>
      <c r="H40" s="38">
        <f t="shared" si="8"/>
        <v>-2885</v>
      </c>
      <c r="I40" s="35" t="s">
        <v>1192</v>
      </c>
      <c r="J40">
        <v>129</v>
      </c>
      <c r="K40" s="39"/>
      <c r="L40" s="39">
        <v>43112</v>
      </c>
      <c r="M40" s="35" t="s">
        <v>345</v>
      </c>
      <c r="O40" s="22">
        <v>30</v>
      </c>
      <c r="P40" s="46"/>
      <c r="Q40" s="111">
        <v>15700</v>
      </c>
      <c r="R40" s="22">
        <f>65*E40</f>
        <v>8450</v>
      </c>
      <c r="S40" s="43">
        <f>-38*E40</f>
        <v>-4940</v>
      </c>
      <c r="T40" s="137">
        <f>X40*F40*0.0045</f>
        <v>2424.7408167613635</v>
      </c>
      <c r="U40" s="22">
        <f>E40*5</f>
        <v>650</v>
      </c>
      <c r="W40" s="22">
        <v>0.3</v>
      </c>
      <c r="X40" s="22">
        <f>((O40*F40)+Q40+R40+S40+U40)/G40</f>
        <v>40.076704545454547</v>
      </c>
      <c r="Y40" s="22">
        <f>((O40*F40)+Q40+R40+S40+T40+U40)/G40+W40</f>
        <v>40.606320153102402</v>
      </c>
      <c r="Z40" s="3">
        <f>Y40*G40</f>
        <v>428802.74081676139</v>
      </c>
      <c r="AA40" s="44">
        <v>43125</v>
      </c>
      <c r="AB40" s="3">
        <v>40.090000000000003</v>
      </c>
      <c r="AC40" s="3" t="s">
        <v>1197</v>
      </c>
    </row>
    <row r="41" spans="1:30" x14ac:dyDescent="0.25">
      <c r="A41" s="65"/>
      <c r="B41" s="34" t="s">
        <v>328</v>
      </c>
      <c r="C41" s="35" t="s">
        <v>343</v>
      </c>
      <c r="D41" s="35" t="s">
        <v>343</v>
      </c>
      <c r="E41" t="s">
        <v>1040</v>
      </c>
      <c r="F41" s="36">
        <f>41876*0.4536</f>
        <v>18994.953600000001</v>
      </c>
      <c r="G41" s="38">
        <v>18922.810000000001</v>
      </c>
      <c r="H41" s="38">
        <f t="shared" si="8"/>
        <v>-72.143599999999424</v>
      </c>
      <c r="I41" t="s">
        <v>367</v>
      </c>
      <c r="J41" s="5" t="s">
        <v>1022</v>
      </c>
      <c r="K41" s="39">
        <v>43112</v>
      </c>
      <c r="L41" s="39">
        <v>43113</v>
      </c>
      <c r="M41" s="35" t="s">
        <v>348</v>
      </c>
      <c r="N41" s="35" t="s">
        <v>368</v>
      </c>
      <c r="O41" s="22"/>
      <c r="P41" s="40">
        <f>0.5935+0.105</f>
        <v>0.69850000000000001</v>
      </c>
      <c r="Q41" s="111">
        <v>23000</v>
      </c>
      <c r="R41" s="22">
        <v>9400</v>
      </c>
      <c r="S41" s="45">
        <v>19.283999999999999</v>
      </c>
      <c r="T41" s="137">
        <f>X41*F41*0.005</f>
        <v>2994.3553199058256</v>
      </c>
      <c r="V41" s="22">
        <v>0.12</v>
      </c>
      <c r="W41" s="22">
        <v>0.3</v>
      </c>
      <c r="X41" s="22">
        <f>IF(O41&gt;0,O41,((P41*2.2046*S41)+(Q41+R41)/G41)+V41)</f>
        <v>31.527903494387321</v>
      </c>
      <c r="Y41" s="22">
        <f>IF(O41&gt;0,O41,((P41*2.2046*S41)+(Q41+R41+T41)/G41)+V41+W41)</f>
        <v>31.986144015742546</v>
      </c>
      <c r="Z41" s="3">
        <f>Y41*F41</f>
        <v>607575.32142194733</v>
      </c>
      <c r="AA41" s="44">
        <v>43108</v>
      </c>
      <c r="AB41" s="3"/>
      <c r="AC41" s="3"/>
    </row>
    <row r="42" spans="1:30" ht="15.75" thickBot="1" x14ac:dyDescent="0.3">
      <c r="A42" s="66"/>
      <c r="B42" s="49"/>
      <c r="C42" s="23"/>
      <c r="D42" s="23"/>
      <c r="E42" s="23"/>
      <c r="F42" s="50"/>
      <c r="G42" s="50"/>
      <c r="H42" s="50"/>
      <c r="I42" s="26"/>
      <c r="J42" s="23"/>
      <c r="K42" s="27"/>
      <c r="L42" s="27"/>
      <c r="M42" s="23"/>
      <c r="N42" s="23"/>
      <c r="O42" s="28"/>
      <c r="P42" s="29"/>
      <c r="Q42" s="28"/>
      <c r="R42" s="28"/>
      <c r="S42" s="28"/>
      <c r="T42" s="28"/>
      <c r="U42" s="28"/>
      <c r="V42" s="28"/>
      <c r="W42" s="28"/>
      <c r="X42" s="28"/>
      <c r="Y42" s="28"/>
      <c r="Z42" s="32"/>
      <c r="AA42" s="51"/>
      <c r="AB42" s="3"/>
      <c r="AC42" s="3"/>
    </row>
    <row r="43" spans="1:30" x14ac:dyDescent="0.25">
      <c r="A43" s="67"/>
      <c r="B43" s="53" t="s">
        <v>340</v>
      </c>
      <c r="C43" s="53" t="s">
        <v>341</v>
      </c>
      <c r="D43" s="54" t="s">
        <v>1174</v>
      </c>
      <c r="E43" s="53">
        <f>220</f>
        <v>220</v>
      </c>
      <c r="F43" s="55">
        <f>27670</f>
        <v>27670</v>
      </c>
      <c r="G43" s="56">
        <f>24300</f>
        <v>24300</v>
      </c>
      <c r="H43" s="38">
        <f t="shared" ref="H43:H60" si="9">G43-F43</f>
        <v>-3370</v>
      </c>
      <c r="I43" s="57" t="s">
        <v>1194</v>
      </c>
      <c r="J43" s="53"/>
      <c r="K43" s="58"/>
      <c r="L43" s="58">
        <v>43114</v>
      </c>
      <c r="M43" s="54" t="s">
        <v>349</v>
      </c>
      <c r="N43" s="53"/>
      <c r="O43" s="59">
        <v>30</v>
      </c>
      <c r="P43" s="60"/>
      <c r="Q43" s="118">
        <f>19800</f>
        <v>19800</v>
      </c>
      <c r="R43" s="59">
        <f>65*E43</f>
        <v>14300</v>
      </c>
      <c r="S43" s="59">
        <f>-38*E43</f>
        <v>-8360</v>
      </c>
      <c r="T43" s="138">
        <f>X43*F43*0.0045</f>
        <v>4391.0240370370375</v>
      </c>
      <c r="U43" s="59">
        <f>E43*5</f>
        <v>1100</v>
      </c>
      <c r="V43" s="53"/>
      <c r="W43" s="59">
        <v>0.3</v>
      </c>
      <c r="X43" s="59">
        <f>((O43*F43)+Q43+R43+S43+U43)/G43</f>
        <v>35.26502057613169</v>
      </c>
      <c r="Y43" s="63">
        <f>((O43*F43)+Q43+R43+S43+T43+U43)/G43+W43</f>
        <v>35.745721153787528</v>
      </c>
      <c r="Z43" s="63">
        <f>Y43*G43</f>
        <v>868621.02403703693</v>
      </c>
      <c r="AA43" s="64">
        <v>43129</v>
      </c>
      <c r="AB43" s="3">
        <v>42</v>
      </c>
      <c r="AC43" s="3"/>
    </row>
    <row r="44" spans="1:30" x14ac:dyDescent="0.25">
      <c r="A44" s="68"/>
      <c r="B44" s="34" t="s">
        <v>340</v>
      </c>
      <c r="C44" t="s">
        <v>341</v>
      </c>
      <c r="D44" s="35" t="s">
        <v>1102</v>
      </c>
      <c r="E44">
        <v>160</v>
      </c>
      <c r="F44" s="36">
        <v>17050</v>
      </c>
      <c r="G44" s="38">
        <v>11570</v>
      </c>
      <c r="H44" s="38">
        <f t="shared" si="9"/>
        <v>-5480</v>
      </c>
      <c r="I44" s="35" t="s">
        <v>1193</v>
      </c>
      <c r="K44" s="39"/>
      <c r="L44" s="39">
        <v>43114</v>
      </c>
      <c r="M44" s="35" t="s">
        <v>349</v>
      </c>
      <c r="O44" s="22">
        <v>30</v>
      </c>
      <c r="P44" s="46"/>
      <c r="Q44" s="111">
        <v>15700</v>
      </c>
      <c r="R44" s="22">
        <f>65*E44</f>
        <v>10400</v>
      </c>
      <c r="S44" s="43">
        <f>-38*E44</f>
        <v>-6080</v>
      </c>
      <c r="T44" s="137">
        <f>X44*F44*0.0045</f>
        <v>3530.0131374243729</v>
      </c>
      <c r="U44" s="22">
        <f>E44*5</f>
        <v>800</v>
      </c>
      <c r="W44" s="22">
        <v>0.3</v>
      </c>
      <c r="X44" s="22">
        <f>((O44*F44)+Q44+R44+S44+U44)/G44</f>
        <v>46.008643042350904</v>
      </c>
      <c r="Y44" s="22">
        <f>((O44*F44)+Q44+R44+S44+T44+U44)/G44+W44</f>
        <v>46.613743572811089</v>
      </c>
      <c r="Z44" s="3">
        <f>Y44*G44</f>
        <v>539321.01313742425</v>
      </c>
      <c r="AA44" s="44">
        <v>43129</v>
      </c>
      <c r="AB44" s="3">
        <v>39.25</v>
      </c>
      <c r="AC44" s="3" t="s">
        <v>1198</v>
      </c>
    </row>
    <row r="45" spans="1:30" x14ac:dyDescent="0.25">
      <c r="A45" s="68"/>
      <c r="B45" s="34" t="s">
        <v>340</v>
      </c>
      <c r="C45" t="s">
        <v>341</v>
      </c>
      <c r="D45" s="35" t="s">
        <v>1102</v>
      </c>
      <c r="E45">
        <v>250</v>
      </c>
      <c r="F45" s="36">
        <v>26190</v>
      </c>
      <c r="G45" s="38">
        <f>12470+8290</f>
        <v>20760</v>
      </c>
      <c r="H45" s="38">
        <f t="shared" si="9"/>
        <v>-5430</v>
      </c>
      <c r="I45" s="35" t="s">
        <v>1196</v>
      </c>
      <c r="K45" s="39"/>
      <c r="L45" s="39">
        <v>43115</v>
      </c>
      <c r="M45" s="35" t="s">
        <v>350</v>
      </c>
      <c r="O45" s="22">
        <v>30</v>
      </c>
      <c r="P45" s="40"/>
      <c r="Q45" s="111">
        <f>19800</f>
        <v>19800</v>
      </c>
      <c r="R45" s="22">
        <f>65*E45</f>
        <v>16250</v>
      </c>
      <c r="S45" s="43">
        <f>-38*E45</f>
        <v>-9500</v>
      </c>
      <c r="T45" s="137">
        <f>X45*F45*0.0045</f>
        <v>4618.2583092485547</v>
      </c>
      <c r="U45" s="22">
        <f>E45*5</f>
        <v>1250</v>
      </c>
      <c r="W45" s="22">
        <v>0.3</v>
      </c>
      <c r="X45" s="22">
        <f>((O45*F45)+Q45+R45+S45+U45)/G45</f>
        <v>39.185934489402698</v>
      </c>
      <c r="Y45" s="22">
        <f>((O45*F45)+Q45+R45+S45+T45+U45)/G45+W45</f>
        <v>39.708393945532201</v>
      </c>
      <c r="Z45" s="3">
        <f>Y45*G45</f>
        <v>824346.25830924849</v>
      </c>
      <c r="AA45" s="44">
        <v>43129</v>
      </c>
      <c r="AB45" s="3"/>
      <c r="AC45" s="3" t="s">
        <v>1222</v>
      </c>
    </row>
    <row r="46" spans="1:30" x14ac:dyDescent="0.25">
      <c r="A46" s="68"/>
      <c r="B46" s="34" t="s">
        <v>1105</v>
      </c>
      <c r="C46" s="35" t="s">
        <v>343</v>
      </c>
      <c r="D46" s="35" t="s">
        <v>1106</v>
      </c>
      <c r="E46" t="s">
        <v>1107</v>
      </c>
      <c r="F46" s="36">
        <f>900.8+3698.6</f>
        <v>4599.3999999999996</v>
      </c>
      <c r="G46" s="38">
        <v>4599.3999999999996</v>
      </c>
      <c r="H46" s="38">
        <f t="shared" si="9"/>
        <v>0</v>
      </c>
      <c r="I46" s="35" t="s">
        <v>1241</v>
      </c>
      <c r="K46" s="39"/>
      <c r="L46" s="39">
        <v>43115</v>
      </c>
      <c r="M46" s="35" t="s">
        <v>350</v>
      </c>
      <c r="O46" s="22">
        <v>20</v>
      </c>
      <c r="P46" s="40"/>
      <c r="Q46" s="22"/>
      <c r="R46" s="22"/>
      <c r="S46" s="43"/>
      <c r="T46" s="43"/>
      <c r="U46" s="22"/>
      <c r="W46" s="22"/>
      <c r="X46" s="22">
        <f>IF(O46&gt;0,O46,((P46*2.2046*S46)+(Q46+R46)/G46)+V46)</f>
        <v>20</v>
      </c>
      <c r="Y46" s="22">
        <f>IF(O46&gt;0,O46,((P46*2.2046*S46)+(Q46+R46+T46)/G46)+V46+W46)</f>
        <v>20</v>
      </c>
      <c r="Z46" s="3">
        <f>Y46*F46</f>
        <v>91988</v>
      </c>
      <c r="AA46" s="44">
        <v>43122</v>
      </c>
      <c r="AB46" s="3"/>
      <c r="AC46" s="3"/>
    </row>
    <row r="47" spans="1:30" x14ac:dyDescent="0.25">
      <c r="A47" s="68"/>
      <c r="B47" s="34" t="s">
        <v>328</v>
      </c>
      <c r="C47" t="s">
        <v>329</v>
      </c>
      <c r="D47" s="35" t="s">
        <v>329</v>
      </c>
      <c r="E47" t="s">
        <v>1021</v>
      </c>
      <c r="F47" s="36">
        <f>41567*0.4536</f>
        <v>18854.7912</v>
      </c>
      <c r="G47" s="38">
        <v>18781.310000000001</v>
      </c>
      <c r="H47" s="38">
        <f t="shared" si="9"/>
        <v>-73.481199999998353</v>
      </c>
      <c r="I47" s="35" t="s">
        <v>1124</v>
      </c>
      <c r="J47" s="5" t="s">
        <v>1022</v>
      </c>
      <c r="K47" s="39">
        <v>43115</v>
      </c>
      <c r="L47" s="39">
        <v>43116</v>
      </c>
      <c r="M47" s="35" t="s">
        <v>355</v>
      </c>
      <c r="N47" s="35" t="s">
        <v>1096</v>
      </c>
      <c r="O47" s="22"/>
      <c r="P47" s="40">
        <f>0.6195+0.095</f>
        <v>0.71450000000000002</v>
      </c>
      <c r="Q47" s="111">
        <v>23000</v>
      </c>
      <c r="R47" s="120">
        <v>9500</v>
      </c>
      <c r="S47" s="45">
        <v>18.75</v>
      </c>
      <c r="T47" s="137">
        <f>X47*F47*0.005</f>
        <v>2958.806431018731</v>
      </c>
      <c r="V47" s="22">
        <v>0.12</v>
      </c>
      <c r="W47" s="22">
        <v>0.3</v>
      </c>
      <c r="X47" s="22">
        <f>IF(O47&gt;0,O47,((P47*2.2046*S47)+(Q47+R47)/G47)+V47)</f>
        <v>31.38519434804169</v>
      </c>
      <c r="Y47" s="22">
        <f>IF(O47&gt;0,O47,((P47*2.2046*S47)+(Q47+R47+T47)/G47)+V47+W47)</f>
        <v>31.842734287003282</v>
      </c>
      <c r="Z47" s="3">
        <f>Y47*F47</f>
        <v>600388.10621852777</v>
      </c>
      <c r="AA47" s="44">
        <v>43126</v>
      </c>
      <c r="AB47" s="3"/>
      <c r="AC47" s="3"/>
    </row>
    <row r="48" spans="1:30" x14ac:dyDescent="0.25">
      <c r="A48" s="68"/>
      <c r="B48" s="34" t="s">
        <v>328</v>
      </c>
      <c r="C48" t="s">
        <v>336</v>
      </c>
      <c r="D48" s="35" t="s">
        <v>336</v>
      </c>
      <c r="E48" t="s">
        <v>1021</v>
      </c>
      <c r="F48" s="36">
        <f>41220*0.4536</f>
        <v>18697.392</v>
      </c>
      <c r="G48" s="38">
        <v>18578.53</v>
      </c>
      <c r="H48" s="38">
        <f t="shared" si="9"/>
        <v>-118.86200000000099</v>
      </c>
      <c r="I48" s="35" t="s">
        <v>1078</v>
      </c>
      <c r="J48" s="5" t="s">
        <v>1022</v>
      </c>
      <c r="K48" s="39">
        <v>43115</v>
      </c>
      <c r="L48" s="39">
        <v>43116</v>
      </c>
      <c r="M48" s="35" t="s">
        <v>355</v>
      </c>
      <c r="N48" s="35" t="s">
        <v>1097</v>
      </c>
      <c r="O48" s="22"/>
      <c r="P48" s="40">
        <f>0.613+0.095</f>
        <v>0.70799999999999996</v>
      </c>
      <c r="Q48" s="111">
        <v>23000</v>
      </c>
      <c r="R48" s="22">
        <v>9400</v>
      </c>
      <c r="S48" s="45">
        <v>19.274999999999999</v>
      </c>
      <c r="T48" s="137">
        <f>X48*F48*0.005</f>
        <v>2986.8582018049547</v>
      </c>
      <c r="V48" s="22">
        <v>0.12</v>
      </c>
      <c r="W48" s="22">
        <v>0.3</v>
      </c>
      <c r="X48" s="22">
        <f>IF(O48&gt;0,O48,((P48*2.2046*S48)+(Q48+R48)/G48)+V48)</f>
        <v>31.9494633455292</v>
      </c>
      <c r="Y48" s="22">
        <f>IF(O48&gt;0,O48,((P48*2.2046*S48)+(Q48+R48+T48)/G48)+V48+W48)</f>
        <v>32.410232696053967</v>
      </c>
      <c r="Z48" s="3">
        <f>Y48*F48</f>
        <v>605986.82552933786</v>
      </c>
      <c r="AA48" s="44">
        <v>43109</v>
      </c>
      <c r="AB48" s="3"/>
      <c r="AC48" s="3"/>
    </row>
    <row r="49" spans="1:29" x14ac:dyDescent="0.25">
      <c r="A49" s="68"/>
      <c r="B49" s="34" t="s">
        <v>340</v>
      </c>
      <c r="C49" t="s">
        <v>341</v>
      </c>
      <c r="D49" s="35" t="s">
        <v>1060</v>
      </c>
      <c r="E49">
        <v>219</v>
      </c>
      <c r="F49" s="36">
        <v>24200</v>
      </c>
      <c r="G49" s="38">
        <f>13210+6310</f>
        <v>19520</v>
      </c>
      <c r="H49" s="38">
        <f t="shared" si="9"/>
        <v>-4680</v>
      </c>
      <c r="I49" s="35" t="s">
        <v>1232</v>
      </c>
      <c r="K49" s="39"/>
      <c r="L49" s="39">
        <v>43116</v>
      </c>
      <c r="M49" s="35" t="s">
        <v>355</v>
      </c>
      <c r="O49" s="22">
        <v>30</v>
      </c>
      <c r="P49" s="40"/>
      <c r="Q49" s="47">
        <v>19800</v>
      </c>
      <c r="R49" s="22">
        <f>65*E49</f>
        <v>14235</v>
      </c>
      <c r="S49" s="43">
        <f>-38*E49</f>
        <v>-8322</v>
      </c>
      <c r="T49" s="137">
        <f>X49*F49*0.005</f>
        <v>4666.4840163934423</v>
      </c>
      <c r="U49" s="22">
        <f>E49*5</f>
        <v>1095</v>
      </c>
      <c r="W49" s="22">
        <v>0.3</v>
      </c>
      <c r="X49" s="22">
        <f>((O49*F49)+Q49+R49+S49+U49)/G49</f>
        <v>38.565983606557374</v>
      </c>
      <c r="Y49" s="22">
        <f>((O49*F49)+Q49+R49+S49+T49+U49)/G49+W49</f>
        <v>39.105045287725069</v>
      </c>
      <c r="Z49" s="3">
        <f>Y49*G49</f>
        <v>763330.48401639331</v>
      </c>
      <c r="AA49" s="44">
        <v>43129</v>
      </c>
      <c r="AB49" s="3">
        <v>42</v>
      </c>
      <c r="AC49" s="3" t="s">
        <v>1249</v>
      </c>
    </row>
    <row r="50" spans="1:29" x14ac:dyDescent="0.25">
      <c r="A50" s="68"/>
      <c r="B50" s="102" t="s">
        <v>328</v>
      </c>
      <c r="C50" s="103" t="s">
        <v>336</v>
      </c>
      <c r="D50" s="103" t="s">
        <v>336</v>
      </c>
      <c r="E50" s="74" t="s">
        <v>384</v>
      </c>
      <c r="F50" s="104">
        <v>18500</v>
      </c>
      <c r="G50" s="105">
        <v>18500</v>
      </c>
      <c r="H50" s="105">
        <f t="shared" si="9"/>
        <v>0</v>
      </c>
      <c r="I50" s="103" t="s">
        <v>1079</v>
      </c>
      <c r="J50" s="74" t="s">
        <v>384</v>
      </c>
      <c r="K50" s="107">
        <v>43116</v>
      </c>
      <c r="L50" s="107">
        <v>43117</v>
      </c>
      <c r="M50" s="103" t="s">
        <v>331</v>
      </c>
      <c r="N50" s="103" t="s">
        <v>1096</v>
      </c>
      <c r="O50" s="100"/>
      <c r="P50" s="108">
        <f>0.6195+0.095</f>
        <v>0.71450000000000002</v>
      </c>
      <c r="Q50" s="116">
        <v>23000</v>
      </c>
      <c r="R50" s="100">
        <v>9500</v>
      </c>
      <c r="S50" s="109">
        <v>19.259</v>
      </c>
      <c r="T50" s="110">
        <f>X50*F50*0.005</f>
        <v>2979.7281606152496</v>
      </c>
      <c r="U50" s="106"/>
      <c r="V50" s="100">
        <v>0.12</v>
      </c>
      <c r="W50" s="100">
        <v>0.3</v>
      </c>
      <c r="X50" s="100">
        <f>IF(O50&gt;0,O50,((P50*2.2046*S50)+(Q50+R50)/G50)+V50)</f>
        <v>32.213277412056755</v>
      </c>
      <c r="Y50" s="100">
        <f>IF(O50&gt;0,O50,((P50*2.2046*S50)+(Q50+R50+T50)/G50)+V50+W50)</f>
        <v>32.67434379911704</v>
      </c>
      <c r="Z50" s="84">
        <f>Y50*F50</f>
        <v>604475.36028366524</v>
      </c>
      <c r="AA50" s="74" t="s">
        <v>384</v>
      </c>
      <c r="AB50" s="3"/>
      <c r="AC50" s="3"/>
    </row>
    <row r="51" spans="1:29" x14ac:dyDescent="0.25">
      <c r="A51" s="68"/>
      <c r="B51" s="34" t="s">
        <v>340</v>
      </c>
      <c r="C51" t="s">
        <v>341</v>
      </c>
      <c r="D51" s="35" t="s">
        <v>1244</v>
      </c>
      <c r="E51">
        <v>220</v>
      </c>
      <c r="F51" s="36">
        <v>26635</v>
      </c>
      <c r="G51" s="38">
        <f>14780+6850</f>
        <v>21630</v>
      </c>
      <c r="H51" s="38">
        <f t="shared" si="9"/>
        <v>-5005</v>
      </c>
      <c r="I51" s="35" t="s">
        <v>1245</v>
      </c>
      <c r="J51" s="10">
        <v>219</v>
      </c>
      <c r="K51" s="39"/>
      <c r="L51" s="39">
        <v>43117</v>
      </c>
      <c r="M51" s="35" t="s">
        <v>331</v>
      </c>
      <c r="O51" s="22">
        <v>30</v>
      </c>
      <c r="P51" s="40"/>
      <c r="Q51" s="47">
        <v>19800</v>
      </c>
      <c r="R51" s="22">
        <f>65*E51</f>
        <v>14300</v>
      </c>
      <c r="S51" s="43">
        <f>-38*E51</f>
        <v>-8360</v>
      </c>
      <c r="T51" s="137">
        <f>X51*F51*0.0045</f>
        <v>4576.4729854368925</v>
      </c>
      <c r="U51" s="22">
        <f>E51*5</f>
        <v>1100</v>
      </c>
      <c r="W51" s="22">
        <v>0.3</v>
      </c>
      <c r="X51" s="22">
        <f>((O51*F51)+Q51+R51+S51+U51)/G51</f>
        <v>38.182616736014793</v>
      </c>
      <c r="Y51" s="22">
        <f>((O51*F51)+Q51+R51+S51+T51+U51)/G51+W51</f>
        <v>38.694196624384503</v>
      </c>
      <c r="Z51" s="3">
        <f>Y51*G51</f>
        <v>836955.47298543679</v>
      </c>
      <c r="AA51" s="44">
        <v>43130</v>
      </c>
      <c r="AB51" s="3">
        <v>42</v>
      </c>
      <c r="AC51" s="3" t="s">
        <v>1248</v>
      </c>
    </row>
    <row r="52" spans="1:29" x14ac:dyDescent="0.25">
      <c r="A52" s="68"/>
      <c r="B52" s="34" t="s">
        <v>328</v>
      </c>
      <c r="C52" s="35" t="s">
        <v>343</v>
      </c>
      <c r="D52" s="35" t="s">
        <v>343</v>
      </c>
      <c r="E52" t="s">
        <v>1040</v>
      </c>
      <c r="F52" s="36">
        <f>42873*0.4536</f>
        <v>19447.192800000001</v>
      </c>
      <c r="G52" s="38">
        <v>19365.73</v>
      </c>
      <c r="H52" s="38">
        <f t="shared" si="9"/>
        <v>-81.462800000001153</v>
      </c>
      <c r="I52" t="s">
        <v>1125</v>
      </c>
      <c r="J52" s="5" t="s">
        <v>1089</v>
      </c>
      <c r="K52" s="39">
        <v>43483</v>
      </c>
      <c r="L52" s="39">
        <v>43119</v>
      </c>
      <c r="M52" s="35" t="s">
        <v>345</v>
      </c>
      <c r="N52" s="35" t="s">
        <v>1098</v>
      </c>
      <c r="O52" s="22"/>
      <c r="P52" s="40">
        <f>0.6653+0.105</f>
        <v>0.77029999999999998</v>
      </c>
      <c r="Q52" s="111">
        <v>23000</v>
      </c>
      <c r="R52" s="22">
        <v>9400</v>
      </c>
      <c r="S52" s="45">
        <v>19.297999999999998</v>
      </c>
      <c r="T52" s="137">
        <f>X52*F52*0.005</f>
        <v>3360.9598675030766</v>
      </c>
      <c r="V52" s="22">
        <v>0.12</v>
      </c>
      <c r="W52" s="22">
        <v>0.3</v>
      </c>
      <c r="X52" s="22">
        <f>IF(O52&gt;0,O52,((P52*2.2046*S52)+(Q52+R48)/G52)+V52)</f>
        <v>34.564987369314061</v>
      </c>
      <c r="Y52" s="22">
        <f>IF(O52&gt;0,O52,((P52*2.2046*S52)+(Q52+R50+T52)/G52)+V52+W52)</f>
        <v>35.043703062835711</v>
      </c>
      <c r="Z52" s="3">
        <f>Y52*F52</f>
        <v>681501.64988891664</v>
      </c>
      <c r="AA52" s="44">
        <v>43111</v>
      </c>
      <c r="AB52" s="3"/>
      <c r="AC52" s="3"/>
    </row>
    <row r="53" spans="1:29" x14ac:dyDescent="0.25">
      <c r="A53" s="68"/>
      <c r="B53" s="34" t="s">
        <v>340</v>
      </c>
      <c r="C53" t="s">
        <v>341</v>
      </c>
      <c r="D53" s="35" t="s">
        <v>1060</v>
      </c>
      <c r="E53">
        <v>249</v>
      </c>
      <c r="F53" s="36">
        <v>30470</v>
      </c>
      <c r="G53" s="38">
        <v>22920</v>
      </c>
      <c r="H53" s="38">
        <f t="shared" si="9"/>
        <v>-7550</v>
      </c>
      <c r="I53" s="35" t="s">
        <v>1253</v>
      </c>
      <c r="J53">
        <v>250</v>
      </c>
      <c r="K53" s="39"/>
      <c r="L53" s="39">
        <v>43118</v>
      </c>
      <c r="M53" s="35" t="s">
        <v>342</v>
      </c>
      <c r="O53" s="22">
        <v>30</v>
      </c>
      <c r="P53" s="40"/>
      <c r="Q53" s="47">
        <v>19800</v>
      </c>
      <c r="R53" s="22">
        <f>65*E53</f>
        <v>16185</v>
      </c>
      <c r="S53" s="43">
        <f>-38*E53</f>
        <v>-9462</v>
      </c>
      <c r="T53" s="137">
        <f>X53*F53*0.0045</f>
        <v>5634.5650445026176</v>
      </c>
      <c r="U53" s="22">
        <f>E53*5</f>
        <v>1245</v>
      </c>
      <c r="W53" s="22">
        <v>0.3</v>
      </c>
      <c r="X53" s="22">
        <f>((O53*F53)+Q53+R53+S53+U53)/G53</f>
        <v>41.09371727748691</v>
      </c>
      <c r="Y53" s="22">
        <f>((O53*F53)+Q53+R53+S53+T53+U53)/G53+W53</f>
        <v>41.639553448713023</v>
      </c>
      <c r="Z53" s="3">
        <f>Y53*G53</f>
        <v>954378.56504450249</v>
      </c>
      <c r="AA53" s="44">
        <v>43131</v>
      </c>
      <c r="AB53" s="3">
        <v>39.1</v>
      </c>
      <c r="AC53" s="3" t="s">
        <v>1257</v>
      </c>
    </row>
    <row r="54" spans="1:29" x14ac:dyDescent="0.25">
      <c r="A54" s="68"/>
      <c r="B54" s="34" t="s">
        <v>340</v>
      </c>
      <c r="C54" t="s">
        <v>341</v>
      </c>
      <c r="D54" s="35" t="s">
        <v>1048</v>
      </c>
      <c r="E54">
        <v>130</v>
      </c>
      <c r="F54" s="36">
        <v>14035</v>
      </c>
      <c r="G54" s="38">
        <v>12940</v>
      </c>
      <c r="H54" s="38">
        <f t="shared" si="9"/>
        <v>-1095</v>
      </c>
      <c r="I54" s="35" t="s">
        <v>1254</v>
      </c>
      <c r="J54">
        <v>129</v>
      </c>
      <c r="K54" s="39"/>
      <c r="L54" s="39">
        <v>43118</v>
      </c>
      <c r="M54" s="35" t="s">
        <v>342</v>
      </c>
      <c r="O54" s="22">
        <v>30</v>
      </c>
      <c r="P54" s="40"/>
      <c r="Q54" s="117">
        <v>15700</v>
      </c>
      <c r="R54" s="22">
        <f>65*E54</f>
        <v>8450</v>
      </c>
      <c r="S54" s="43">
        <f>-38*E54</f>
        <v>-4940</v>
      </c>
      <c r="T54" s="137">
        <f>X54*F54*0.0045</f>
        <v>2151.9917561823804</v>
      </c>
      <c r="U54" s="22">
        <f>E54*5</f>
        <v>650</v>
      </c>
      <c r="W54" s="22">
        <v>0.3</v>
      </c>
      <c r="X54" s="22">
        <f>((O54*F54)+Q54+R54+S54+U54)/G54</f>
        <v>34.073415765069555</v>
      </c>
      <c r="Y54" s="22">
        <f>((O54*F54)+Q54+R54+S54+T54+U54)/G54+W54</f>
        <v>34.539721155810071</v>
      </c>
      <c r="Z54" s="3">
        <f>Y54*G54</f>
        <v>446943.99175618234</v>
      </c>
      <c r="AA54" s="44">
        <v>43131</v>
      </c>
      <c r="AB54" s="18" t="s">
        <v>1252</v>
      </c>
      <c r="AC54" s="3"/>
    </row>
    <row r="55" spans="1:29" x14ac:dyDescent="0.25">
      <c r="A55" s="68"/>
      <c r="B55" s="34" t="s">
        <v>340</v>
      </c>
      <c r="C55" t="s">
        <v>341</v>
      </c>
      <c r="D55" s="35" t="s">
        <v>1060</v>
      </c>
      <c r="E55">
        <v>250</v>
      </c>
      <c r="F55" s="36">
        <v>28845</v>
      </c>
      <c r="G55" s="38">
        <v>21930</v>
      </c>
      <c r="H55" s="38">
        <f t="shared" si="9"/>
        <v>-6915</v>
      </c>
      <c r="I55" t="s">
        <v>1258</v>
      </c>
      <c r="K55" s="39"/>
      <c r="L55" s="39">
        <v>43119</v>
      </c>
      <c r="M55" s="35" t="s">
        <v>345</v>
      </c>
      <c r="O55" s="22">
        <v>30</v>
      </c>
      <c r="P55" s="40"/>
      <c r="Q55" s="111">
        <v>19800</v>
      </c>
      <c r="R55" s="22">
        <f>65*E55</f>
        <v>16250</v>
      </c>
      <c r="S55" s="43">
        <f>-38*E55</f>
        <v>-9500</v>
      </c>
      <c r="T55" s="137">
        <f>X55*F55*0.0045</f>
        <v>5286.5071990424076</v>
      </c>
      <c r="U55" s="22">
        <f>E55*5</f>
        <v>1250</v>
      </c>
      <c r="W55" s="22">
        <v>0.3</v>
      </c>
      <c r="X55" s="22">
        <f>((O55*F55)+Q55+R55+S55+U55)/G55</f>
        <v>40.727314181486548</v>
      </c>
      <c r="Y55" s="22">
        <f>((O55*F55)+Q55+R55+S55+T55+U55)/G55+W55</f>
        <v>41.268376981260481</v>
      </c>
      <c r="Z55" s="3">
        <f>Y55*G55</f>
        <v>905015.50719904236</v>
      </c>
      <c r="AA55" s="44">
        <v>43132</v>
      </c>
      <c r="AB55" s="3"/>
      <c r="AC55" s="3"/>
    </row>
    <row r="56" spans="1:29" x14ac:dyDescent="0.25">
      <c r="A56" s="68"/>
      <c r="B56" s="34" t="s">
        <v>340</v>
      </c>
      <c r="C56" t="s">
        <v>341</v>
      </c>
      <c r="D56" s="35" t="s">
        <v>1048</v>
      </c>
      <c r="E56">
        <v>130</v>
      </c>
      <c r="F56" s="36">
        <v>13535</v>
      </c>
      <c r="G56" s="38">
        <v>12140</v>
      </c>
      <c r="H56" s="38">
        <f t="shared" si="9"/>
        <v>-1395</v>
      </c>
      <c r="I56" s="35" t="s">
        <v>1259</v>
      </c>
      <c r="K56" s="39"/>
      <c r="L56" s="39">
        <v>43119</v>
      </c>
      <c r="M56" s="35" t="s">
        <v>345</v>
      </c>
      <c r="O56" s="22">
        <v>30</v>
      </c>
      <c r="P56" s="40"/>
      <c r="Q56" s="111">
        <v>15700</v>
      </c>
      <c r="R56" s="22">
        <f>65*E56</f>
        <v>8450</v>
      </c>
      <c r="S56" s="43">
        <f>-38*E56</f>
        <v>-4940</v>
      </c>
      <c r="T56" s="137">
        <f>X56*F56*0.0045</f>
        <v>2136.8297631795713</v>
      </c>
      <c r="U56" s="22">
        <f>E56*5</f>
        <v>650</v>
      </c>
      <c r="W56" s="22">
        <v>0.3</v>
      </c>
      <c r="X56" s="22">
        <f>((O56*F56)+Q56+R56+S56+U56)/G56</f>
        <v>35.083196046128499</v>
      </c>
      <c r="Y56" s="22">
        <f>((O56*F56)+Q56+R56+S56+T56+U56)/G56+W56</f>
        <v>35.559211677362399</v>
      </c>
      <c r="Z56" s="3">
        <f>Y56*G56</f>
        <v>431688.82976317953</v>
      </c>
      <c r="AA56" s="44">
        <v>43132</v>
      </c>
      <c r="AB56" s="3">
        <v>39.229999999999997</v>
      </c>
      <c r="AC56" s="3" t="s">
        <v>1269</v>
      </c>
    </row>
    <row r="57" spans="1:29" x14ac:dyDescent="0.25">
      <c r="A57" s="68"/>
      <c r="B57" s="34" t="s">
        <v>328</v>
      </c>
      <c r="C57" s="35" t="s">
        <v>329</v>
      </c>
      <c r="D57" s="35" t="s">
        <v>329</v>
      </c>
      <c r="E57" t="s">
        <v>1021</v>
      </c>
      <c r="F57" s="36">
        <f>42427*0.4536</f>
        <v>19244.887200000001</v>
      </c>
      <c r="G57" s="38">
        <v>19177.52</v>
      </c>
      <c r="H57" s="38">
        <f t="shared" si="9"/>
        <v>-67.367200000000594</v>
      </c>
      <c r="I57" t="s">
        <v>1126</v>
      </c>
      <c r="J57" s="5" t="s">
        <v>1022</v>
      </c>
      <c r="K57" s="39">
        <v>43119</v>
      </c>
      <c r="L57" s="39">
        <v>43120</v>
      </c>
      <c r="M57" s="35" t="s">
        <v>348</v>
      </c>
      <c r="N57" s="35" t="s">
        <v>1099</v>
      </c>
      <c r="O57" s="22"/>
      <c r="P57" s="40">
        <f>0.6565+0.095</f>
        <v>0.75149999999999995</v>
      </c>
      <c r="Q57" s="111">
        <v>23000</v>
      </c>
      <c r="R57" s="120">
        <v>9500</v>
      </c>
      <c r="S57" s="45">
        <v>18.518999999999998</v>
      </c>
      <c r="T57" s="137">
        <f>X57*F57*0.005</f>
        <v>3126.9259736372992</v>
      </c>
      <c r="V57" s="22">
        <v>0.12</v>
      </c>
      <c r="W57" s="22">
        <v>0.3</v>
      </c>
      <c r="X57" s="22">
        <f>IF(O57&gt;0,O57,((P57*2.2046*S57)+(Q57+R57)/G57)+V57)</f>
        <v>32.496173566944044</v>
      </c>
      <c r="Y57" s="22">
        <f>IF(O57&gt;0,O57,((P57*2.2046*S57)+(Q57+R57+T57)/G57)+V57+W57)</f>
        <v>32.959225201025887</v>
      </c>
      <c r="Z57" s="3">
        <f>Y57*F57</f>
        <v>634296.57119314058</v>
      </c>
      <c r="AA57" s="44">
        <v>43131</v>
      </c>
      <c r="AB57" s="3"/>
      <c r="AC57" s="3"/>
    </row>
    <row r="58" spans="1:29" x14ac:dyDescent="0.25">
      <c r="A58" s="68"/>
      <c r="B58" s="34" t="s">
        <v>351</v>
      </c>
      <c r="C58" t="s">
        <v>352</v>
      </c>
      <c r="D58" s="35" t="s">
        <v>353</v>
      </c>
      <c r="E58" t="s">
        <v>1211</v>
      </c>
      <c r="F58" s="36">
        <v>18506.554</v>
      </c>
      <c r="G58" s="38">
        <f>680*27.22</f>
        <v>18509.599999999999</v>
      </c>
      <c r="H58" s="38">
        <f t="shared" si="9"/>
        <v>3.0459999999984575</v>
      </c>
      <c r="I58" t="s">
        <v>1343</v>
      </c>
      <c r="K58" s="39"/>
      <c r="L58" s="39">
        <v>43120</v>
      </c>
      <c r="M58" s="35" t="s">
        <v>348</v>
      </c>
      <c r="N58" s="35"/>
      <c r="O58" s="22">
        <v>42.5</v>
      </c>
      <c r="P58" s="40"/>
      <c r="Q58" s="22"/>
      <c r="R58" s="22"/>
      <c r="S58" s="45"/>
      <c r="T58" s="43"/>
      <c r="V58" s="22"/>
      <c r="W58" s="22"/>
      <c r="X58" s="22">
        <f>IF(O58&gt;0,O58,((P58*2.2046*S58)+(Q58+R58)/G58)+V58)</f>
        <v>42.5</v>
      </c>
      <c r="Y58" s="22">
        <f>IF(O58&gt;0,O58,((P58*2.2046*S58)+(Q58+R58+T58)/G58)+V58+W58)</f>
        <v>42.5</v>
      </c>
      <c r="Z58" s="3">
        <f>Y58*F58</f>
        <v>786528.54500000004</v>
      </c>
      <c r="AA58" s="44">
        <v>43140</v>
      </c>
      <c r="AB58" s="3"/>
      <c r="AC58" s="3"/>
    </row>
    <row r="59" spans="1:29" x14ac:dyDescent="0.25">
      <c r="A59" s="68"/>
      <c r="B59" s="34" t="s">
        <v>1105</v>
      </c>
      <c r="C59" s="35" t="s">
        <v>343</v>
      </c>
      <c r="D59" s="35" t="s">
        <v>1106</v>
      </c>
      <c r="E59" t="s">
        <v>1260</v>
      </c>
      <c r="F59" s="36">
        <v>1841.7</v>
      </c>
      <c r="G59" s="38">
        <v>1841.7</v>
      </c>
      <c r="H59" s="38">
        <f t="shared" si="9"/>
        <v>0</v>
      </c>
      <c r="I59" t="s">
        <v>1346</v>
      </c>
      <c r="K59" s="39"/>
      <c r="L59" s="39">
        <v>43120</v>
      </c>
      <c r="M59" s="35" t="s">
        <v>348</v>
      </c>
      <c r="N59" s="35"/>
      <c r="O59" s="22">
        <v>20</v>
      </c>
      <c r="P59" s="40"/>
      <c r="Q59" s="22"/>
      <c r="R59" s="22"/>
      <c r="S59" s="45"/>
      <c r="T59" s="43"/>
      <c r="V59" s="22"/>
      <c r="W59" s="22"/>
      <c r="X59" s="22">
        <f>IF(O59&gt;0,O59,((P59*2.2046*S59)+(Q59+R59)/G59)+V59)</f>
        <v>20</v>
      </c>
      <c r="Y59" s="22">
        <f>IF(O59&gt;0,O59,((P59*2.2046*S59)+(Q59+R59+T59)/G59)+V59+W59)</f>
        <v>20</v>
      </c>
      <c r="Z59" s="3">
        <f>Y59*F59</f>
        <v>36834</v>
      </c>
      <c r="AA59" s="44">
        <v>43126</v>
      </c>
      <c r="AB59" s="3"/>
      <c r="AC59" s="3"/>
    </row>
    <row r="60" spans="1:29" x14ac:dyDescent="0.25">
      <c r="A60" s="68"/>
      <c r="B60" s="34" t="s">
        <v>1275</v>
      </c>
      <c r="C60" s="35" t="s">
        <v>1276</v>
      </c>
      <c r="D60" s="35" t="s">
        <v>1014</v>
      </c>
      <c r="E60" t="s">
        <v>1277</v>
      </c>
      <c r="F60" s="36">
        <f>72.64+20</f>
        <v>92.64</v>
      </c>
      <c r="G60" s="38">
        <v>92.64</v>
      </c>
      <c r="H60" s="38">
        <f t="shared" si="9"/>
        <v>0</v>
      </c>
      <c r="I60" t="s">
        <v>1279</v>
      </c>
      <c r="J60" t="s">
        <v>775</v>
      </c>
      <c r="K60" s="39"/>
      <c r="L60" s="39">
        <v>43120</v>
      </c>
      <c r="M60" s="35" t="s">
        <v>348</v>
      </c>
      <c r="N60" s="35"/>
      <c r="O60" s="22">
        <v>165</v>
      </c>
      <c r="P60" s="40"/>
      <c r="Q60" s="22"/>
      <c r="R60" s="22"/>
      <c r="S60" s="45"/>
      <c r="T60" s="43"/>
      <c r="V60" s="22"/>
      <c r="W60" s="22"/>
      <c r="X60" s="22">
        <f>IF(O60&gt;0,O60,((P60*2.2046*S60)+(Q60+R60)/G60)+V60)</f>
        <v>165</v>
      </c>
      <c r="Y60" s="22">
        <f>IF(O60&gt;0,O60,((P60*2.2046*S60)+(Q60+R60+T60)/G60)+V60+W60)</f>
        <v>165</v>
      </c>
      <c r="Z60" s="3">
        <f>Y60*F60</f>
        <v>15285.6</v>
      </c>
      <c r="AA60" s="44">
        <v>43122</v>
      </c>
      <c r="AB60" s="3"/>
      <c r="AC60" s="3"/>
    </row>
    <row r="61" spans="1:29" ht="15.75" thickBot="1" x14ac:dyDescent="0.3">
      <c r="A61" s="69"/>
      <c r="B61" s="49"/>
      <c r="C61" s="23"/>
      <c r="D61" s="23"/>
      <c r="E61" s="23"/>
      <c r="F61" s="50"/>
      <c r="G61" s="50"/>
      <c r="H61" s="50"/>
      <c r="I61" s="26"/>
      <c r="J61" s="23"/>
      <c r="K61" s="27"/>
      <c r="L61" s="27"/>
      <c r="M61" s="23"/>
      <c r="N61" s="23"/>
      <c r="O61" s="28"/>
      <c r="P61" s="29"/>
      <c r="Q61" s="28"/>
      <c r="R61" s="28"/>
      <c r="S61" s="28"/>
      <c r="T61" s="28"/>
      <c r="U61" s="28"/>
      <c r="V61" s="28"/>
      <c r="W61" s="28"/>
      <c r="X61" s="28"/>
      <c r="Y61" s="28"/>
      <c r="Z61" s="32"/>
      <c r="AA61" s="51"/>
      <c r="AB61" s="3"/>
      <c r="AC61" s="3"/>
    </row>
    <row r="62" spans="1:29" x14ac:dyDescent="0.25">
      <c r="A62" s="112"/>
      <c r="B62" s="53" t="s">
        <v>340</v>
      </c>
      <c r="C62" s="53" t="s">
        <v>341</v>
      </c>
      <c r="D62" s="54" t="s">
        <v>1244</v>
      </c>
      <c r="E62" s="53">
        <v>220</v>
      </c>
      <c r="F62" s="55">
        <v>26410</v>
      </c>
      <c r="G62" s="56">
        <v>20150</v>
      </c>
      <c r="H62" s="38">
        <f>G62-F62</f>
        <v>-6260</v>
      </c>
      <c r="I62" s="57" t="s">
        <v>1290</v>
      </c>
      <c r="J62" s="53"/>
      <c r="K62" s="58"/>
      <c r="L62" s="58">
        <v>43121</v>
      </c>
      <c r="M62" s="54" t="s">
        <v>349</v>
      </c>
      <c r="N62" s="53"/>
      <c r="O62" s="59">
        <v>30</v>
      </c>
      <c r="P62" s="60"/>
      <c r="Q62" s="61">
        <v>19800</v>
      </c>
      <c r="R62" s="59">
        <f>65*E62</f>
        <v>14300</v>
      </c>
      <c r="S62" s="59">
        <f>-38*E62</f>
        <v>-8360</v>
      </c>
      <c r="T62" s="138">
        <f>X62*F62*0.0045</f>
        <v>4831.2999156327542</v>
      </c>
      <c r="U62" s="59">
        <f>E62*5</f>
        <v>1100</v>
      </c>
      <c r="V62" s="53"/>
      <c r="W62" s="59">
        <v>0.3</v>
      </c>
      <c r="X62" s="59">
        <f>((O62*F62)+Q62+R62+S62+U62)/G62</f>
        <v>40.652109181141441</v>
      </c>
      <c r="Y62" s="63">
        <f>((O62*F62)+Q62+R62+S62+T62+U62)/G62+W62</f>
        <v>41.191875926334127</v>
      </c>
      <c r="Z62" s="63">
        <f>Y62*G62</f>
        <v>830016.2999156327</v>
      </c>
      <c r="AA62" s="64">
        <v>43137</v>
      </c>
      <c r="AB62" s="3"/>
      <c r="AC62" s="3"/>
    </row>
    <row r="63" spans="1:29" x14ac:dyDescent="0.25">
      <c r="A63" s="113"/>
      <c r="B63" s="34" t="s">
        <v>340</v>
      </c>
      <c r="C63" t="s">
        <v>341</v>
      </c>
      <c r="D63" s="35" t="s">
        <v>1244</v>
      </c>
      <c r="E63">
        <v>130</v>
      </c>
      <c r="F63" s="36">
        <v>14185</v>
      </c>
      <c r="G63" s="38">
        <v>12570</v>
      </c>
      <c r="H63" s="38">
        <f>G63-F63</f>
        <v>-1615</v>
      </c>
      <c r="I63" s="35" t="s">
        <v>1291</v>
      </c>
      <c r="K63" s="39"/>
      <c r="L63" s="39">
        <v>43121</v>
      </c>
      <c r="M63" s="35" t="s">
        <v>349</v>
      </c>
      <c r="O63" s="22">
        <v>30</v>
      </c>
      <c r="P63" s="40"/>
      <c r="Q63" s="111">
        <v>15700</v>
      </c>
      <c r="R63" s="22">
        <f>65*E63</f>
        <v>8450</v>
      </c>
      <c r="S63" s="43">
        <f>-38*E63</f>
        <v>-4940</v>
      </c>
      <c r="T63" s="137">
        <f>X63*F63*0.0045</f>
        <v>2261.8642661097847</v>
      </c>
      <c r="U63" s="22">
        <f>E63*5</f>
        <v>650</v>
      </c>
      <c r="W63" s="22">
        <v>0.3</v>
      </c>
      <c r="X63" s="22">
        <f>((O63*F63)+Q63+R63+S63+U63)/G63</f>
        <v>35.434367541766107</v>
      </c>
      <c r="Y63" s="22">
        <f>((O63*F63)+Q63+R63+S63+T63+U63)/G63+W63</f>
        <v>35.914309010828141</v>
      </c>
      <c r="Z63" s="3">
        <f>Y63*G63</f>
        <v>451442.86426610971</v>
      </c>
      <c r="AA63" s="44">
        <v>43137</v>
      </c>
      <c r="AB63" s="3">
        <v>39.159999999999997</v>
      </c>
      <c r="AC63" s="3" t="s">
        <v>1292</v>
      </c>
    </row>
    <row r="64" spans="1:29" x14ac:dyDescent="0.25">
      <c r="A64" s="113"/>
      <c r="B64" s="34" t="s">
        <v>340</v>
      </c>
      <c r="C64" t="s">
        <v>341</v>
      </c>
      <c r="D64" s="35" t="s">
        <v>1293</v>
      </c>
      <c r="E64">
        <f>249+10</f>
        <v>259</v>
      </c>
      <c r="F64" s="36">
        <f>27960+1130</f>
        <v>29090</v>
      </c>
      <c r="G64" s="38">
        <f>11520+11820</f>
        <v>23340</v>
      </c>
      <c r="H64" s="38">
        <f>G64-F64</f>
        <v>-5750</v>
      </c>
      <c r="I64" s="35" t="s">
        <v>1294</v>
      </c>
      <c r="K64" s="39"/>
      <c r="L64" s="39">
        <v>43122</v>
      </c>
      <c r="M64" s="35" t="s">
        <v>350</v>
      </c>
      <c r="O64" s="22">
        <v>30</v>
      </c>
      <c r="P64" s="40"/>
      <c r="Q64" s="111">
        <f>19800</f>
        <v>19800</v>
      </c>
      <c r="R64" s="22">
        <f>65*E64</f>
        <v>16835</v>
      </c>
      <c r="S64" s="43">
        <f>-38*E64</f>
        <v>-9842</v>
      </c>
      <c r="T64" s="137">
        <f>X64*F64*0.0045</f>
        <v>5052.1702287917733</v>
      </c>
      <c r="U64" s="22">
        <f>E64*5</f>
        <v>1295</v>
      </c>
      <c r="W64" s="22">
        <v>0.3</v>
      </c>
      <c r="X64" s="22">
        <f>((O64*F64)+Q64+R64+S64+U64)/G64</f>
        <v>38.594173093401885</v>
      </c>
      <c r="Y64" s="22">
        <f>((O64*F64)+Q64+R64+S64+T64+U64)/G64+W64</f>
        <v>39.110632828997076</v>
      </c>
      <c r="Z64" s="3">
        <f>Y64*G64</f>
        <v>912842.17022879177</v>
      </c>
      <c r="AA64" s="44">
        <v>43137</v>
      </c>
      <c r="AB64" s="3"/>
      <c r="AC64" s="3" t="s">
        <v>1300</v>
      </c>
    </row>
    <row r="65" spans="1:29" x14ac:dyDescent="0.25">
      <c r="A65" s="113"/>
      <c r="B65" s="34" t="s">
        <v>1351</v>
      </c>
      <c r="C65" t="s">
        <v>343</v>
      </c>
      <c r="D65" s="35" t="s">
        <v>1065</v>
      </c>
      <c r="E65" t="s">
        <v>1357</v>
      </c>
      <c r="F65" s="36">
        <v>3010.6</v>
      </c>
      <c r="G65" s="38">
        <v>3006</v>
      </c>
      <c r="H65" s="38">
        <f t="shared" ref="H65:H70" si="10">G65-F65</f>
        <v>-4.5999999999999091</v>
      </c>
      <c r="I65" s="35" t="s">
        <v>1363</v>
      </c>
      <c r="K65" s="39"/>
      <c r="L65" s="39">
        <v>43122</v>
      </c>
      <c r="M65" s="35" t="s">
        <v>350</v>
      </c>
      <c r="O65" s="22">
        <v>45.5</v>
      </c>
      <c r="P65" s="40"/>
      <c r="Q65" s="22"/>
      <c r="R65" s="22"/>
      <c r="S65" s="43"/>
      <c r="T65" s="43"/>
      <c r="U65" s="22"/>
      <c r="W65" s="22"/>
      <c r="X65" s="22">
        <f t="shared" ref="X65:X70" si="11">((O65*F65)+Q65+R65+S65+U65)/G65</f>
        <v>45.56962741184298</v>
      </c>
      <c r="Y65" s="22">
        <f t="shared" ref="Y65:Y70" si="12">((O65*F65)+Q65+R65+S65+T65+U65)/G65+W65</f>
        <v>45.56962741184298</v>
      </c>
      <c r="Z65" s="3">
        <f t="shared" ref="Z65:Z70" si="13">Y65*G65</f>
        <v>136982.29999999999</v>
      </c>
      <c r="AA65" s="44">
        <v>43129</v>
      </c>
      <c r="AB65" s="3"/>
      <c r="AC65" s="3"/>
    </row>
    <row r="66" spans="1:29" x14ac:dyDescent="0.25">
      <c r="A66" s="113"/>
      <c r="B66" s="34" t="s">
        <v>1352</v>
      </c>
      <c r="C66" t="s">
        <v>343</v>
      </c>
      <c r="D66" s="35" t="s">
        <v>1065</v>
      </c>
      <c r="E66" t="s">
        <v>1358</v>
      </c>
      <c r="F66" s="36">
        <v>1007.14</v>
      </c>
      <c r="G66" s="38">
        <v>1007.14</v>
      </c>
      <c r="H66" s="38">
        <f t="shared" si="10"/>
        <v>0</v>
      </c>
      <c r="I66" s="35" t="s">
        <v>1363</v>
      </c>
      <c r="K66" s="39"/>
      <c r="L66" s="39">
        <v>43122</v>
      </c>
      <c r="M66" s="35" t="s">
        <v>350</v>
      </c>
      <c r="O66" s="22">
        <v>45</v>
      </c>
      <c r="P66" s="40"/>
      <c r="Q66" s="22"/>
      <c r="R66" s="22"/>
      <c r="S66" s="43"/>
      <c r="T66" s="43"/>
      <c r="U66" s="22"/>
      <c r="W66" s="22"/>
      <c r="X66" s="22">
        <f t="shared" si="11"/>
        <v>45</v>
      </c>
      <c r="Y66" s="22">
        <f t="shared" si="12"/>
        <v>45</v>
      </c>
      <c r="Z66" s="3">
        <f t="shared" si="13"/>
        <v>45321.3</v>
      </c>
      <c r="AA66" s="44">
        <v>43129</v>
      </c>
      <c r="AB66" s="3"/>
      <c r="AC66" s="3"/>
    </row>
    <row r="67" spans="1:29" x14ac:dyDescent="0.25">
      <c r="A67" s="113"/>
      <c r="B67" s="34" t="s">
        <v>1353</v>
      </c>
      <c r="C67" t="s">
        <v>1349</v>
      </c>
      <c r="D67" s="35" t="s">
        <v>1065</v>
      </c>
      <c r="E67" t="s">
        <v>1359</v>
      </c>
      <c r="F67" s="36">
        <v>4011.28</v>
      </c>
      <c r="G67" s="38">
        <v>4008.38</v>
      </c>
      <c r="H67" s="38">
        <f t="shared" si="10"/>
        <v>-2.9000000000000909</v>
      </c>
      <c r="I67" s="35" t="s">
        <v>1363</v>
      </c>
      <c r="K67" s="39"/>
      <c r="L67" s="39">
        <v>43122</v>
      </c>
      <c r="M67" s="35" t="s">
        <v>350</v>
      </c>
      <c r="O67" s="22">
        <v>91</v>
      </c>
      <c r="P67" s="40"/>
      <c r="Q67" s="22"/>
      <c r="R67" s="22"/>
      <c r="S67" s="43"/>
      <c r="T67" s="43"/>
      <c r="U67" s="22"/>
      <c r="W67" s="22"/>
      <c r="X67" s="22">
        <f t="shared" si="11"/>
        <v>91.065837071335565</v>
      </c>
      <c r="Y67" s="22">
        <f t="shared" si="12"/>
        <v>91.065837071335565</v>
      </c>
      <c r="Z67" s="3">
        <f t="shared" si="13"/>
        <v>365026.48000000004</v>
      </c>
      <c r="AA67" s="44">
        <v>43129</v>
      </c>
      <c r="AB67" s="3"/>
      <c r="AC67" s="3"/>
    </row>
    <row r="68" spans="1:29" x14ac:dyDescent="0.25">
      <c r="A68" s="113"/>
      <c r="B68" s="34" t="s">
        <v>1354</v>
      </c>
      <c r="C68" t="s">
        <v>1350</v>
      </c>
      <c r="D68" s="35" t="s">
        <v>1065</v>
      </c>
      <c r="E68" t="s">
        <v>1360</v>
      </c>
      <c r="F68" s="36">
        <v>534.29999999999995</v>
      </c>
      <c r="G68" s="38">
        <v>534.29999999999995</v>
      </c>
      <c r="H68" s="38">
        <f t="shared" si="10"/>
        <v>0</v>
      </c>
      <c r="I68" s="35" t="s">
        <v>1363</v>
      </c>
      <c r="K68" s="39"/>
      <c r="L68" s="39">
        <v>43122</v>
      </c>
      <c r="M68" s="35" t="s">
        <v>350</v>
      </c>
      <c r="O68" s="22">
        <v>89</v>
      </c>
      <c r="P68" s="40"/>
      <c r="Q68" s="22"/>
      <c r="R68" s="22"/>
      <c r="S68" s="43"/>
      <c r="T68" s="43"/>
      <c r="U68" s="22"/>
      <c r="W68" s="22"/>
      <c r="X68" s="22">
        <f t="shared" si="11"/>
        <v>89</v>
      </c>
      <c r="Y68" s="22">
        <f t="shared" si="12"/>
        <v>89</v>
      </c>
      <c r="Z68" s="3">
        <f t="shared" si="13"/>
        <v>47552.7</v>
      </c>
      <c r="AA68" s="44">
        <v>43129</v>
      </c>
      <c r="AB68" s="3"/>
      <c r="AC68" s="3"/>
    </row>
    <row r="69" spans="1:29" x14ac:dyDescent="0.25">
      <c r="A69" s="113"/>
      <c r="B69" s="34" t="s">
        <v>1355</v>
      </c>
      <c r="C69" t="s">
        <v>343</v>
      </c>
      <c r="D69" s="35" t="s">
        <v>1065</v>
      </c>
      <c r="E69" t="s">
        <v>1361</v>
      </c>
      <c r="F69" s="36">
        <v>204.15</v>
      </c>
      <c r="G69" s="38">
        <v>204.15</v>
      </c>
      <c r="H69" s="38">
        <f t="shared" si="10"/>
        <v>0</v>
      </c>
      <c r="I69" s="35" t="s">
        <v>1363</v>
      </c>
      <c r="K69" s="39"/>
      <c r="L69" s="39">
        <v>43122</v>
      </c>
      <c r="M69" s="35" t="s">
        <v>350</v>
      </c>
      <c r="O69" s="22">
        <v>33</v>
      </c>
      <c r="P69" s="40"/>
      <c r="Q69" s="22"/>
      <c r="R69" s="22"/>
      <c r="S69" s="43"/>
      <c r="T69" s="43"/>
      <c r="U69" s="22"/>
      <c r="W69" s="22"/>
      <c r="X69" s="22">
        <f t="shared" si="11"/>
        <v>33</v>
      </c>
      <c r="Y69" s="22">
        <f t="shared" si="12"/>
        <v>33</v>
      </c>
      <c r="Z69" s="3">
        <f t="shared" si="13"/>
        <v>6736.95</v>
      </c>
      <c r="AA69" s="44">
        <v>43129</v>
      </c>
      <c r="AB69" s="3"/>
      <c r="AC69" s="3"/>
    </row>
    <row r="70" spans="1:29" x14ac:dyDescent="0.25">
      <c r="A70" s="113"/>
      <c r="B70" s="34" t="s">
        <v>1356</v>
      </c>
      <c r="C70" t="s">
        <v>1136</v>
      </c>
      <c r="D70" s="35" t="s">
        <v>1065</v>
      </c>
      <c r="E70" t="s">
        <v>1362</v>
      </c>
      <c r="F70" s="36">
        <v>503.57</v>
      </c>
      <c r="G70" s="38">
        <v>503.57</v>
      </c>
      <c r="H70" s="38">
        <f t="shared" si="10"/>
        <v>0</v>
      </c>
      <c r="I70" s="35" t="s">
        <v>1363</v>
      </c>
      <c r="K70" s="39"/>
      <c r="L70" s="39">
        <v>43122</v>
      </c>
      <c r="M70" s="35" t="s">
        <v>350</v>
      </c>
      <c r="O70" s="22">
        <v>60</v>
      </c>
      <c r="P70" s="40"/>
      <c r="Q70" s="22"/>
      <c r="R70" s="22"/>
      <c r="S70" s="43"/>
      <c r="T70" s="43"/>
      <c r="U70" s="22"/>
      <c r="W70" s="22"/>
      <c r="X70" s="22">
        <f t="shared" si="11"/>
        <v>60</v>
      </c>
      <c r="Y70" s="22">
        <f t="shared" si="12"/>
        <v>60</v>
      </c>
      <c r="Z70" s="3">
        <f t="shared" si="13"/>
        <v>30214.2</v>
      </c>
      <c r="AA70" s="44">
        <v>43129</v>
      </c>
      <c r="AB70" s="3"/>
      <c r="AC70" s="3"/>
    </row>
    <row r="71" spans="1:29" x14ac:dyDescent="0.25">
      <c r="A71" s="113"/>
      <c r="B71" s="34" t="s">
        <v>328</v>
      </c>
      <c r="C71" t="s">
        <v>329</v>
      </c>
      <c r="D71" s="35" t="s">
        <v>329</v>
      </c>
      <c r="E71" t="s">
        <v>1021</v>
      </c>
      <c r="F71" s="36">
        <f>41290*0.4536</f>
        <v>18729.144</v>
      </c>
      <c r="G71" s="38">
        <v>18635.099999999999</v>
      </c>
      <c r="H71" s="38">
        <f t="shared" ref="H71:H85" si="14">G71-F71</f>
        <v>-94.044000000001688</v>
      </c>
      <c r="I71" s="35" t="s">
        <v>1128</v>
      </c>
      <c r="J71" s="5" t="s">
        <v>1022</v>
      </c>
      <c r="K71" s="39">
        <v>43122</v>
      </c>
      <c r="L71" s="39">
        <v>43123</v>
      </c>
      <c r="M71" s="35" t="s">
        <v>355</v>
      </c>
      <c r="N71" s="35" t="s">
        <v>1130</v>
      </c>
      <c r="O71" s="22"/>
      <c r="P71" s="40">
        <f>0.6574+0.095</f>
        <v>0.75239999999999996</v>
      </c>
      <c r="Q71" s="111">
        <v>23000</v>
      </c>
      <c r="R71" s="120">
        <v>9500</v>
      </c>
      <c r="S71" s="45">
        <v>18.68</v>
      </c>
      <c r="T71" s="137">
        <f t="shared" ref="T71:T76" si="15">X71*F71*0.005</f>
        <v>3076.196660837491</v>
      </c>
      <c r="V71" s="22">
        <v>0.12</v>
      </c>
      <c r="W71" s="22">
        <v>0.3</v>
      </c>
      <c r="X71" s="22">
        <f>IF(O71&gt;0,O71,((P71*2.2046*S71)+(Q71+R71)/G71)+V71)</f>
        <v>32.84930331933473</v>
      </c>
      <c r="Y71" s="22">
        <f>IF(O71&gt;0,O71,((P71*2.2046*S71)+(Q71+R71+T71)/G71)+V71+W71)</f>
        <v>33.314378723321695</v>
      </c>
      <c r="Z71" s="3">
        <f>Y71*F71</f>
        <v>623949.79637962824</v>
      </c>
      <c r="AA71" s="44">
        <v>43133</v>
      </c>
      <c r="AB71" s="3"/>
      <c r="AC71" s="3"/>
    </row>
    <row r="72" spans="1:29" x14ac:dyDescent="0.25">
      <c r="A72" s="113"/>
      <c r="B72" s="34" t="s">
        <v>328</v>
      </c>
      <c r="C72" t="s">
        <v>343</v>
      </c>
      <c r="D72" s="35" t="s">
        <v>1129</v>
      </c>
      <c r="E72" t="s">
        <v>1021</v>
      </c>
      <c r="F72" s="36">
        <f>41362*0.4536</f>
        <v>18761.803199999998</v>
      </c>
      <c r="G72" s="38">
        <v>18689.96</v>
      </c>
      <c r="H72" s="38">
        <f t="shared" si="14"/>
        <v>-71.843199999999342</v>
      </c>
      <c r="I72" s="35" t="s">
        <v>1272</v>
      </c>
      <c r="J72" s="5" t="s">
        <v>1022</v>
      </c>
      <c r="K72" s="39">
        <v>43122</v>
      </c>
      <c r="L72" s="39">
        <v>43123</v>
      </c>
      <c r="M72" s="35" t="s">
        <v>355</v>
      </c>
      <c r="N72" s="35" t="s">
        <v>1195</v>
      </c>
      <c r="O72" s="22"/>
      <c r="P72" s="40">
        <f>0.6574+0.105</f>
        <v>0.76239999999999997</v>
      </c>
      <c r="Q72" s="111">
        <v>23000</v>
      </c>
      <c r="R72" s="22">
        <v>9400</v>
      </c>
      <c r="S72" s="45">
        <v>18.777000000000001</v>
      </c>
      <c r="T72" s="137">
        <f t="shared" si="15"/>
        <v>3134.505315262124</v>
      </c>
      <c r="V72" s="22">
        <v>0.12</v>
      </c>
      <c r="W72" s="22">
        <v>0.3</v>
      </c>
      <c r="X72" s="22">
        <f>IF(O72&gt;0,O72,((P72*2.2046*S72)+(Q72+R72)/G72)+V72)</f>
        <v>33.413689311719509</v>
      </c>
      <c r="Y72" s="22">
        <f>IF(O72&gt;0,O72,((P72*2.2046*S72)+(Q72+R72+T72)/G72)+V72+W72)</f>
        <v>33.88139996039196</v>
      </c>
      <c r="Z72" s="3">
        <f>Y72*F72</f>
        <v>635676.15819736174</v>
      </c>
      <c r="AA72" s="44">
        <v>43122</v>
      </c>
      <c r="AB72" s="3"/>
      <c r="AC72" s="3"/>
    </row>
    <row r="73" spans="1:29" x14ac:dyDescent="0.25">
      <c r="A73" s="113"/>
      <c r="B73" s="34" t="s">
        <v>328</v>
      </c>
      <c r="C73" s="35" t="s">
        <v>336</v>
      </c>
      <c r="D73" s="35" t="s">
        <v>336</v>
      </c>
      <c r="E73" t="s">
        <v>1021</v>
      </c>
      <c r="F73" s="36">
        <f>41540*0.4536</f>
        <v>18842.544000000002</v>
      </c>
      <c r="G73" s="38">
        <v>18796.330000000002</v>
      </c>
      <c r="H73" s="38">
        <f t="shared" si="14"/>
        <v>-46.213999999999942</v>
      </c>
      <c r="I73" s="35" t="s">
        <v>1206</v>
      </c>
      <c r="J73" s="5" t="s">
        <v>1022</v>
      </c>
      <c r="K73" s="39">
        <v>43122</v>
      </c>
      <c r="L73" s="39">
        <v>43123</v>
      </c>
      <c r="M73" s="35" t="s">
        <v>355</v>
      </c>
      <c r="N73" s="35" t="s">
        <v>1199</v>
      </c>
      <c r="O73" s="22"/>
      <c r="P73" s="40">
        <f>0.6481+0.095</f>
        <v>0.74309999999999998</v>
      </c>
      <c r="Q73" s="111">
        <v>23000</v>
      </c>
      <c r="R73" s="22">
        <v>9400</v>
      </c>
      <c r="S73" s="45">
        <v>19.058</v>
      </c>
      <c r="T73" s="137">
        <f t="shared" si="15"/>
        <v>3115.1704855301255</v>
      </c>
      <c r="V73" s="22">
        <v>0.12</v>
      </c>
      <c r="W73" s="22">
        <v>0.3</v>
      </c>
      <c r="X73" s="22">
        <f>IF(O73&gt;0,O73,((P73*2.2046*S73)+(Q73+R73)/G73)+V73)</f>
        <v>33.065285510599047</v>
      </c>
      <c r="Y73" s="22">
        <f>IF(O73&gt;0,O73,((P73*2.2046*S73)+(Q73+R73+T73)/G73)+V73+W73)</f>
        <v>33.53101842151996</v>
      </c>
      <c r="Z73" s="3">
        <f>Y73*F73</f>
        <v>631809.68997230043</v>
      </c>
      <c r="AA73" s="44">
        <v>43116</v>
      </c>
      <c r="AB73" s="3"/>
      <c r="AC73" s="3"/>
    </row>
    <row r="74" spans="1:29" x14ac:dyDescent="0.25">
      <c r="A74" s="113"/>
      <c r="B74" s="34" t="s">
        <v>340</v>
      </c>
      <c r="C74" t="s">
        <v>341</v>
      </c>
      <c r="D74" s="35" t="s">
        <v>1174</v>
      </c>
      <c r="E74">
        <v>217</v>
      </c>
      <c r="F74" s="36">
        <v>27465</v>
      </c>
      <c r="G74" s="38">
        <f>14820+7240</f>
        <v>22060</v>
      </c>
      <c r="H74" s="38">
        <f t="shared" si="14"/>
        <v>-5405</v>
      </c>
      <c r="I74" s="35" t="s">
        <v>1302</v>
      </c>
      <c r="K74" s="39"/>
      <c r="L74" s="39">
        <v>43123</v>
      </c>
      <c r="M74" s="35" t="s">
        <v>355</v>
      </c>
      <c r="O74" s="22">
        <v>30</v>
      </c>
      <c r="P74" s="40"/>
      <c r="Q74" s="47">
        <v>19800</v>
      </c>
      <c r="R74" s="22">
        <f>65*E74</f>
        <v>14105</v>
      </c>
      <c r="S74" s="43">
        <f>-38*E74</f>
        <v>-8246</v>
      </c>
      <c r="T74" s="137">
        <f t="shared" si="15"/>
        <v>5295.6279941069815</v>
      </c>
      <c r="U74" s="22">
        <f>E74*5</f>
        <v>1085</v>
      </c>
      <c r="W74" s="22">
        <v>0.3</v>
      </c>
      <c r="X74" s="22">
        <f>((O74*F74)+Q74+R74+S74+U74)/G74</f>
        <v>38.562737987307344</v>
      </c>
      <c r="Y74" s="22">
        <f>((O74*F74)+Q74+R74+S74+T74+U74)/G74+W74</f>
        <v>39.102793653404667</v>
      </c>
      <c r="Z74" s="3">
        <f>Y74*G74</f>
        <v>862607.62799410697</v>
      </c>
      <c r="AA74" s="44">
        <v>43137</v>
      </c>
      <c r="AB74" s="3">
        <v>42</v>
      </c>
      <c r="AC74" s="3" t="s">
        <v>1317</v>
      </c>
    </row>
    <row r="75" spans="1:29" x14ac:dyDescent="0.25">
      <c r="A75" s="113"/>
      <c r="B75" s="34" t="s">
        <v>328</v>
      </c>
      <c r="C75" s="35" t="s">
        <v>343</v>
      </c>
      <c r="D75" s="35" t="s">
        <v>343</v>
      </c>
      <c r="E75" t="s">
        <v>1040</v>
      </c>
      <c r="F75" s="36">
        <f>43538*0.4536</f>
        <v>19748.836800000001</v>
      </c>
      <c r="G75" s="38">
        <v>19741</v>
      </c>
      <c r="H75" s="38">
        <f t="shared" si="14"/>
        <v>-7.8368000000009488</v>
      </c>
      <c r="I75" t="s">
        <v>1127</v>
      </c>
      <c r="J75" s="5" t="s">
        <v>1089</v>
      </c>
      <c r="K75" s="39">
        <v>43123</v>
      </c>
      <c r="L75" s="39">
        <v>43124</v>
      </c>
      <c r="M75" s="35" t="s">
        <v>331</v>
      </c>
      <c r="N75" s="35" t="s">
        <v>1195</v>
      </c>
      <c r="O75" s="22"/>
      <c r="P75" s="40">
        <v>0.75270000000000004</v>
      </c>
      <c r="Q75" s="111">
        <v>23000</v>
      </c>
      <c r="R75" s="22">
        <v>9400</v>
      </c>
      <c r="S75" s="45">
        <v>19.224</v>
      </c>
      <c r="T75" s="137">
        <f t="shared" si="15"/>
        <v>3323.8878525936943</v>
      </c>
      <c r="V75" s="22">
        <v>0.12</v>
      </c>
      <c r="W75" s="22">
        <v>0.3</v>
      </c>
      <c r="X75" s="22">
        <f>IF(O75&gt;0,O75,((P75*2.2046*S75)+(Q75+R75)/G75)+V75)</f>
        <v>33.661606364519592</v>
      </c>
      <c r="Y75" s="22">
        <f>IF(O75&gt;0,O75,((P75*2.2046*S75)+(Q75+R75+T75)/G75)+V75+W75)</f>
        <v>34.129981211416592</v>
      </c>
      <c r="Z75" s="3">
        <f>Y75*F75</f>
        <v>674027.42893133254</v>
      </c>
      <c r="AA75" s="44">
        <v>43116</v>
      </c>
      <c r="AB75" s="3"/>
      <c r="AC75" s="3" t="s">
        <v>1273</v>
      </c>
    </row>
    <row r="76" spans="1:29" x14ac:dyDescent="0.25">
      <c r="A76" s="113"/>
      <c r="B76" s="34" t="s">
        <v>328</v>
      </c>
      <c r="C76" s="35" t="s">
        <v>336</v>
      </c>
      <c r="D76" s="35" t="s">
        <v>336</v>
      </c>
      <c r="E76" t="s">
        <v>1021</v>
      </c>
      <c r="F76" s="36">
        <f>41745*0.4536</f>
        <v>18935.531999999999</v>
      </c>
      <c r="G76" s="38">
        <v>18900.73</v>
      </c>
      <c r="H76" s="38">
        <f t="shared" si="14"/>
        <v>-34.80199999999968</v>
      </c>
      <c r="I76" s="35" t="s">
        <v>1080</v>
      </c>
      <c r="J76" s="5" t="s">
        <v>1022</v>
      </c>
      <c r="K76" s="39">
        <v>43123</v>
      </c>
      <c r="L76" s="39">
        <v>43124</v>
      </c>
      <c r="M76" s="35" t="s">
        <v>331</v>
      </c>
      <c r="N76" s="35" t="s">
        <v>1130</v>
      </c>
      <c r="O76" s="22"/>
      <c r="P76" s="40">
        <f>0.6574+0.095</f>
        <v>0.75239999999999996</v>
      </c>
      <c r="Q76" s="111">
        <v>23000</v>
      </c>
      <c r="R76" s="22">
        <v>9400</v>
      </c>
      <c r="S76" s="45">
        <v>19.058</v>
      </c>
      <c r="T76" s="137">
        <f t="shared" si="15"/>
        <v>3166.6369463583624</v>
      </c>
      <c r="V76" s="22">
        <v>0.12</v>
      </c>
      <c r="W76" s="22">
        <v>0.3</v>
      </c>
      <c r="X76" s="22">
        <f>IF(O76&gt;0,O76,((P76*2.2046*S76)+(Q76+R76)/G76)+V76)</f>
        <v>33.446506244011125</v>
      </c>
      <c r="Y76" s="22">
        <f>IF(O76&gt;0,O76,((P76*2.2046*S76)+(Q76+R76+T76)/G76)+V76+W76)</f>
        <v>33.914046701250513</v>
      </c>
      <c r="Z76" s="3">
        <f>Y76*F76</f>
        <v>642180.51656102354</v>
      </c>
      <c r="AA76" s="44">
        <v>43116</v>
      </c>
      <c r="AB76" s="3"/>
      <c r="AC76" s="3"/>
    </row>
    <row r="77" spans="1:29" x14ac:dyDescent="0.25">
      <c r="A77" s="113"/>
      <c r="B77" s="34" t="s">
        <v>340</v>
      </c>
      <c r="C77" t="s">
        <v>341</v>
      </c>
      <c r="D77" s="35" t="s">
        <v>1244</v>
      </c>
      <c r="E77">
        <v>198</v>
      </c>
      <c r="F77" s="36">
        <v>23990</v>
      </c>
      <c r="G77" s="38">
        <v>19010</v>
      </c>
      <c r="H77" s="38">
        <f t="shared" si="14"/>
        <v>-4980</v>
      </c>
      <c r="I77" s="35" t="s">
        <v>1319</v>
      </c>
      <c r="K77" s="39"/>
      <c r="L77" s="39">
        <v>43124</v>
      </c>
      <c r="M77" s="35" t="s">
        <v>331</v>
      </c>
      <c r="O77" s="22">
        <v>29.5</v>
      </c>
      <c r="P77" s="40"/>
      <c r="Q77" s="111">
        <v>19800</v>
      </c>
      <c r="R77" s="22">
        <f>65*E77</f>
        <v>12870</v>
      </c>
      <c r="S77" s="43">
        <f>-38*E77</f>
        <v>-7524</v>
      </c>
      <c r="T77" s="137">
        <f>X77*F77*0.0045</f>
        <v>4167.375336927932</v>
      </c>
      <c r="U77" s="22">
        <f>E77*5</f>
        <v>990</v>
      </c>
      <c r="W77" s="22">
        <v>0.3</v>
      </c>
      <c r="X77" s="22">
        <f>((O77*F77)+Q77+R77+S77+U77)/G77</f>
        <v>38.60289321409784</v>
      </c>
      <c r="Y77" s="22">
        <f>((O77*F77)+Q77+R77+S77+T77+U77)/G77+W77</f>
        <v>39.122113379112463</v>
      </c>
      <c r="Z77" s="3">
        <f>Y77*G77</f>
        <v>743711.37533692794</v>
      </c>
      <c r="AA77" s="44">
        <v>43138</v>
      </c>
      <c r="AB77" s="3">
        <v>42</v>
      </c>
      <c r="AC77" s="3"/>
    </row>
    <row r="78" spans="1:29" x14ac:dyDescent="0.25">
      <c r="A78" s="113"/>
      <c r="B78" s="34" t="s">
        <v>328</v>
      </c>
      <c r="C78" s="35" t="s">
        <v>343</v>
      </c>
      <c r="D78" s="35" t="s">
        <v>343</v>
      </c>
      <c r="E78" t="s">
        <v>1040</v>
      </c>
      <c r="F78" s="36">
        <f>43271*0.4536</f>
        <v>19627.725600000002</v>
      </c>
      <c r="G78" s="38">
        <v>19584.580000000002</v>
      </c>
      <c r="H78" s="38">
        <f t="shared" si="14"/>
        <v>-43.145599999999831</v>
      </c>
      <c r="I78" t="s">
        <v>1154</v>
      </c>
      <c r="J78" s="5" t="s">
        <v>1022</v>
      </c>
      <c r="K78" s="39">
        <v>43124</v>
      </c>
      <c r="L78" s="39">
        <v>43125</v>
      </c>
      <c r="M78" s="35" t="s">
        <v>342</v>
      </c>
      <c r="N78" s="35" t="s">
        <v>1131</v>
      </c>
      <c r="O78" s="22"/>
      <c r="P78" s="40">
        <f>0.6641+0.105</f>
        <v>0.76910000000000001</v>
      </c>
      <c r="Q78" s="111">
        <v>23000</v>
      </c>
      <c r="R78" s="22">
        <v>9400</v>
      </c>
      <c r="S78" s="45">
        <v>18.856999999999999</v>
      </c>
      <c r="T78" s="137">
        <f>X78*F78*0.005</f>
        <v>3311.9330869000255</v>
      </c>
      <c r="V78" s="22">
        <v>0.12</v>
      </c>
      <c r="W78" s="22">
        <v>0.3</v>
      </c>
      <c r="X78" s="22">
        <f>IF(O78&gt;0,O78,((P78*2.2046*S78)+(Q78+R72)/G78)+V78)</f>
        <v>33.747497335096483</v>
      </c>
      <c r="Y78" s="22">
        <f>IF(O78&gt;0,O78,((P78*2.2046*S78)+(Q78+R76+T78)/G78)+V78+W78)</f>
        <v>34.216606557091545</v>
      </c>
      <c r="Z78" s="3">
        <f>Y78*F78</f>
        <v>671594.16446575359</v>
      </c>
      <c r="AA78" s="44">
        <v>43118</v>
      </c>
      <c r="AB78" s="3"/>
      <c r="AC78" s="3"/>
    </row>
    <row r="79" spans="1:29" x14ac:dyDescent="0.25">
      <c r="A79" s="113"/>
      <c r="B79" s="34" t="s">
        <v>340</v>
      </c>
      <c r="C79" t="s">
        <v>341</v>
      </c>
      <c r="D79" s="35" t="s">
        <v>1060</v>
      </c>
      <c r="E79">
        <v>231</v>
      </c>
      <c r="F79" s="36">
        <v>27930</v>
      </c>
      <c r="G79" s="38">
        <v>23040</v>
      </c>
      <c r="H79" s="38">
        <f t="shared" si="14"/>
        <v>-4890</v>
      </c>
      <c r="I79" s="35" t="s">
        <v>1335</v>
      </c>
      <c r="K79" s="39"/>
      <c r="L79" s="39">
        <v>43125</v>
      </c>
      <c r="M79" s="35" t="s">
        <v>342</v>
      </c>
      <c r="O79" s="22">
        <v>29.5</v>
      </c>
      <c r="P79" s="40"/>
      <c r="Q79" s="47">
        <v>19800</v>
      </c>
      <c r="R79" s="22">
        <f>65*E79</f>
        <v>15015</v>
      </c>
      <c r="S79" s="43">
        <f>-38*E79</f>
        <v>-8778</v>
      </c>
      <c r="T79" s="137">
        <f>X79*F79*0.0045</f>
        <v>4642.9642792968743</v>
      </c>
      <c r="U79" s="22">
        <f>E79*5</f>
        <v>1155</v>
      </c>
      <c r="W79" s="22">
        <v>0.3</v>
      </c>
      <c r="X79" s="22">
        <f>((O79*F79)+Q79+R79+S79+U79)/G79</f>
        <v>36.941276041666669</v>
      </c>
      <c r="Y79" s="22">
        <f>((O79*F79)+Q79+R79+S79+T79+U79)/G79+W79</f>
        <v>37.442793588511151</v>
      </c>
      <c r="Z79" s="3">
        <f>Y79*G79</f>
        <v>862681.96427929692</v>
      </c>
      <c r="AA79" s="44">
        <v>43138</v>
      </c>
      <c r="AB79" s="3">
        <v>42</v>
      </c>
      <c r="AC79" s="3"/>
    </row>
    <row r="80" spans="1:29" x14ac:dyDescent="0.25">
      <c r="A80" s="113"/>
      <c r="B80" s="34" t="s">
        <v>340</v>
      </c>
      <c r="C80" t="s">
        <v>341</v>
      </c>
      <c r="D80" s="35" t="s">
        <v>1047</v>
      </c>
      <c r="E80">
        <v>130</v>
      </c>
      <c r="F80" s="36">
        <v>16500</v>
      </c>
      <c r="G80" s="38">
        <v>12890</v>
      </c>
      <c r="H80" s="38">
        <f t="shared" si="14"/>
        <v>-3610</v>
      </c>
      <c r="I80" s="35" t="s">
        <v>1336</v>
      </c>
      <c r="K80" s="39"/>
      <c r="L80" s="39">
        <v>43125</v>
      </c>
      <c r="M80" s="35" t="s">
        <v>342</v>
      </c>
      <c r="O80" s="22">
        <v>29.5</v>
      </c>
      <c r="P80" s="40"/>
      <c r="Q80" s="111">
        <v>15700</v>
      </c>
      <c r="R80" s="22">
        <f>65*E80</f>
        <v>8450</v>
      </c>
      <c r="S80" s="43">
        <f>-38*E80</f>
        <v>-4940</v>
      </c>
      <c r="T80" s="137">
        <f>X80*F80*0.0045</f>
        <v>2918.2150892164464</v>
      </c>
      <c r="U80" s="22">
        <f>E80*5</f>
        <v>650</v>
      </c>
      <c r="W80" s="22">
        <v>0.3</v>
      </c>
      <c r="X80" s="22">
        <f>((O80*F80)+Q80+R80+S80+U80)/G80</f>
        <v>39.302560124127233</v>
      </c>
      <c r="Y80" s="22">
        <f>((O80*F80)+Q80+R80+S80+T80+U80)/G80+W80</f>
        <v>39.828953847107556</v>
      </c>
      <c r="Z80" s="3">
        <f>Y80*G80</f>
        <v>513395.21508921642</v>
      </c>
      <c r="AA80" s="44">
        <v>43138</v>
      </c>
      <c r="AB80" s="3"/>
      <c r="AC80" s="3" t="s">
        <v>1337</v>
      </c>
    </row>
    <row r="81" spans="1:29" x14ac:dyDescent="0.25">
      <c r="A81" s="113"/>
      <c r="B81" s="34" t="s">
        <v>328</v>
      </c>
      <c r="C81" s="35" t="s">
        <v>329</v>
      </c>
      <c r="D81" s="35" t="s">
        <v>329</v>
      </c>
      <c r="E81" t="s">
        <v>1021</v>
      </c>
      <c r="F81" s="36">
        <f>42481*0.4536</f>
        <v>19269.381600000001</v>
      </c>
      <c r="G81" s="38">
        <v>19226.12</v>
      </c>
      <c r="H81" s="38">
        <f t="shared" si="14"/>
        <v>-43.261600000001636</v>
      </c>
      <c r="I81" t="s">
        <v>1152</v>
      </c>
      <c r="J81" s="5" t="s">
        <v>1022</v>
      </c>
      <c r="K81" s="39">
        <v>43125</v>
      </c>
      <c r="L81" s="39">
        <v>43126</v>
      </c>
      <c r="M81" s="35" t="s">
        <v>345</v>
      </c>
      <c r="N81" s="35" t="s">
        <v>1132</v>
      </c>
      <c r="O81" s="22"/>
      <c r="P81" s="40">
        <f>0.6641+0.095</f>
        <v>0.7591</v>
      </c>
      <c r="Q81" s="111">
        <v>23000</v>
      </c>
      <c r="R81" s="120">
        <v>9500</v>
      </c>
      <c r="S81" s="45">
        <v>18.425000000000001</v>
      </c>
      <c r="T81" s="137">
        <f>X81*F81*0.005</f>
        <v>3145.2317753164425</v>
      </c>
      <c r="V81" s="22">
        <v>0.12</v>
      </c>
      <c r="W81" s="22">
        <v>0.3</v>
      </c>
      <c r="X81" s="22">
        <f>IF(O81&gt;0,O81,((P81*2.2046*S81)+(Q81+R81)/G81)+V81)</f>
        <v>32.644864693700832</v>
      </c>
      <c r="Y81" s="22">
        <f>IF(O81&gt;0,O81,((P81*2.2046*S81)+(Q81+R81+T81)/G81)+V81+W81)</f>
        <v>33.108456295923041</v>
      </c>
      <c r="Z81" s="3">
        <f>Y81*F81</f>
        <v>637979.47855306359</v>
      </c>
      <c r="AA81" s="44">
        <v>43137</v>
      </c>
      <c r="AB81" s="3"/>
      <c r="AC81" s="3"/>
    </row>
    <row r="82" spans="1:29" x14ac:dyDescent="0.25">
      <c r="A82" s="113"/>
      <c r="B82" s="34" t="s">
        <v>340</v>
      </c>
      <c r="C82" t="s">
        <v>1301</v>
      </c>
      <c r="D82" s="35" t="s">
        <v>1301</v>
      </c>
      <c r="E82">
        <v>250</v>
      </c>
      <c r="F82" s="36">
        <v>21034.799999999999</v>
      </c>
      <c r="G82" s="38">
        <v>20930</v>
      </c>
      <c r="H82" s="38">
        <f t="shared" si="14"/>
        <v>-104.79999999999927</v>
      </c>
      <c r="I82" s="35" t="s">
        <v>1341</v>
      </c>
      <c r="K82" s="39"/>
      <c r="L82" s="39">
        <v>43126</v>
      </c>
      <c r="M82" s="35" t="s">
        <v>345</v>
      </c>
      <c r="O82" s="22">
        <v>39.799999999999997</v>
      </c>
      <c r="P82" s="40"/>
      <c r="Q82" s="22"/>
      <c r="R82" s="22"/>
      <c r="S82" s="43"/>
      <c r="T82" s="43"/>
      <c r="U82" s="22"/>
      <c r="W82" s="22">
        <v>0.3</v>
      </c>
      <c r="X82" s="22">
        <f>((O82*F82)+Q82+R82+S82+U82)/G82</f>
        <v>39.999285236502622</v>
      </c>
      <c r="Y82" s="22">
        <f>((O82*F82)+Q82+R82+S82+T82+U82)/G82+W82</f>
        <v>40.29928523650262</v>
      </c>
      <c r="Z82" s="3">
        <f>Y82*G82</f>
        <v>843464.0399999998</v>
      </c>
      <c r="AA82" s="44">
        <v>43133</v>
      </c>
      <c r="AB82" s="3">
        <v>41.5</v>
      </c>
      <c r="AC82" s="3"/>
    </row>
    <row r="83" spans="1:29" x14ac:dyDescent="0.25">
      <c r="A83" s="113"/>
      <c r="B83" s="34" t="s">
        <v>340</v>
      </c>
      <c r="C83" t="s">
        <v>341</v>
      </c>
      <c r="D83" s="35" t="s">
        <v>1060</v>
      </c>
      <c r="E83">
        <v>130</v>
      </c>
      <c r="F83" s="36">
        <v>15260</v>
      </c>
      <c r="G83" s="38">
        <v>12380</v>
      </c>
      <c r="H83" s="38">
        <f t="shared" si="14"/>
        <v>-2880</v>
      </c>
      <c r="I83" s="35" t="s">
        <v>1382</v>
      </c>
      <c r="K83" s="39"/>
      <c r="L83" s="39">
        <v>43126</v>
      </c>
      <c r="M83" s="35" t="s">
        <v>345</v>
      </c>
      <c r="O83" s="22">
        <v>29.5</v>
      </c>
      <c r="P83" s="40"/>
      <c r="Q83" s="111">
        <v>15700</v>
      </c>
      <c r="R83" s="22">
        <f>65*E83</f>
        <v>8450</v>
      </c>
      <c r="S83" s="43">
        <f>-38*E83</f>
        <v>-4940</v>
      </c>
      <c r="T83" s="137">
        <f>X83*F83*0.0045</f>
        <v>2607.1857915993533</v>
      </c>
      <c r="U83" s="22">
        <f>E83*5</f>
        <v>650</v>
      </c>
      <c r="W83" s="22">
        <v>0.3</v>
      </c>
      <c r="X83" s="22">
        <f>((O83*F83)+Q83+R83+S83+U83)/G83</f>
        <v>37.966882067851373</v>
      </c>
      <c r="Y83" s="22">
        <f>((O83*F83)+Q83+R83+S83+T83+U83)/G83+W83</f>
        <v>38.477478658449051</v>
      </c>
      <c r="Z83" s="3">
        <f>Y83*G83</f>
        <v>476351.18579159927</v>
      </c>
      <c r="AA83" s="44">
        <v>43139</v>
      </c>
      <c r="AB83" s="3"/>
      <c r="AC83" s="3" t="s">
        <v>1342</v>
      </c>
    </row>
    <row r="84" spans="1:29" x14ac:dyDescent="0.25">
      <c r="A84" s="113"/>
      <c r="B84" s="34" t="s">
        <v>328</v>
      </c>
      <c r="C84" s="35" t="s">
        <v>343</v>
      </c>
      <c r="D84" s="35" t="s">
        <v>343</v>
      </c>
      <c r="E84" t="s">
        <v>1040</v>
      </c>
      <c r="F84" s="36">
        <f>43180*0.4536</f>
        <v>19586.448</v>
      </c>
      <c r="G84" s="38">
        <v>19537.689999999999</v>
      </c>
      <c r="H84" s="38">
        <f t="shared" si="14"/>
        <v>-48.75800000000163</v>
      </c>
      <c r="I84" t="s">
        <v>1153</v>
      </c>
      <c r="J84" s="5" t="s">
        <v>1022</v>
      </c>
      <c r="K84" s="39">
        <v>43126</v>
      </c>
      <c r="L84" s="39">
        <v>43127</v>
      </c>
      <c r="M84" s="35" t="s">
        <v>348</v>
      </c>
      <c r="N84" s="35" t="s">
        <v>1133</v>
      </c>
      <c r="O84" s="22"/>
      <c r="P84" s="40">
        <f>0.6951+0.105</f>
        <v>0.80010000000000003</v>
      </c>
      <c r="Q84" s="111">
        <v>23000</v>
      </c>
      <c r="R84" s="22">
        <v>9400</v>
      </c>
      <c r="S84" s="45">
        <v>18.66</v>
      </c>
      <c r="T84" s="137">
        <f>X84*F84*0.005</f>
        <v>3397.5353684800339</v>
      </c>
      <c r="V84" s="22">
        <v>0.12</v>
      </c>
      <c r="W84" s="22">
        <v>0.3</v>
      </c>
      <c r="X84" s="22">
        <f>IF(O84&gt;0,O84,((P84*2.2046*S84)+(Q84+R84)/G84)+V84)</f>
        <v>34.692715784710266</v>
      </c>
      <c r="Y84" s="22">
        <f>IF(O84&gt;0,O84,((P84*2.2046*S84)+(Q84+R84+T84)/G84)+V84+W84)</f>
        <v>35.166612257040413</v>
      </c>
      <c r="Z84" s="3">
        <f>Y84*F84</f>
        <v>688789.02230868465</v>
      </c>
      <c r="AA84" s="44">
        <v>43122</v>
      </c>
      <c r="AB84" s="3"/>
      <c r="AC84" s="3"/>
    </row>
    <row r="85" spans="1:29" x14ac:dyDescent="0.25">
      <c r="A85" s="113"/>
      <c r="B85" s="34" t="s">
        <v>1105</v>
      </c>
      <c r="C85" s="35" t="s">
        <v>343</v>
      </c>
      <c r="D85" s="35" t="s">
        <v>1106</v>
      </c>
      <c r="E85" t="s">
        <v>1379</v>
      </c>
      <c r="F85" s="36">
        <v>901.7</v>
      </c>
      <c r="G85" s="38">
        <v>901.7</v>
      </c>
      <c r="H85" s="38">
        <f t="shared" si="14"/>
        <v>0</v>
      </c>
      <c r="I85" t="s">
        <v>1415</v>
      </c>
      <c r="K85" s="39"/>
      <c r="L85" s="39">
        <v>43127</v>
      </c>
      <c r="M85" s="35" t="s">
        <v>348</v>
      </c>
      <c r="N85" s="35"/>
      <c r="O85" s="22">
        <v>19</v>
      </c>
      <c r="P85" s="40"/>
      <c r="Q85" s="22"/>
      <c r="R85" s="22"/>
      <c r="S85" s="45"/>
      <c r="T85" s="43"/>
      <c r="V85" s="22"/>
      <c r="W85" s="22"/>
      <c r="X85" s="22">
        <f>IF(O85&gt;0,O85,((P85*2.2046*S85)+(Q85+R85)/G85)+V85)</f>
        <v>19</v>
      </c>
      <c r="Y85" s="22">
        <f>IF(O85&gt;0,O85,((P85*2.2046*S85)+(Q85+R85+T85)/G85)+V85+W85)</f>
        <v>19</v>
      </c>
      <c r="Z85" s="3">
        <f>Y85*F85</f>
        <v>17132.3</v>
      </c>
      <c r="AA85" s="44">
        <v>43137</v>
      </c>
      <c r="AB85" s="3"/>
      <c r="AC85" s="3"/>
    </row>
    <row r="86" spans="1:29" ht="15.75" thickBot="1" x14ac:dyDescent="0.3">
      <c r="A86" s="114"/>
      <c r="B86" s="49"/>
      <c r="C86" s="23"/>
      <c r="D86" s="23"/>
      <c r="E86" s="23"/>
      <c r="F86" s="50"/>
      <c r="G86" s="50"/>
      <c r="H86" s="50"/>
      <c r="I86" s="26"/>
      <c r="J86" s="23"/>
      <c r="K86" s="27"/>
      <c r="L86" s="27"/>
      <c r="M86" s="23"/>
      <c r="N86" s="23"/>
      <c r="O86" s="28"/>
      <c r="P86" s="29"/>
      <c r="Q86" s="28"/>
      <c r="R86" s="28"/>
      <c r="S86" s="28"/>
      <c r="T86" s="28"/>
      <c r="U86" s="28"/>
      <c r="V86" s="28"/>
      <c r="W86" s="28"/>
      <c r="X86" s="28"/>
      <c r="Y86" s="28"/>
      <c r="Z86" s="32"/>
      <c r="AA86" s="51"/>
      <c r="AB86" s="3"/>
      <c r="AC86" s="3"/>
    </row>
    <row r="87" spans="1:29" x14ac:dyDescent="0.25">
      <c r="A87" s="122"/>
      <c r="B87" s="53" t="s">
        <v>340</v>
      </c>
      <c r="C87" s="53" t="s">
        <v>341</v>
      </c>
      <c r="D87" s="54" t="s">
        <v>1383</v>
      </c>
      <c r="E87" s="53">
        <f>250+10</f>
        <v>260</v>
      </c>
      <c r="F87" s="55">
        <f>29005+1120</f>
        <v>30125</v>
      </c>
      <c r="G87" s="56">
        <f>12140+12040</f>
        <v>24180</v>
      </c>
      <c r="H87" s="38">
        <f t="shared" ref="H87:H95" si="16">G87-F87</f>
        <v>-5945</v>
      </c>
      <c r="I87" s="57" t="s">
        <v>1384</v>
      </c>
      <c r="J87" s="53"/>
      <c r="K87" s="58"/>
      <c r="L87" s="58">
        <v>43128</v>
      </c>
      <c r="M87" s="54" t="s">
        <v>349</v>
      </c>
      <c r="N87" s="53"/>
      <c r="O87" s="59">
        <v>29.5</v>
      </c>
      <c r="P87" s="60"/>
      <c r="Q87" s="61">
        <v>19800</v>
      </c>
      <c r="R87" s="59">
        <f>65*E87</f>
        <v>16900</v>
      </c>
      <c r="S87" s="59">
        <f>-38*E87</f>
        <v>-9880</v>
      </c>
      <c r="T87" s="138">
        <f>X87*F87*0.0045</f>
        <v>5139.9800131823822</v>
      </c>
      <c r="U87" s="59">
        <f>E87*5</f>
        <v>1300</v>
      </c>
      <c r="V87" s="53"/>
      <c r="W87" s="59">
        <v>0.3</v>
      </c>
      <c r="X87" s="59">
        <f>((O87*F87)+Q87+R87+S87+U87)/G87</f>
        <v>37.915942928039705</v>
      </c>
      <c r="Y87" s="63">
        <f>((O87*F87)+Q87+R87+S87+T87+U87)/G87+W87</f>
        <v>38.428514475317712</v>
      </c>
      <c r="Z87" s="63">
        <f>Y87*G87</f>
        <v>929201.48001318227</v>
      </c>
      <c r="AA87" s="64">
        <v>43143</v>
      </c>
      <c r="AB87" s="3"/>
      <c r="AC87" s="3" t="s">
        <v>1388</v>
      </c>
    </row>
    <row r="88" spans="1:29" x14ac:dyDescent="0.25">
      <c r="A88" s="123"/>
      <c r="B88" s="34" t="s">
        <v>340</v>
      </c>
      <c r="C88" t="s">
        <v>341</v>
      </c>
      <c r="D88" s="35" t="s">
        <v>1389</v>
      </c>
      <c r="E88">
        <v>130</v>
      </c>
      <c r="F88" s="36">
        <v>14320</v>
      </c>
      <c r="G88" s="38">
        <v>11320</v>
      </c>
      <c r="H88" s="38">
        <f t="shared" si="16"/>
        <v>-3000</v>
      </c>
      <c r="I88" s="35" t="s">
        <v>1390</v>
      </c>
      <c r="K88" s="39"/>
      <c r="L88" s="39">
        <v>43129</v>
      </c>
      <c r="M88" s="35" t="s">
        <v>350</v>
      </c>
      <c r="O88" s="22">
        <v>29.5</v>
      </c>
      <c r="P88" s="40"/>
      <c r="Q88" s="111">
        <v>15700</v>
      </c>
      <c r="R88" s="22">
        <f>65*E88</f>
        <v>8450</v>
      </c>
      <c r="S88" s="43">
        <f>-38*E88</f>
        <v>-4940</v>
      </c>
      <c r="T88" s="137">
        <f>X88*F88*0.0045</f>
        <v>2517.8279151943461</v>
      </c>
      <c r="U88" s="22">
        <f>E88*5</f>
        <v>650</v>
      </c>
      <c r="W88" s="22">
        <v>0.3</v>
      </c>
      <c r="X88" s="22">
        <f>((O88*F88)+Q88+R88+S88+U88)/G88</f>
        <v>39.072438162544167</v>
      </c>
      <c r="Y88" s="22">
        <f>((O88*F88)+Q88+R88+S88+T88+U88)/G88+W88</f>
        <v>39.594861123250382</v>
      </c>
      <c r="Z88" s="3">
        <f>Y88*G88</f>
        <v>448213.82791519433</v>
      </c>
      <c r="AA88" s="44">
        <v>43143</v>
      </c>
      <c r="AB88" s="3"/>
      <c r="AC88" s="119" t="s">
        <v>775</v>
      </c>
    </row>
    <row r="89" spans="1:29" x14ac:dyDescent="0.25">
      <c r="A89" s="123"/>
      <c r="B89" s="34" t="s">
        <v>328</v>
      </c>
      <c r="C89" t="s">
        <v>329</v>
      </c>
      <c r="D89" s="35" t="s">
        <v>329</v>
      </c>
      <c r="E89" t="s">
        <v>1021</v>
      </c>
      <c r="F89" s="36">
        <f>41396*0.4536</f>
        <v>18777.225600000002</v>
      </c>
      <c r="G89" s="38">
        <v>18658.04</v>
      </c>
      <c r="H89" s="38">
        <f t="shared" si="16"/>
        <v>-119.1856000000007</v>
      </c>
      <c r="I89" s="35" t="s">
        <v>1151</v>
      </c>
      <c r="J89" s="5" t="s">
        <v>1022</v>
      </c>
      <c r="K89" s="39">
        <v>43129</v>
      </c>
      <c r="L89" s="39">
        <v>43130</v>
      </c>
      <c r="M89" s="35" t="s">
        <v>355</v>
      </c>
      <c r="N89" s="35" t="s">
        <v>1162</v>
      </c>
      <c r="O89" s="22"/>
      <c r="P89" s="40">
        <f>0.7082+0.095</f>
        <v>0.80320000000000003</v>
      </c>
      <c r="Q89" s="111">
        <v>23000</v>
      </c>
      <c r="R89" s="120">
        <v>9500</v>
      </c>
      <c r="S89" s="45">
        <v>18.681000000000001</v>
      </c>
      <c r="T89" s="137">
        <f>X89*F89*0.005</f>
        <v>3280.4725441593787</v>
      </c>
      <c r="V89" s="22">
        <v>0.12</v>
      </c>
      <c r="W89" s="22">
        <v>0.3</v>
      </c>
      <c r="X89" s="22">
        <f>IF(O89&gt;0,O89,((P89*2.2046*S89)+(Q89+R89)/G89)+V89)</f>
        <v>34.940971728638957</v>
      </c>
      <c r="Y89" s="22">
        <f>IF(O89&gt;0,O89,((P89*2.2046*S89)+(Q89+R89+T89)/G89)+V89+W89)</f>
        <v>35.416792583571166</v>
      </c>
      <c r="Z89" s="3">
        <f>Y89*F89</f>
        <v>665029.10437012266</v>
      </c>
      <c r="AA89" s="44">
        <v>43140</v>
      </c>
      <c r="AB89" s="3"/>
      <c r="AC89" s="119"/>
    </row>
    <row r="90" spans="1:29" x14ac:dyDescent="0.25">
      <c r="A90" s="123"/>
      <c r="B90" s="34" t="s">
        <v>328</v>
      </c>
      <c r="C90" t="s">
        <v>336</v>
      </c>
      <c r="D90" s="35" t="s">
        <v>336</v>
      </c>
      <c r="E90" t="s">
        <v>1021</v>
      </c>
      <c r="F90" s="36">
        <f>41265*0.4536</f>
        <v>18717.804</v>
      </c>
      <c r="G90" s="38">
        <v>18701.5</v>
      </c>
      <c r="H90" s="38">
        <f t="shared" si="16"/>
        <v>-16.304000000000087</v>
      </c>
      <c r="I90" s="35" t="s">
        <v>1081</v>
      </c>
      <c r="J90" s="5" t="s">
        <v>1022</v>
      </c>
      <c r="K90" s="39">
        <v>43129</v>
      </c>
      <c r="L90" s="39">
        <v>43130</v>
      </c>
      <c r="M90" s="35" t="s">
        <v>355</v>
      </c>
      <c r="N90" s="35" t="s">
        <v>1162</v>
      </c>
      <c r="O90" s="22"/>
      <c r="P90" s="40">
        <f>0.7082+0.095</f>
        <v>0.80320000000000003</v>
      </c>
      <c r="Q90" s="111">
        <v>23000</v>
      </c>
      <c r="R90" s="22">
        <v>9400</v>
      </c>
      <c r="S90" s="45">
        <v>18.777000000000001</v>
      </c>
      <c r="T90" s="137">
        <f>X90*F90*0.005</f>
        <v>3285.1212737016854</v>
      </c>
      <c r="V90" s="22">
        <v>0.12</v>
      </c>
      <c r="W90" s="22">
        <v>0.3</v>
      </c>
      <c r="X90" s="22">
        <f>IF(O90&gt;0,O90,((P90*2.2046*S90)+(Q90+R90)/G90)+V90)</f>
        <v>35.10156718920323</v>
      </c>
      <c r="Y90" s="22">
        <f>IF(O90&gt;0,O90,((P90*2.2046*S90)+(Q90+R90+T90)/G90)+V90+W90)</f>
        <v>35.577228033183751</v>
      </c>
      <c r="Z90" s="3">
        <f>Y90*F90</f>
        <v>665927.58118843893</v>
      </c>
      <c r="AA90" s="44">
        <v>43123</v>
      </c>
      <c r="AB90" s="3"/>
      <c r="AC90" s="119"/>
    </row>
    <row r="91" spans="1:29" x14ac:dyDescent="0.25">
      <c r="A91" s="123"/>
      <c r="B91" s="34" t="s">
        <v>328</v>
      </c>
      <c r="C91" t="s">
        <v>336</v>
      </c>
      <c r="D91" s="35" t="s">
        <v>1129</v>
      </c>
      <c r="E91" t="s">
        <v>1021</v>
      </c>
      <c r="F91" s="36">
        <f>41591*0.4536</f>
        <v>18865.677599999999</v>
      </c>
      <c r="G91" s="38">
        <v>18928.599999999999</v>
      </c>
      <c r="H91" s="38">
        <f t="shared" si="16"/>
        <v>62.92239999999947</v>
      </c>
      <c r="I91" s="35" t="s">
        <v>1155</v>
      </c>
      <c r="J91" s="5" t="s">
        <v>1022</v>
      </c>
      <c r="K91" s="39">
        <v>43129</v>
      </c>
      <c r="L91" s="39">
        <v>43130</v>
      </c>
      <c r="M91" s="35" t="s">
        <v>355</v>
      </c>
      <c r="N91" s="35" t="s">
        <v>1161</v>
      </c>
      <c r="O91" s="22"/>
      <c r="P91" s="40">
        <f>0.7082+0.105</f>
        <v>0.81320000000000003</v>
      </c>
      <c r="Q91" s="111">
        <v>23000</v>
      </c>
      <c r="R91" s="22">
        <v>9400</v>
      </c>
      <c r="S91" s="45">
        <v>18.617999999999999</v>
      </c>
      <c r="T91" s="137">
        <f>X91*F91*0.005</f>
        <v>3321.2730142869354</v>
      </c>
      <c r="V91" s="22">
        <v>0.12</v>
      </c>
      <c r="W91" s="22">
        <v>0.3</v>
      </c>
      <c r="X91" s="22">
        <f>IF(O91&gt;0,O91,((P91*2.2046*S91)+(Q91+R91)/G91)+V91)</f>
        <v>35.209686974476185</v>
      </c>
      <c r="Y91" s="22">
        <f>IF(O91&gt;0,O91,((P91*2.2046*S91)+(Q91+R91+T91)/G91)+V91+W91)</f>
        <v>35.685150189626107</v>
      </c>
      <c r="Z91" s="3">
        <f>Y91*F91</f>
        <v>673224.53858506493</v>
      </c>
      <c r="AA91" s="44">
        <v>43130</v>
      </c>
      <c r="AB91" s="3"/>
      <c r="AC91" s="119"/>
    </row>
    <row r="92" spans="1:29" x14ac:dyDescent="0.25">
      <c r="A92" s="123"/>
      <c r="B92" s="34" t="s">
        <v>340</v>
      </c>
      <c r="C92" t="s">
        <v>341</v>
      </c>
      <c r="D92" s="35" t="s">
        <v>1244</v>
      </c>
      <c r="E92">
        <v>200</v>
      </c>
      <c r="F92" s="36">
        <v>22305</v>
      </c>
      <c r="G92" s="38">
        <f>11460+6140</f>
        <v>17600</v>
      </c>
      <c r="H92" s="38">
        <f t="shared" si="16"/>
        <v>-4705</v>
      </c>
      <c r="I92" s="35" t="s">
        <v>1401</v>
      </c>
      <c r="K92" s="39"/>
      <c r="L92" s="39">
        <v>43130</v>
      </c>
      <c r="M92" s="35" t="s">
        <v>355</v>
      </c>
      <c r="O92" s="22">
        <v>29.5</v>
      </c>
      <c r="P92" s="40"/>
      <c r="Q92" s="47">
        <v>19800</v>
      </c>
      <c r="R92" s="22">
        <f>65*E92</f>
        <v>13000</v>
      </c>
      <c r="S92" s="43">
        <f>-38*E92</f>
        <v>-7600</v>
      </c>
      <c r="T92" s="137">
        <f>X92*F92*0.005</f>
        <v>4335.5185333806821</v>
      </c>
      <c r="U92" s="22">
        <f>E92*5</f>
        <v>1000</v>
      </c>
      <c r="W92" s="22">
        <v>0.1</v>
      </c>
      <c r="X92" s="22">
        <f>((O92*F92)+Q92+R92+S92+U92)/G92</f>
        <v>38.874857954545455</v>
      </c>
      <c r="Y92" s="22">
        <f>((O92*F92)+Q92+R92+S92+T92+U92)/G92+W92</f>
        <v>39.221194234851176</v>
      </c>
      <c r="Z92" s="3">
        <f>Y92*G92</f>
        <v>690293.0185333807</v>
      </c>
      <c r="AA92" s="44">
        <v>43143</v>
      </c>
      <c r="AB92" s="3"/>
      <c r="AC92" s="119" t="s">
        <v>1403</v>
      </c>
    </row>
    <row r="93" spans="1:29" x14ac:dyDescent="0.25">
      <c r="A93" s="123"/>
      <c r="B93" s="34" t="s">
        <v>328</v>
      </c>
      <c r="C93" s="35" t="s">
        <v>336</v>
      </c>
      <c r="D93" s="35" t="s">
        <v>336</v>
      </c>
      <c r="E93" t="s">
        <v>1021</v>
      </c>
      <c r="F93" s="36">
        <f>40974*0.4536</f>
        <v>18585.806400000001</v>
      </c>
      <c r="G93" s="38">
        <v>18520.599999999999</v>
      </c>
      <c r="H93" s="38">
        <f t="shared" si="16"/>
        <v>-65.206400000002759</v>
      </c>
      <c r="I93" s="35" t="s">
        <v>1082</v>
      </c>
      <c r="J93" s="5" t="s">
        <v>1089</v>
      </c>
      <c r="K93" s="39">
        <v>43130</v>
      </c>
      <c r="L93" s="39">
        <v>43131</v>
      </c>
      <c r="M93" s="35" t="s">
        <v>331</v>
      </c>
      <c r="N93" s="35" t="s">
        <v>1160</v>
      </c>
      <c r="O93" s="22"/>
      <c r="P93" s="40">
        <f>0.6937+0.095</f>
        <v>0.78869999999999996</v>
      </c>
      <c r="Q93" s="111">
        <v>23000</v>
      </c>
      <c r="R93" s="22">
        <v>9400</v>
      </c>
      <c r="S93" s="45">
        <v>18.777000000000001</v>
      </c>
      <c r="T93" s="137">
        <f>X93*F93*0.005</f>
        <v>3207.7476033099774</v>
      </c>
      <c r="V93" s="22">
        <v>0.12</v>
      </c>
      <c r="W93" s="22">
        <v>0.3</v>
      </c>
      <c r="X93" s="22">
        <f>IF(O93&gt;0,O93,((P93*2.2046*S93)+(Q93+R93)/G93)+V93)</f>
        <v>34.518250478601537</v>
      </c>
      <c r="Y93" s="22">
        <f>IF(O93&gt;0,O93,((P93*2.2046*S93)+(Q93+R93+T93)/G93)+V93+W93)</f>
        <v>34.991449381623575</v>
      </c>
      <c r="Z93" s="3">
        <f>Y93*F93</f>
        <v>650344.30386225553</v>
      </c>
      <c r="AA93" s="44">
        <v>43124</v>
      </c>
      <c r="AB93" s="3"/>
      <c r="AC93" s="119"/>
    </row>
    <row r="94" spans="1:29" x14ac:dyDescent="0.25">
      <c r="A94" s="123"/>
      <c r="B94" s="34" t="s">
        <v>340</v>
      </c>
      <c r="C94" t="s">
        <v>341</v>
      </c>
      <c r="D94" s="35" t="s">
        <v>1244</v>
      </c>
      <c r="E94">
        <v>200</v>
      </c>
      <c r="F94" s="36">
        <v>22160</v>
      </c>
      <c r="G94" s="38">
        <f>11510+6220</f>
        <v>17730</v>
      </c>
      <c r="H94" s="38">
        <f t="shared" si="16"/>
        <v>-4430</v>
      </c>
      <c r="I94" s="35" t="s">
        <v>1419</v>
      </c>
      <c r="K94" s="39"/>
      <c r="L94" s="39">
        <v>43131</v>
      </c>
      <c r="M94" s="35" t="s">
        <v>331</v>
      </c>
      <c r="O94" s="22">
        <v>29.5</v>
      </c>
      <c r="P94" s="40"/>
      <c r="Q94" s="111">
        <v>19800</v>
      </c>
      <c r="R94" s="22">
        <f>65*E94</f>
        <v>13000</v>
      </c>
      <c r="S94" s="43">
        <f>-38*E94</f>
        <v>-7600</v>
      </c>
      <c r="T94" s="137">
        <f>X94*F94*0.0045</f>
        <v>3824.1185786802025</v>
      </c>
      <c r="U94" s="22">
        <f>E94*5</f>
        <v>1000</v>
      </c>
      <c r="W94" s="22">
        <v>0.3</v>
      </c>
      <c r="X94" s="22">
        <f>((O94*F94)+Q94+R94+S94+U94)/G94</f>
        <v>38.348561759729272</v>
      </c>
      <c r="Y94" s="22">
        <f>((O94*F94)+Q94+R94+S94+T94+U94)/G94+W94</f>
        <v>38.864248086783988</v>
      </c>
      <c r="Z94" s="3">
        <f>Y94*G94</f>
        <v>689063.11857868009</v>
      </c>
      <c r="AA94" s="44">
        <v>43144</v>
      </c>
      <c r="AB94" s="3"/>
      <c r="AC94" s="119" t="s">
        <v>1429</v>
      </c>
    </row>
    <row r="95" spans="1:29" x14ac:dyDescent="0.25">
      <c r="A95" s="123"/>
      <c r="B95" s="34" t="s">
        <v>1063</v>
      </c>
      <c r="C95" t="s">
        <v>1424</v>
      </c>
      <c r="D95" s="35" t="s">
        <v>1106</v>
      </c>
      <c r="E95" t="s">
        <v>1358</v>
      </c>
      <c r="F95" s="36">
        <v>2017.06</v>
      </c>
      <c r="G95" s="38">
        <v>2017.06</v>
      </c>
      <c r="H95" s="38">
        <f t="shared" si="16"/>
        <v>0</v>
      </c>
      <c r="I95" s="35" t="s">
        <v>1422</v>
      </c>
      <c r="K95" s="39"/>
      <c r="L95" s="39">
        <v>43131</v>
      </c>
      <c r="M95" s="35" t="s">
        <v>331</v>
      </c>
      <c r="O95" s="22">
        <v>88</v>
      </c>
      <c r="P95" s="40"/>
      <c r="Q95" s="22"/>
      <c r="R95" s="22"/>
      <c r="S95" s="43"/>
      <c r="T95" s="43"/>
      <c r="U95" s="22"/>
      <c r="W95" s="22"/>
      <c r="X95" s="22">
        <f>IF(O95&gt;0,O95,((P95*2.2046*S95)+(Q95+R90)/G95)+V95)</f>
        <v>88</v>
      </c>
      <c r="Y95" s="22">
        <f>IF(O95&gt;0,O95,((P95*2.2046*S95)+(Q95+R92+T95)/G95)+V95+W95)</f>
        <v>88</v>
      </c>
      <c r="Z95" s="3">
        <f>Y95*F95</f>
        <v>177501.28</v>
      </c>
      <c r="AA95" s="44">
        <v>43138</v>
      </c>
      <c r="AB95" s="3"/>
      <c r="AC95" s="119"/>
    </row>
    <row r="96" spans="1:29" ht="15.75" thickBot="1" x14ac:dyDescent="0.3">
      <c r="A96" s="124"/>
      <c r="B96" s="49"/>
      <c r="C96" s="23"/>
      <c r="D96" s="23"/>
      <c r="E96" s="23"/>
      <c r="F96" s="50"/>
      <c r="G96" s="50"/>
      <c r="H96" s="50"/>
      <c r="I96" s="26"/>
      <c r="J96" s="23"/>
      <c r="K96" s="27"/>
      <c r="L96" s="27"/>
      <c r="M96" s="23"/>
      <c r="N96" s="23"/>
      <c r="O96" s="28"/>
      <c r="P96" s="29"/>
      <c r="Q96" s="28"/>
      <c r="R96" s="28"/>
      <c r="S96" s="28"/>
      <c r="T96" s="28"/>
      <c r="U96" s="28"/>
      <c r="V96" s="28"/>
      <c r="W96" s="28"/>
      <c r="X96" s="28"/>
      <c r="Y96" s="28"/>
      <c r="Z96" s="32"/>
      <c r="AA96" s="51"/>
      <c r="AB96" s="3"/>
      <c r="AC96" s="119"/>
    </row>
    <row r="97" spans="29:29" x14ac:dyDescent="0.25">
      <c r="AC97" s="119"/>
    </row>
    <row r="98" spans="29:29" x14ac:dyDescent="0.25">
      <c r="AC98" s="119"/>
    </row>
    <row r="99" spans="29:29" x14ac:dyDescent="0.25">
      <c r="AC99" s="119"/>
    </row>
  </sheetData>
  <pageMargins left="0.7" right="0.7" top="0.75" bottom="0.75" header="0.3" footer="0.3"/>
  <pageSetup orientation="portrait" horizontalDpi="4294967293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AC80"/>
  <sheetViews>
    <sheetView topLeftCell="A46" zoomScale="80" zoomScaleNormal="80" workbookViewId="0">
      <selection activeCell="O43" sqref="O43"/>
    </sheetView>
  </sheetViews>
  <sheetFormatPr baseColWidth="10" defaultRowHeight="15" x14ac:dyDescent="0.25"/>
  <cols>
    <col min="1" max="1" width="3" customWidth="1"/>
    <col min="2" max="2" width="17.140625" customWidth="1"/>
    <col min="3" max="3" width="12.7109375" customWidth="1"/>
    <col min="4" max="4" width="21.5703125" bestFit="1" customWidth="1"/>
    <col min="8" max="8" width="9.140625" customWidth="1"/>
    <col min="9" max="9" width="12.7109375" customWidth="1"/>
    <col min="13" max="13" width="4.85546875" customWidth="1"/>
    <col min="14" max="14" width="9.28515625" customWidth="1"/>
    <col min="22" max="22" width="7" customWidth="1"/>
    <col min="24" max="24" width="0" hidden="1" customWidth="1"/>
    <col min="26" max="26" width="15" customWidth="1"/>
    <col min="28" max="28" width="13.42578125" bestFit="1" customWidth="1"/>
  </cols>
  <sheetData>
    <row r="2" spans="1:29" x14ac:dyDescent="0.25">
      <c r="A2" s="21" t="s">
        <v>1264</v>
      </c>
      <c r="S2" s="22"/>
      <c r="W2" s="22"/>
      <c r="Z2" s="3"/>
    </row>
    <row r="3" spans="1:29" ht="30.75" thickBot="1" x14ac:dyDescent="0.3">
      <c r="A3" s="23"/>
      <c r="B3" s="23" t="s">
        <v>303</v>
      </c>
      <c r="C3" s="23" t="s">
        <v>304</v>
      </c>
      <c r="D3" s="23" t="s">
        <v>305</v>
      </c>
      <c r="E3" s="23" t="s">
        <v>306</v>
      </c>
      <c r="F3" s="24" t="s">
        <v>307</v>
      </c>
      <c r="G3" s="24" t="s">
        <v>308</v>
      </c>
      <c r="H3" s="25" t="s">
        <v>309</v>
      </c>
      <c r="I3" s="26" t="s">
        <v>310</v>
      </c>
      <c r="J3" s="23" t="s">
        <v>311</v>
      </c>
      <c r="K3" s="27" t="s">
        <v>312</v>
      </c>
      <c r="L3" s="27" t="s">
        <v>313</v>
      </c>
      <c r="M3" s="23" t="s">
        <v>314</v>
      </c>
      <c r="N3" s="23" t="s">
        <v>315</v>
      </c>
      <c r="O3" s="28" t="s">
        <v>316</v>
      </c>
      <c r="P3" s="29" t="s">
        <v>317</v>
      </c>
      <c r="Q3" s="28" t="s">
        <v>318</v>
      </c>
      <c r="R3" s="30" t="s">
        <v>319</v>
      </c>
      <c r="S3" s="30" t="s">
        <v>320</v>
      </c>
      <c r="T3" s="31" t="s">
        <v>321</v>
      </c>
      <c r="U3" s="28" t="s">
        <v>322</v>
      </c>
      <c r="V3" s="28" t="s">
        <v>323</v>
      </c>
      <c r="W3" s="31" t="s">
        <v>324</v>
      </c>
      <c r="X3" s="28" t="s">
        <v>325</v>
      </c>
      <c r="Y3" s="28" t="s">
        <v>326</v>
      </c>
      <c r="Z3" s="32" t="s">
        <v>327</v>
      </c>
      <c r="AA3" s="28"/>
    </row>
    <row r="4" spans="1:29" x14ac:dyDescent="0.25">
      <c r="A4" s="123"/>
      <c r="B4" s="34" t="s">
        <v>328</v>
      </c>
      <c r="C4" s="35" t="s">
        <v>343</v>
      </c>
      <c r="D4" s="35" t="s">
        <v>343</v>
      </c>
      <c r="E4" t="s">
        <v>1040</v>
      </c>
      <c r="F4" s="36">
        <f>42321*0.4536</f>
        <v>19196.8056</v>
      </c>
      <c r="G4" s="38">
        <v>19168.72</v>
      </c>
      <c r="H4" s="38">
        <f t="shared" ref="H4:H12" si="0">G4-F4</f>
        <v>-28.085599999998522</v>
      </c>
      <c r="I4" t="s">
        <v>1156</v>
      </c>
      <c r="J4" s="5" t="s">
        <v>1022</v>
      </c>
      <c r="K4" s="39">
        <v>43131</v>
      </c>
      <c r="L4" s="39">
        <v>43132</v>
      </c>
      <c r="M4" s="35" t="s">
        <v>342</v>
      </c>
      <c r="N4" s="35" t="s">
        <v>1163</v>
      </c>
      <c r="O4" s="22"/>
      <c r="P4" s="40">
        <f>0.6918+0.105</f>
        <v>0.79679999999999995</v>
      </c>
      <c r="Q4" s="111">
        <v>23000</v>
      </c>
      <c r="R4" s="22">
        <v>9400</v>
      </c>
      <c r="S4" s="45">
        <v>18.760000000000002</v>
      </c>
      <c r="T4" s="137">
        <f>X4*F4*0.0045</f>
        <v>3003.1568645869497</v>
      </c>
      <c r="V4" s="22">
        <v>0.12</v>
      </c>
      <c r="W4" s="22">
        <v>0.3</v>
      </c>
      <c r="X4" s="22">
        <f>IF(O4&gt;0,O4,((P4*2.2046*S4)+(Q4+R4)/G4)+V4)</f>
        <v>34.76454395779438</v>
      </c>
      <c r="Y4" s="22">
        <f>IF(O4&gt;0,O4,((P4*2.2046*S4)+(Q4+R4+T4)/G4)+V4+W4)</f>
        <v>35.22121361881436</v>
      </c>
      <c r="Z4" s="3">
        <f>Y4*F4</f>
        <v>676134.79083645181</v>
      </c>
      <c r="AA4" s="44">
        <v>43125</v>
      </c>
      <c r="AB4" s="3"/>
      <c r="AC4" s="119"/>
    </row>
    <row r="5" spans="1:29" x14ac:dyDescent="0.25">
      <c r="A5" s="123"/>
      <c r="B5" s="34" t="s">
        <v>340</v>
      </c>
      <c r="C5" t="s">
        <v>341</v>
      </c>
      <c r="D5" s="35" t="s">
        <v>1244</v>
      </c>
      <c r="E5">
        <v>198</v>
      </c>
      <c r="F5" s="36">
        <v>22660</v>
      </c>
      <c r="G5" s="38">
        <v>17990</v>
      </c>
      <c r="H5" s="38">
        <f t="shared" si="0"/>
        <v>-4670</v>
      </c>
      <c r="I5" t="s">
        <v>1441</v>
      </c>
      <c r="J5">
        <v>200</v>
      </c>
      <c r="K5" s="39"/>
      <c r="L5" s="39">
        <v>43132</v>
      </c>
      <c r="M5" s="35" t="s">
        <v>342</v>
      </c>
      <c r="O5" s="22">
        <v>29.5</v>
      </c>
      <c r="P5" s="40"/>
      <c r="Q5" s="111">
        <v>19800</v>
      </c>
      <c r="R5" s="22">
        <f>65*E5</f>
        <v>12870</v>
      </c>
      <c r="S5" s="131">
        <f>-38*E5</f>
        <v>-7524</v>
      </c>
      <c r="T5" s="43">
        <f>X5*F5*0.0045</f>
        <v>3937.1302846025569</v>
      </c>
      <c r="U5" s="22">
        <f>E5*5</f>
        <v>990</v>
      </c>
      <c r="W5" s="22">
        <v>0.3</v>
      </c>
      <c r="X5" s="22">
        <f>((O5*F5)+Q5+R5+S5+U5)/G5</f>
        <v>38.610672595886605</v>
      </c>
      <c r="Y5" s="22">
        <f>((O5*F5)+Q5+R5+S5+T5+U5)/G5+W5</f>
        <v>39.129523640055723</v>
      </c>
      <c r="Z5" s="3">
        <f>Y5*G5</f>
        <v>703940.1302846024</v>
      </c>
      <c r="AA5" s="44">
        <v>43145</v>
      </c>
      <c r="AB5" s="3"/>
      <c r="AC5" s="119"/>
    </row>
    <row r="6" spans="1:29" x14ac:dyDescent="0.25">
      <c r="A6" s="123"/>
      <c r="B6" s="34" t="s">
        <v>340</v>
      </c>
      <c r="C6" t="s">
        <v>341</v>
      </c>
      <c r="D6" s="35" t="s">
        <v>1047</v>
      </c>
      <c r="E6">
        <v>130</v>
      </c>
      <c r="F6" s="36">
        <v>14370</v>
      </c>
      <c r="G6" s="38">
        <v>11250</v>
      </c>
      <c r="H6" s="38">
        <f t="shared" si="0"/>
        <v>-3120</v>
      </c>
      <c r="I6" t="s">
        <v>1442</v>
      </c>
      <c r="J6">
        <v>128</v>
      </c>
      <c r="K6" s="39"/>
      <c r="L6" s="39">
        <v>43132</v>
      </c>
      <c r="M6" s="35" t="s">
        <v>342</v>
      </c>
      <c r="O6" s="22">
        <v>29.5</v>
      </c>
      <c r="P6" s="40"/>
      <c r="Q6" s="111">
        <v>15700</v>
      </c>
      <c r="R6" s="22">
        <f>65*E6</f>
        <v>8450</v>
      </c>
      <c r="S6" s="131">
        <f>-38*E6</f>
        <v>-4940</v>
      </c>
      <c r="T6" s="43">
        <f>X6*F6*0.0045</f>
        <v>2550.8186999999998</v>
      </c>
      <c r="U6" s="22">
        <f>E6*5</f>
        <v>650</v>
      </c>
      <c r="W6" s="22">
        <v>0.1</v>
      </c>
      <c r="X6" s="22">
        <f>((O6*F6)+Q6+R6+S6+U6)/G6</f>
        <v>39.446666666666665</v>
      </c>
      <c r="Y6" s="22">
        <f>((O6*F6)+Q6+R6+S6+T6+U6)/G6+W6</f>
        <v>39.77340610666667</v>
      </c>
      <c r="Z6" s="3">
        <f>Y6*G6</f>
        <v>447450.81870000006</v>
      </c>
      <c r="AA6" s="44">
        <v>43145</v>
      </c>
      <c r="AB6" s="3">
        <v>39.450000000000003</v>
      </c>
      <c r="AC6" s="119" t="s">
        <v>1447</v>
      </c>
    </row>
    <row r="7" spans="1:29" x14ac:dyDescent="0.25">
      <c r="A7" s="123"/>
      <c r="B7" s="34" t="s">
        <v>328</v>
      </c>
      <c r="C7" s="35" t="s">
        <v>329</v>
      </c>
      <c r="D7" s="35" t="s">
        <v>329</v>
      </c>
      <c r="E7" t="s">
        <v>1021</v>
      </c>
      <c r="F7" s="36">
        <f>42148*0.4536</f>
        <v>19118.3328</v>
      </c>
      <c r="G7" s="38">
        <v>19036.16</v>
      </c>
      <c r="H7" s="38">
        <f t="shared" si="0"/>
        <v>-82.172800000000279</v>
      </c>
      <c r="I7" t="s">
        <v>1157</v>
      </c>
      <c r="J7" s="5" t="s">
        <v>1022</v>
      </c>
      <c r="K7" s="39">
        <v>43132</v>
      </c>
      <c r="L7" s="39">
        <v>43133</v>
      </c>
      <c r="M7" s="35" t="s">
        <v>345</v>
      </c>
      <c r="N7" s="35" t="s">
        <v>1164</v>
      </c>
      <c r="O7" s="22"/>
      <c r="P7" s="40">
        <f>0.6918+0.095</f>
        <v>0.78679999999999994</v>
      </c>
      <c r="Q7" s="111">
        <v>23000</v>
      </c>
      <c r="R7" s="120">
        <v>9500</v>
      </c>
      <c r="S7" s="45">
        <v>18.721</v>
      </c>
      <c r="T7" s="43">
        <f>X7*F7*0.005</f>
        <v>3278.8261747643496</v>
      </c>
      <c r="V7" s="22">
        <v>0.12</v>
      </c>
      <c r="W7" s="22">
        <v>0.3</v>
      </c>
      <c r="X7" s="22">
        <f>IF(O7&gt;0,O7,((P7*2.2046*S7)+(Q7+R7)/G7)+V7)</f>
        <v>34.300335798782093</v>
      </c>
      <c r="Y7" s="22">
        <f>IF(O7&gt;0,O7,((P7*2.2046*S7)+(Q7+R7+T7)/G7)+V7+W7)</f>
        <v>34.772577793741384</v>
      </c>
      <c r="Z7" s="3">
        <f>Y7*F7</f>
        <v>664793.71457463759</v>
      </c>
      <c r="AA7" s="44">
        <v>43144</v>
      </c>
      <c r="AB7" s="3"/>
      <c r="AC7" s="119"/>
    </row>
    <row r="8" spans="1:29" x14ac:dyDescent="0.25">
      <c r="A8" s="123"/>
      <c r="B8" s="34" t="s">
        <v>340</v>
      </c>
      <c r="C8" t="s">
        <v>1301</v>
      </c>
      <c r="D8" s="35" t="s">
        <v>1301</v>
      </c>
      <c r="E8">
        <v>249</v>
      </c>
      <c r="F8" s="36">
        <v>22124.9</v>
      </c>
      <c r="G8" s="38">
        <v>22070</v>
      </c>
      <c r="H8" s="38">
        <f t="shared" si="0"/>
        <v>-54.900000000001455</v>
      </c>
      <c r="I8" s="35" t="s">
        <v>1446</v>
      </c>
      <c r="K8" s="39"/>
      <c r="L8" s="39">
        <v>43133</v>
      </c>
      <c r="M8" s="35" t="s">
        <v>345</v>
      </c>
      <c r="O8" s="22">
        <v>39.700000000000003</v>
      </c>
      <c r="P8" s="40"/>
      <c r="Q8" s="22"/>
      <c r="R8" s="22"/>
      <c r="S8" s="43"/>
      <c r="T8" s="43"/>
      <c r="U8" s="22"/>
      <c r="W8" s="22">
        <v>0.3</v>
      </c>
      <c r="X8" s="22">
        <f>((O8*F8)+Q8+R8+S8+U8)/G8</f>
        <v>39.798755323969196</v>
      </c>
      <c r="Y8" s="22">
        <f>((O8*F8)+Q8+R8+S8+T8+U8)/G8+W8</f>
        <v>40.098755323969193</v>
      </c>
      <c r="Z8" s="3">
        <f>Y8*G8</f>
        <v>884979.53000000014</v>
      </c>
      <c r="AA8" s="44">
        <v>43140</v>
      </c>
      <c r="AB8" s="3">
        <v>41.5</v>
      </c>
      <c r="AC8" s="3"/>
    </row>
    <row r="9" spans="1:29" x14ac:dyDescent="0.25">
      <c r="A9" s="123"/>
      <c r="B9" s="34" t="s">
        <v>340</v>
      </c>
      <c r="C9" t="s">
        <v>341</v>
      </c>
      <c r="D9" s="35" t="s">
        <v>1389</v>
      </c>
      <c r="E9">
        <v>130</v>
      </c>
      <c r="F9" s="36">
        <v>14195</v>
      </c>
      <c r="G9" s="38">
        <v>11280</v>
      </c>
      <c r="H9" s="38">
        <f t="shared" si="0"/>
        <v>-2915</v>
      </c>
      <c r="I9" s="35" t="s">
        <v>1466</v>
      </c>
      <c r="K9" s="39"/>
      <c r="L9" s="39">
        <v>43133</v>
      </c>
      <c r="M9" s="35" t="s">
        <v>345</v>
      </c>
      <c r="O9" s="22">
        <v>29.5</v>
      </c>
      <c r="P9" s="40"/>
      <c r="Q9" s="111">
        <v>15700</v>
      </c>
      <c r="R9" s="22">
        <f>65*E9</f>
        <v>8450</v>
      </c>
      <c r="S9" s="43">
        <f>-38*E9</f>
        <v>-4940</v>
      </c>
      <c r="T9" s="43">
        <f>X9*F9*0.0045</f>
        <v>2483.818259640957</v>
      </c>
      <c r="U9" s="22">
        <f>E9*5</f>
        <v>650</v>
      </c>
      <c r="W9" s="22">
        <v>0.2</v>
      </c>
      <c r="X9" s="22">
        <f>((O9*F9)+Q9+R9+S9+U9)/G9</f>
        <v>38.884086879432623</v>
      </c>
      <c r="Y9" s="22">
        <f>((O9*F9)+Q9+R9+S9+T9+U9)/G9+W9</f>
        <v>39.304283533656118</v>
      </c>
      <c r="Z9" s="3">
        <f>Y9*G9</f>
        <v>443352.318259641</v>
      </c>
      <c r="AA9" s="44">
        <v>43146</v>
      </c>
      <c r="AB9" s="3"/>
      <c r="AC9" s="119" t="s">
        <v>1471</v>
      </c>
    </row>
    <row r="10" spans="1:29" x14ac:dyDescent="0.25">
      <c r="A10" s="123"/>
      <c r="B10" s="34" t="s">
        <v>1501</v>
      </c>
      <c r="C10" t="s">
        <v>343</v>
      </c>
      <c r="D10" s="35" t="s">
        <v>1502</v>
      </c>
      <c r="E10" t="s">
        <v>1260</v>
      </c>
      <c r="F10" s="36">
        <v>1875.6</v>
      </c>
      <c r="G10" s="38">
        <v>1875.6</v>
      </c>
      <c r="H10" s="38">
        <f t="shared" si="0"/>
        <v>0</v>
      </c>
      <c r="I10" s="35" t="s">
        <v>1503</v>
      </c>
      <c r="K10" s="39"/>
      <c r="L10" s="39">
        <v>43133</v>
      </c>
      <c r="M10" s="35" t="s">
        <v>345</v>
      </c>
      <c r="O10" s="22">
        <v>19</v>
      </c>
      <c r="P10" s="40"/>
      <c r="Q10" s="22"/>
      <c r="R10" s="22"/>
      <c r="S10" s="43"/>
      <c r="T10" s="43"/>
      <c r="U10" s="22"/>
      <c r="W10" s="22"/>
      <c r="X10" s="22">
        <f>IF(O10&gt;0,O10,((P10*2.2046*S10)+(Q10+R10)/G10)+V10)</f>
        <v>19</v>
      </c>
      <c r="Y10" s="22">
        <f>IF(O10&gt;0,O10,((P10*2.2046*S10)+(Q10+R10+T10)/G10)+V10+W10)</f>
        <v>19</v>
      </c>
      <c r="Z10" s="3">
        <f>Y10*F10</f>
        <v>35636.400000000001</v>
      </c>
      <c r="AA10" s="44">
        <v>43140</v>
      </c>
      <c r="AB10" s="3"/>
      <c r="AC10" s="119"/>
    </row>
    <row r="11" spans="1:29" x14ac:dyDescent="0.25">
      <c r="A11" s="123"/>
      <c r="B11" s="34" t="s">
        <v>328</v>
      </c>
      <c r="C11" s="35" t="s">
        <v>343</v>
      </c>
      <c r="D11" s="35" t="s">
        <v>343</v>
      </c>
      <c r="E11" t="s">
        <v>1040</v>
      </c>
      <c r="F11" s="36">
        <f>42654*0.4536</f>
        <v>19347.8544</v>
      </c>
      <c r="G11" s="38">
        <v>19275.310000000001</v>
      </c>
      <c r="H11" s="38">
        <f t="shared" si="0"/>
        <v>-72.544399999998859</v>
      </c>
      <c r="I11" t="s">
        <v>1159</v>
      </c>
      <c r="J11" s="5" t="s">
        <v>1022</v>
      </c>
      <c r="K11" s="39">
        <v>43133</v>
      </c>
      <c r="L11" s="39">
        <v>43134</v>
      </c>
      <c r="M11" s="35" t="s">
        <v>348</v>
      </c>
      <c r="N11" s="35" t="s">
        <v>1166</v>
      </c>
      <c r="O11" s="22"/>
      <c r="P11" s="40">
        <f>0.6433+0.105</f>
        <v>0.74829999999999997</v>
      </c>
      <c r="Q11" s="111">
        <v>23000</v>
      </c>
      <c r="R11" s="22">
        <v>9400</v>
      </c>
      <c r="S11" s="45">
        <v>18.762</v>
      </c>
      <c r="T11" s="43">
        <f>X11*F11*0.005</f>
        <v>3168.4645296905383</v>
      </c>
      <c r="V11" s="22">
        <v>0.12</v>
      </c>
      <c r="W11" s="22">
        <v>0.3</v>
      </c>
      <c r="X11" s="22">
        <f>IF(O11&gt;0,O11,((P11*2.2046*S11)+(Q11+R11)/G11)+V11)</f>
        <v>32.752619119260459</v>
      </c>
      <c r="Y11" s="22">
        <f>IF(O11&gt;0,O11,((P11*2.2046*S11)+(Q11+R11+T11)/G11)+V11+W11)</f>
        <v>33.216998552311885</v>
      </c>
      <c r="Z11" s="3">
        <f>Y11*F11</f>
        <v>642677.65159514116</v>
      </c>
      <c r="AA11" s="44">
        <v>43129</v>
      </c>
      <c r="AB11" s="3"/>
      <c r="AC11" s="119"/>
    </row>
    <row r="12" spans="1:29" x14ac:dyDescent="0.25">
      <c r="A12" s="123"/>
      <c r="B12" s="34" t="s">
        <v>328</v>
      </c>
      <c r="C12" s="35" t="s">
        <v>329</v>
      </c>
      <c r="D12" s="35" t="s">
        <v>329</v>
      </c>
      <c r="E12" t="s">
        <v>1021</v>
      </c>
      <c r="F12" s="36">
        <f>42010*0.4536</f>
        <v>19055.736000000001</v>
      </c>
      <c r="G12" s="38">
        <v>19010.04</v>
      </c>
      <c r="H12" s="38">
        <f t="shared" si="0"/>
        <v>-45.695999999999913</v>
      </c>
      <c r="I12" t="s">
        <v>1158</v>
      </c>
      <c r="J12" s="5" t="s">
        <v>1023</v>
      </c>
      <c r="K12" s="39">
        <v>43133</v>
      </c>
      <c r="L12" s="39">
        <v>43136</v>
      </c>
      <c r="M12" s="35" t="s">
        <v>350</v>
      </c>
      <c r="N12" s="35" t="s">
        <v>1165</v>
      </c>
      <c r="O12" s="22"/>
      <c r="P12" s="40">
        <f>0.6715+0.095</f>
        <v>0.76649999999999996</v>
      </c>
      <c r="Q12" s="111">
        <v>23000</v>
      </c>
      <c r="R12" s="120">
        <v>9500</v>
      </c>
      <c r="S12" s="45">
        <v>18.683</v>
      </c>
      <c r="T12" s="43">
        <f>X12*F12*0.005</f>
        <v>3182.3689098634241</v>
      </c>
      <c r="V12" s="22">
        <v>0.12</v>
      </c>
      <c r="W12" s="22">
        <v>0.3</v>
      </c>
      <c r="X12" s="22">
        <f>IF(O12&gt;0,O12,((P12*2.2046*S12)+(Q12+R12)/G12)+V12)</f>
        <v>33.400640204749095</v>
      </c>
      <c r="Y12" s="22">
        <f>IF(O12&gt;0,O12,((P12*2.2046*S12)+(Q12+R12+T12)/G12)+V12+W12)</f>
        <v>33.868044845131934</v>
      </c>
      <c r="Z12" s="3">
        <f>Y12*F12</f>
        <v>645380.521404995</v>
      </c>
      <c r="AA12" s="44">
        <v>43145</v>
      </c>
      <c r="AB12" s="3"/>
      <c r="AC12" s="119"/>
    </row>
    <row r="13" spans="1:29" ht="15.75" thickBot="1" x14ac:dyDescent="0.3">
      <c r="A13" s="114"/>
      <c r="B13" s="49"/>
      <c r="C13" s="23"/>
      <c r="D13" s="23"/>
      <c r="E13" s="23"/>
      <c r="F13" s="50"/>
      <c r="G13" s="50"/>
      <c r="H13" s="50"/>
      <c r="I13" s="26"/>
      <c r="J13" s="23"/>
      <c r="K13" s="27"/>
      <c r="L13" s="27"/>
      <c r="M13" s="23"/>
      <c r="N13" s="23"/>
      <c r="O13" s="28"/>
      <c r="P13" s="29"/>
      <c r="Q13" s="28"/>
      <c r="R13" s="28"/>
      <c r="S13" s="28"/>
      <c r="T13" s="28"/>
      <c r="U13" s="28"/>
      <c r="V13" s="28"/>
      <c r="W13" s="28"/>
      <c r="X13" s="28"/>
      <c r="Y13" s="28"/>
      <c r="Z13" s="32"/>
      <c r="AA13" s="51"/>
      <c r="AB13" s="3"/>
      <c r="AC13" s="119"/>
    </row>
    <row r="14" spans="1:29" ht="15.75" thickTop="1" x14ac:dyDescent="0.25">
      <c r="A14" s="112"/>
      <c r="B14" s="53" t="s">
        <v>340</v>
      </c>
      <c r="C14" s="53" t="s">
        <v>341</v>
      </c>
      <c r="D14" s="54" t="s">
        <v>1389</v>
      </c>
      <c r="E14" s="53">
        <v>200</v>
      </c>
      <c r="F14" s="55">
        <v>24420</v>
      </c>
      <c r="G14" s="56">
        <v>19590</v>
      </c>
      <c r="H14" s="121">
        <f t="shared" ref="H14:H23" si="1">G14-F14</f>
        <v>-4830</v>
      </c>
      <c r="I14" s="57" t="s">
        <v>1485</v>
      </c>
      <c r="J14" s="53"/>
      <c r="K14" s="58"/>
      <c r="L14" s="58">
        <v>43135</v>
      </c>
      <c r="M14" s="54" t="s">
        <v>349</v>
      </c>
      <c r="N14" s="53"/>
      <c r="O14" s="59">
        <v>29</v>
      </c>
      <c r="P14" s="60"/>
      <c r="Q14" s="118">
        <v>19800</v>
      </c>
      <c r="R14" s="59">
        <f>65*E14</f>
        <v>13000</v>
      </c>
      <c r="S14" s="59">
        <f>-38*E14</f>
        <v>-7600</v>
      </c>
      <c r="T14" s="62">
        <f>X14*F14*0.0045</f>
        <v>4119.5006738131697</v>
      </c>
      <c r="U14" s="59">
        <f>E14*5</f>
        <v>1000</v>
      </c>
      <c r="V14" s="53"/>
      <c r="W14" s="59">
        <v>0.3</v>
      </c>
      <c r="X14" s="59">
        <f>((O14*F14)+Q14+R14+S14+U14)/G14</f>
        <v>37.487493619193465</v>
      </c>
      <c r="Y14" s="63">
        <f>((O14*F14)+Q14+R14+S14+T14+U14)/G14+W14</f>
        <v>37.997779513721959</v>
      </c>
      <c r="Z14" s="63">
        <f>Y14*G14</f>
        <v>744376.50067381316</v>
      </c>
      <c r="AA14" s="64">
        <v>43150</v>
      </c>
      <c r="AB14" s="3"/>
      <c r="AC14" s="3"/>
    </row>
    <row r="15" spans="1:29" x14ac:dyDescent="0.25">
      <c r="A15" s="113"/>
      <c r="B15" s="34" t="s">
        <v>340</v>
      </c>
      <c r="C15" t="s">
        <v>341</v>
      </c>
      <c r="D15" s="35" t="s">
        <v>1244</v>
      </c>
      <c r="E15">
        <v>130</v>
      </c>
      <c r="F15" s="36">
        <v>13345</v>
      </c>
      <c r="G15" s="38">
        <v>10740</v>
      </c>
      <c r="H15" s="38">
        <f t="shared" si="1"/>
        <v>-2605</v>
      </c>
      <c r="I15" s="35" t="s">
        <v>1486</v>
      </c>
      <c r="K15" s="39"/>
      <c r="L15" s="39">
        <v>43135</v>
      </c>
      <c r="M15" s="35" t="s">
        <v>349</v>
      </c>
      <c r="O15" s="22">
        <v>29</v>
      </c>
      <c r="P15" s="40"/>
      <c r="Q15" s="111">
        <v>15700</v>
      </c>
      <c r="R15" s="22">
        <f>65*E15</f>
        <v>8450</v>
      </c>
      <c r="S15" s="43">
        <f>-38*E15</f>
        <v>-4940</v>
      </c>
      <c r="T15" s="43">
        <f>X15*F15*0.0045</f>
        <v>2274.9776920391059</v>
      </c>
      <c r="U15" s="22">
        <f>E15*5</f>
        <v>650</v>
      </c>
      <c r="W15" s="22">
        <v>0.3</v>
      </c>
      <c r="X15" s="22">
        <f>((O15*F15)+Q15+R15+S15+U15)/G15</f>
        <v>37.883147113594042</v>
      </c>
      <c r="Y15" s="22">
        <f>((O15*F15)+Q15+R15+S15+T15+U15)/G15+W15</f>
        <v>38.394969989947775</v>
      </c>
      <c r="Z15" s="3">
        <f>Y15*G15</f>
        <v>412361.9776920391</v>
      </c>
      <c r="AA15" s="44">
        <v>43150</v>
      </c>
      <c r="AB15" s="3"/>
      <c r="AC15" s="3" t="s">
        <v>1499</v>
      </c>
    </row>
    <row r="16" spans="1:29" x14ac:dyDescent="0.25">
      <c r="A16" s="113"/>
      <c r="B16" s="34" t="s">
        <v>340</v>
      </c>
      <c r="C16" t="s">
        <v>341</v>
      </c>
      <c r="D16" s="35" t="s">
        <v>1244</v>
      </c>
      <c r="E16">
        <v>200</v>
      </c>
      <c r="F16" s="36">
        <v>23410</v>
      </c>
      <c r="G16" s="38">
        <f>12010+6500</f>
        <v>18510</v>
      </c>
      <c r="H16" s="38">
        <f t="shared" si="1"/>
        <v>-4900</v>
      </c>
      <c r="I16" t="s">
        <v>1492</v>
      </c>
      <c r="K16" s="39"/>
      <c r="L16" s="39">
        <v>43137</v>
      </c>
      <c r="M16" s="35" t="s">
        <v>355</v>
      </c>
      <c r="O16" s="22">
        <v>29</v>
      </c>
      <c r="P16" s="40"/>
      <c r="Q16" s="111">
        <v>19800</v>
      </c>
      <c r="R16" s="22">
        <f>65*E16</f>
        <v>13000</v>
      </c>
      <c r="S16" s="43">
        <f>-38*E16</f>
        <v>-7600</v>
      </c>
      <c r="T16" s="43">
        <f>X16*F16*0.005</f>
        <v>4458.7133711507295</v>
      </c>
      <c r="U16" s="22">
        <f>E16*5</f>
        <v>1000</v>
      </c>
      <c r="W16" s="22">
        <v>0.3</v>
      </c>
      <c r="X16" s="22">
        <f>((O16*F16)+Q16+R16+S16+U16)/G16</f>
        <v>38.092382495948137</v>
      </c>
      <c r="Y16" s="22">
        <f>((O16*F16)+Q16+R16+S16+T16+U16)/G16+W16</f>
        <v>38.633263823400902</v>
      </c>
      <c r="Z16" s="3">
        <f>Y16*G16</f>
        <v>715101.71337115066</v>
      </c>
      <c r="AA16" s="44">
        <v>43150</v>
      </c>
      <c r="AB16" s="3"/>
      <c r="AC16" s="119" t="s">
        <v>1500</v>
      </c>
    </row>
    <row r="17" spans="1:29" x14ac:dyDescent="0.25">
      <c r="A17" s="113"/>
      <c r="B17" s="34" t="s">
        <v>1507</v>
      </c>
      <c r="C17" t="s">
        <v>1508</v>
      </c>
      <c r="D17" s="35" t="s">
        <v>1106</v>
      </c>
      <c r="E17" t="s">
        <v>1505</v>
      </c>
      <c r="F17" s="36">
        <v>1501.32</v>
      </c>
      <c r="G17" s="38">
        <v>1501.32</v>
      </c>
      <c r="H17" s="38">
        <f t="shared" si="1"/>
        <v>0</v>
      </c>
      <c r="I17" t="s">
        <v>1506</v>
      </c>
      <c r="K17" s="39"/>
      <c r="L17" s="39">
        <v>43137</v>
      </c>
      <c r="M17" s="35" t="s">
        <v>355</v>
      </c>
      <c r="O17" s="22">
        <v>88</v>
      </c>
      <c r="P17" s="40"/>
      <c r="Q17" s="22"/>
      <c r="R17" s="22"/>
      <c r="S17" s="43"/>
      <c r="T17" s="43"/>
      <c r="U17" s="22"/>
      <c r="W17" s="22"/>
      <c r="X17" s="22">
        <f>IF(O17&gt;0,O17,((P17*2.2046*S17)+(Q17+R17)/G17)+V17)</f>
        <v>88</v>
      </c>
      <c r="Y17" s="22">
        <f>IF(O17&gt;0,O17,((P17*2.2046*S17)+(Q17+R17+T17)/G17)+V17+W17)</f>
        <v>88</v>
      </c>
      <c r="Z17" s="3">
        <f>Y17*F17</f>
        <v>132116.16</v>
      </c>
      <c r="AA17" s="44">
        <v>43144</v>
      </c>
      <c r="AB17" s="3"/>
      <c r="AC17" s="119"/>
    </row>
    <row r="18" spans="1:29" x14ac:dyDescent="0.25">
      <c r="A18" s="113"/>
      <c r="B18" s="34" t="s">
        <v>328</v>
      </c>
      <c r="C18" t="s">
        <v>336</v>
      </c>
      <c r="D18" s="35" t="s">
        <v>336</v>
      </c>
      <c r="E18" t="s">
        <v>1021</v>
      </c>
      <c r="F18" s="36">
        <f>41027*0.4536</f>
        <v>18609.8472</v>
      </c>
      <c r="G18" s="38">
        <v>18573.439999999999</v>
      </c>
      <c r="H18" s="38">
        <f t="shared" si="1"/>
        <v>-36.407200000001467</v>
      </c>
      <c r="I18" s="35" t="s">
        <v>1083</v>
      </c>
      <c r="J18" s="5" t="s">
        <v>1022</v>
      </c>
      <c r="K18" s="39">
        <v>43137</v>
      </c>
      <c r="L18" s="39">
        <v>43138</v>
      </c>
      <c r="M18" s="35" t="s">
        <v>331</v>
      </c>
      <c r="N18" s="35" t="s">
        <v>1431</v>
      </c>
      <c r="O18" s="22"/>
      <c r="P18" s="40">
        <f>0.621+0.095</f>
        <v>0.71599999999999997</v>
      </c>
      <c r="Q18" s="111">
        <v>23000</v>
      </c>
      <c r="R18" s="22">
        <v>9400</v>
      </c>
      <c r="S18" s="45">
        <v>18.518999999999998</v>
      </c>
      <c r="T18" s="43">
        <f>X18*F18*0.005</f>
        <v>2893.5101665313828</v>
      </c>
      <c r="V18" s="22">
        <v>0.12</v>
      </c>
      <c r="W18" s="22">
        <v>0.3</v>
      </c>
      <c r="X18" s="22">
        <f>IF(O18&gt;0,O18,((P18*2.2046*S18)+(Q18+R18)/G18)+V18)</f>
        <v>31.096549428212207</v>
      </c>
      <c r="Y18" s="22">
        <f>IF(O18&gt;0,O18,((P18*2.2046*S18)+(Q18+R18+T18)/G18)+V18+W18)</f>
        <v>31.55233694880782</v>
      </c>
      <c r="Z18" s="3">
        <f>Y18*F18</f>
        <v>587184.16942022776</v>
      </c>
      <c r="AA18" s="44">
        <v>43130</v>
      </c>
      <c r="AB18" s="3"/>
      <c r="AC18" s="119"/>
    </row>
    <row r="19" spans="1:29" x14ac:dyDescent="0.25">
      <c r="A19" s="113"/>
      <c r="B19" s="34" t="s">
        <v>328</v>
      </c>
      <c r="C19" t="s">
        <v>336</v>
      </c>
      <c r="D19" s="35" t="s">
        <v>336</v>
      </c>
      <c r="E19" t="s">
        <v>1021</v>
      </c>
      <c r="F19" s="36">
        <f>41746*0.4536</f>
        <v>18935.9856</v>
      </c>
      <c r="G19" s="38">
        <v>18868.990000000002</v>
      </c>
      <c r="H19" s="38">
        <f t="shared" si="1"/>
        <v>-66.995599999998376</v>
      </c>
      <c r="I19" s="35" t="s">
        <v>1084</v>
      </c>
      <c r="J19" s="5" t="s">
        <v>1089</v>
      </c>
      <c r="K19" s="39">
        <v>43137</v>
      </c>
      <c r="L19" s="39">
        <v>43138</v>
      </c>
      <c r="M19" s="35" t="s">
        <v>331</v>
      </c>
      <c r="N19" s="35" t="s">
        <v>1431</v>
      </c>
      <c r="O19" s="22"/>
      <c r="P19" s="40">
        <f>0.621+0.095</f>
        <v>0.71599999999999997</v>
      </c>
      <c r="Q19" s="111">
        <v>23000</v>
      </c>
      <c r="R19" s="22">
        <v>9400</v>
      </c>
      <c r="S19" s="45">
        <v>18.518999999999998</v>
      </c>
      <c r="T19" s="43">
        <f>X19*F19*0.005</f>
        <v>2941.6320819825801</v>
      </c>
      <c r="V19" s="22">
        <v>0.12</v>
      </c>
      <c r="W19" s="22">
        <v>0.3</v>
      </c>
      <c r="X19" s="22">
        <f>IF(O19&gt;0,O19,((P19*2.2046*S19)+(Q19+R19)/G19)+V19)</f>
        <v>31.069226013591603</v>
      </c>
      <c r="Y19" s="22">
        <f>IF(O19&gt;0,O19,((P19*2.2046*S19)+(Q19+R19+T19)/G19)+V19+W19)</f>
        <v>31.525123710393743</v>
      </c>
      <c r="Z19" s="3">
        <f>Y19*F19</f>
        <v>596959.28861823445</v>
      </c>
      <c r="AA19" s="44">
        <v>43130</v>
      </c>
      <c r="AB19" s="3"/>
      <c r="AC19" s="119"/>
    </row>
    <row r="20" spans="1:29" x14ac:dyDescent="0.25">
      <c r="A20" s="113"/>
      <c r="B20" s="34" t="s">
        <v>328</v>
      </c>
      <c r="C20" t="s">
        <v>336</v>
      </c>
      <c r="D20" s="35" t="s">
        <v>1129</v>
      </c>
      <c r="E20" t="s">
        <v>1021</v>
      </c>
      <c r="F20" s="36">
        <f>41439*0.4536</f>
        <v>18796.7304</v>
      </c>
      <c r="G20" s="38">
        <v>18699.87</v>
      </c>
      <c r="H20" s="38">
        <f t="shared" si="1"/>
        <v>-96.860400000001391</v>
      </c>
      <c r="I20" s="35" t="s">
        <v>1430</v>
      </c>
      <c r="J20" s="5" t="s">
        <v>1022</v>
      </c>
      <c r="K20" s="39">
        <v>43137</v>
      </c>
      <c r="L20" s="39">
        <v>43138</v>
      </c>
      <c r="M20" s="35" t="s">
        <v>331</v>
      </c>
      <c r="N20" s="35" t="s">
        <v>1432</v>
      </c>
      <c r="O20" s="22"/>
      <c r="P20" s="40">
        <f>0.621+0.105</f>
        <v>0.72599999999999998</v>
      </c>
      <c r="Q20" s="111">
        <v>23000</v>
      </c>
      <c r="R20" s="22">
        <v>9400</v>
      </c>
      <c r="S20" s="45">
        <v>18.739999999999998</v>
      </c>
      <c r="T20" s="43">
        <f>X20*F20*0.005</f>
        <v>2993.0733495913905</v>
      </c>
      <c r="V20" s="22">
        <v>0.12</v>
      </c>
      <c r="W20" s="22">
        <v>0.3</v>
      </c>
      <c r="X20" s="22">
        <f>IF(O20&gt;0,O20,((P20*2.2046*S20)+(Q20+R20)/G20)+V20)</f>
        <v>31.846744469893451</v>
      </c>
      <c r="Y20" s="22">
        <f>IF(O20&gt;0,O20,((P20*2.2046*S20)+(Q20+R20+T20)/G20)+V20+W20)</f>
        <v>32.306802980973544</v>
      </c>
      <c r="Z20" s="3">
        <f>Y20*F20</f>
        <v>607262.26571927604</v>
      </c>
      <c r="AA20" s="44">
        <v>43138</v>
      </c>
      <c r="AB20" s="3"/>
      <c r="AC20" s="119"/>
    </row>
    <row r="21" spans="1:29" x14ac:dyDescent="0.25">
      <c r="A21" s="113"/>
      <c r="B21" s="34" t="s">
        <v>340</v>
      </c>
      <c r="C21" t="s">
        <v>341</v>
      </c>
      <c r="D21" s="35" t="s">
        <v>1244</v>
      </c>
      <c r="E21">
        <v>200</v>
      </c>
      <c r="F21" s="36">
        <v>21270</v>
      </c>
      <c r="G21" s="38">
        <f>11030+6020</f>
        <v>17050</v>
      </c>
      <c r="H21" s="38">
        <f t="shared" si="1"/>
        <v>-4220</v>
      </c>
      <c r="I21" s="35" t="s">
        <v>1522</v>
      </c>
      <c r="K21" s="39"/>
      <c r="L21" s="39">
        <v>43138</v>
      </c>
      <c r="M21" s="35" t="s">
        <v>331</v>
      </c>
      <c r="O21" s="22">
        <v>29</v>
      </c>
      <c r="P21" s="40"/>
      <c r="Q21" s="111">
        <v>19800</v>
      </c>
      <c r="R21" s="22">
        <f>65*E21</f>
        <v>13000</v>
      </c>
      <c r="S21" s="43">
        <f>-38*E21</f>
        <v>-7600</v>
      </c>
      <c r="T21" s="43">
        <f>X21*F21*0.0045</f>
        <v>3609.8308768328443</v>
      </c>
      <c r="U21" s="22">
        <f>E21*5</f>
        <v>1000</v>
      </c>
      <c r="W21" s="22">
        <v>0.3</v>
      </c>
      <c r="X21" s="22">
        <f>((O21*F21)+Q21+R21+S21+U21)/G21</f>
        <v>37.714369501466273</v>
      </c>
      <c r="Y21" s="22">
        <f>((O21*F21)+Q21+R21+S21+T21+U21)/G21+W21</f>
        <v>38.226089787497521</v>
      </c>
      <c r="Z21" s="3">
        <f>Y21*G21</f>
        <v>651754.83087683271</v>
      </c>
      <c r="AA21" s="44">
        <v>43151</v>
      </c>
      <c r="AB21" s="3">
        <v>41.5</v>
      </c>
      <c r="AC21" s="119" t="s">
        <v>1532</v>
      </c>
    </row>
    <row r="22" spans="1:29" x14ac:dyDescent="0.25">
      <c r="A22" s="113"/>
      <c r="B22" s="34" t="s">
        <v>1063</v>
      </c>
      <c r="C22" t="s">
        <v>1516</v>
      </c>
      <c r="D22" s="35" t="s">
        <v>1517</v>
      </c>
      <c r="F22" s="36">
        <f>1736.26+269.55</f>
        <v>2005.81</v>
      </c>
      <c r="G22" s="38">
        <v>2005.81</v>
      </c>
      <c r="H22" s="38">
        <f t="shared" si="1"/>
        <v>0</v>
      </c>
      <c r="K22" s="39"/>
      <c r="L22" s="39">
        <v>43138</v>
      </c>
      <c r="M22" s="35" t="s">
        <v>331</v>
      </c>
      <c r="O22" s="22">
        <v>87</v>
      </c>
      <c r="P22" s="40"/>
      <c r="Q22" s="22"/>
      <c r="R22" s="22"/>
      <c r="S22" s="43"/>
      <c r="T22" s="43"/>
      <c r="U22" s="22"/>
      <c r="W22" s="22"/>
      <c r="X22" s="22">
        <f>IF(O22&gt;0,O22,((P22*2.2046*S22)+(Q22+R22)/G22)+V22)</f>
        <v>87</v>
      </c>
      <c r="Y22" s="22">
        <f>IF(O22&gt;0,O22,((P22*2.2046*S22)+(Q22+R22+T22)/G22)+V22+W22)</f>
        <v>87</v>
      </c>
      <c r="Z22" s="3">
        <f>Y22*F22</f>
        <v>174505.47</v>
      </c>
      <c r="AA22" s="44">
        <v>43138</v>
      </c>
      <c r="AB22" s="3"/>
      <c r="AC22" s="119"/>
    </row>
    <row r="23" spans="1:29" x14ac:dyDescent="0.25">
      <c r="A23" s="113"/>
      <c r="B23" s="34" t="s">
        <v>328</v>
      </c>
      <c r="C23" s="35" t="s">
        <v>343</v>
      </c>
      <c r="D23" s="35" t="s">
        <v>343</v>
      </c>
      <c r="E23" t="s">
        <v>1040</v>
      </c>
      <c r="F23" s="36">
        <f>42239*0.4536</f>
        <v>19159.610400000001</v>
      </c>
      <c r="G23" s="38">
        <v>19102.259999999998</v>
      </c>
      <c r="H23" s="38">
        <f t="shared" si="1"/>
        <v>-57.350400000002992</v>
      </c>
      <c r="I23" s="35" t="s">
        <v>1433</v>
      </c>
      <c r="J23" s="5" t="s">
        <v>1022</v>
      </c>
      <c r="K23" s="39">
        <v>43138</v>
      </c>
      <c r="L23" s="39">
        <v>43139</v>
      </c>
      <c r="M23" s="35" t="s">
        <v>342</v>
      </c>
      <c r="N23" s="35" t="s">
        <v>1434</v>
      </c>
      <c r="O23" s="22"/>
      <c r="P23" s="40">
        <f>0.6338+0.105</f>
        <v>0.73880000000000001</v>
      </c>
      <c r="Q23" s="111">
        <v>23000</v>
      </c>
      <c r="R23" s="22">
        <v>9400</v>
      </c>
      <c r="S23" s="45">
        <v>18.68</v>
      </c>
      <c r="T23" s="43">
        <f>X23*F23*0.005</f>
        <v>3088.6578331940541</v>
      </c>
      <c r="V23" s="22">
        <v>0.12</v>
      </c>
      <c r="W23" s="22">
        <v>0.3</v>
      </c>
      <c r="X23" s="22">
        <f>IF(O23&gt;0,O23,((P23*2.2046*S23)+(Q23+R23)/G23)+V23)</f>
        <v>32.241342790499054</v>
      </c>
      <c r="Y23" s="22">
        <f>IF(O23&gt;0,O23,((P23*2.2046*S23)+(Q23+R23+T23)/G23)+V23+W23)</f>
        <v>32.703033492708848</v>
      </c>
      <c r="Z23" s="3">
        <f>Y23*F23</f>
        <v>626577.38061845279</v>
      </c>
      <c r="AA23" s="44">
        <v>43132</v>
      </c>
      <c r="AB23" s="3"/>
      <c r="AC23" s="119"/>
    </row>
    <row r="24" spans="1:29" x14ac:dyDescent="0.25">
      <c r="A24" s="113"/>
      <c r="B24" s="34" t="s">
        <v>340</v>
      </c>
      <c r="C24" t="s">
        <v>341</v>
      </c>
      <c r="D24" s="35" t="s">
        <v>1244</v>
      </c>
      <c r="E24">
        <v>200</v>
      </c>
      <c r="F24" s="36">
        <v>23080</v>
      </c>
      <c r="G24" s="38">
        <v>19000</v>
      </c>
      <c r="H24" s="38">
        <f t="shared" ref="H24:H31" si="2">G24-F24</f>
        <v>-4080</v>
      </c>
      <c r="I24" s="35" t="s">
        <v>1530</v>
      </c>
      <c r="K24" s="39"/>
      <c r="L24" s="39">
        <v>43139</v>
      </c>
      <c r="M24" s="35" t="s">
        <v>342</v>
      </c>
      <c r="O24" s="22">
        <v>29</v>
      </c>
      <c r="P24" s="40"/>
      <c r="Q24" s="111">
        <v>19800</v>
      </c>
      <c r="R24" s="22">
        <f>65*E24</f>
        <v>13000</v>
      </c>
      <c r="S24" s="43">
        <f>-38*E24</f>
        <v>-7600</v>
      </c>
      <c r="T24" s="43">
        <f>X24*F24*0.0045</f>
        <v>3801.9319578947366</v>
      </c>
      <c r="U24" s="22">
        <f>E24*5</f>
        <v>1000</v>
      </c>
      <c r="W24" s="22">
        <v>0.3</v>
      </c>
      <c r="X24" s="22">
        <f>((O24*F24)+Q24+R24+S24+U24)/G24</f>
        <v>36.606315789473683</v>
      </c>
      <c r="Y24" s="22">
        <f>((O24*F24)+Q24+R24+S24+T24+U24)/G24+W24</f>
        <v>37.106417471468141</v>
      </c>
      <c r="Z24" s="3">
        <f>Y24*G24</f>
        <v>705021.9319578947</v>
      </c>
      <c r="AA24" s="44">
        <v>43152</v>
      </c>
      <c r="AB24" s="3"/>
      <c r="AC24" s="119"/>
    </row>
    <row r="25" spans="1:29" x14ac:dyDescent="0.25">
      <c r="A25" s="113"/>
      <c r="B25" s="34" t="s">
        <v>340</v>
      </c>
      <c r="C25" t="s">
        <v>341</v>
      </c>
      <c r="D25" s="35" t="s">
        <v>1047</v>
      </c>
      <c r="E25">
        <v>129</v>
      </c>
      <c r="F25" s="36">
        <v>16075</v>
      </c>
      <c r="G25" s="38">
        <v>12120</v>
      </c>
      <c r="H25" s="38">
        <f t="shared" si="2"/>
        <v>-3955</v>
      </c>
      <c r="I25" s="35" t="s">
        <v>1531</v>
      </c>
      <c r="K25" s="39"/>
      <c r="L25" s="39">
        <v>43139</v>
      </c>
      <c r="M25" s="35" t="s">
        <v>342</v>
      </c>
      <c r="O25" s="22">
        <v>29</v>
      </c>
      <c r="P25" s="40"/>
      <c r="Q25" s="111">
        <v>15700</v>
      </c>
      <c r="R25" s="22">
        <f>65*E25</f>
        <v>8385</v>
      </c>
      <c r="S25" s="43">
        <f>-38*E25</f>
        <v>-4902</v>
      </c>
      <c r="T25" s="43">
        <f>X25*F25*0.0045</f>
        <v>2900.6800340346531</v>
      </c>
      <c r="U25" s="22">
        <f>E25*5</f>
        <v>645</v>
      </c>
      <c r="W25" s="22">
        <v>0.3</v>
      </c>
      <c r="X25" s="22">
        <f>((O25*F25)+Q25+R25+S25+U25)/G25</f>
        <v>40.099257425742572</v>
      </c>
      <c r="Y25" s="22">
        <f>((O25*F25)+Q25+R25+S25+T25+U25)/G25+W25</f>
        <v>40.63858746155401</v>
      </c>
      <c r="Z25" s="3">
        <f>Y25*G25</f>
        <v>492539.68003403459</v>
      </c>
      <c r="AA25" s="44">
        <v>43152</v>
      </c>
      <c r="AB25" s="3">
        <v>38.4</v>
      </c>
      <c r="AC25" s="119" t="s">
        <v>1533</v>
      </c>
    </row>
    <row r="26" spans="1:29" x14ac:dyDescent="0.25">
      <c r="A26" s="113"/>
      <c r="B26" s="34" t="s">
        <v>1063</v>
      </c>
      <c r="C26" t="s">
        <v>1439</v>
      </c>
      <c r="D26" s="35" t="s">
        <v>1065</v>
      </c>
      <c r="E26" t="s">
        <v>1570</v>
      </c>
      <c r="F26" s="36">
        <v>7028.29</v>
      </c>
      <c r="G26" s="38">
        <v>7036.96</v>
      </c>
      <c r="H26" s="38">
        <f t="shared" si="2"/>
        <v>8.6700000000000728</v>
      </c>
      <c r="I26" s="35" t="s">
        <v>1571</v>
      </c>
      <c r="K26" s="39"/>
      <c r="L26" s="39">
        <v>43139</v>
      </c>
      <c r="M26" s="35" t="s">
        <v>342</v>
      </c>
      <c r="O26" s="22">
        <v>93</v>
      </c>
      <c r="P26" s="40"/>
      <c r="Q26" s="22"/>
      <c r="R26" s="22"/>
      <c r="S26" s="43"/>
      <c r="T26" s="43"/>
      <c r="U26" s="22"/>
      <c r="W26" s="22"/>
      <c r="X26" s="22">
        <f>IF(O26&gt;0,O26,((P26*2.2046*S26)+(Q26+R26)/G26)+V26)</f>
        <v>93</v>
      </c>
      <c r="Y26" s="22">
        <f>IF(O26&gt;0,O26,((P26*2.2046*S26)+(Q26+R26+T26)/G26)+V26+W26)</f>
        <v>93</v>
      </c>
      <c r="Z26" s="3">
        <f>Y26*F26</f>
        <v>653630.97</v>
      </c>
      <c r="AA26" s="44">
        <v>43147</v>
      </c>
      <c r="AB26" s="3"/>
      <c r="AC26" s="119"/>
    </row>
    <row r="27" spans="1:29" x14ac:dyDescent="0.25">
      <c r="A27" s="113"/>
      <c r="B27" s="34" t="s">
        <v>328</v>
      </c>
      <c r="C27" s="35" t="s">
        <v>329</v>
      </c>
      <c r="D27" s="35" t="s">
        <v>329</v>
      </c>
      <c r="E27" t="s">
        <v>1021</v>
      </c>
      <c r="F27" s="36">
        <f>42666*0.4536</f>
        <v>19353.297600000002</v>
      </c>
      <c r="G27" s="38">
        <v>19296.32</v>
      </c>
      <c r="H27" s="38">
        <f t="shared" si="2"/>
        <v>-56.977600000001985</v>
      </c>
      <c r="I27" t="s">
        <v>1436</v>
      </c>
      <c r="J27" s="5" t="s">
        <v>1022</v>
      </c>
      <c r="K27" s="39">
        <v>43139</v>
      </c>
      <c r="L27" s="39">
        <v>43140</v>
      </c>
      <c r="M27" s="35" t="s">
        <v>345</v>
      </c>
      <c r="N27" s="35" t="s">
        <v>1435</v>
      </c>
      <c r="O27" s="22"/>
      <c r="P27" s="40">
        <f>0.6338+0.095</f>
        <v>0.7288</v>
      </c>
      <c r="Q27" s="111">
        <v>23000</v>
      </c>
      <c r="R27" s="120">
        <v>9500</v>
      </c>
      <c r="S27" s="45">
        <v>18.55</v>
      </c>
      <c r="T27" s="43">
        <f>X27*F27*0.005</f>
        <v>3058.6701923588553</v>
      </c>
      <c r="V27" s="22">
        <v>0.12</v>
      </c>
      <c r="W27" s="22">
        <v>0.3</v>
      </c>
      <c r="X27" s="22">
        <f>IF(O27&gt;0,O27,((P27*2.2046*S27)+(Q27+R27)/G27)+V27)</f>
        <v>31.608775471512981</v>
      </c>
      <c r="Y27" s="22">
        <f>IF(O27&gt;0,O27,((P27*2.2046*S27)+(Q27+R27+T27)/G27)+V27+W27)</f>
        <v>32.067286016132826</v>
      </c>
      <c r="Z27" s="3">
        <f>Y27*F27</f>
        <v>620607.72949453699</v>
      </c>
      <c r="AA27" s="44">
        <v>43150</v>
      </c>
      <c r="AB27" s="3"/>
      <c r="AC27" s="119"/>
    </row>
    <row r="28" spans="1:29" x14ac:dyDescent="0.25">
      <c r="A28" s="113"/>
      <c r="B28" s="34" t="s">
        <v>340</v>
      </c>
      <c r="C28" t="s">
        <v>341</v>
      </c>
      <c r="D28" s="35" t="s">
        <v>1102</v>
      </c>
      <c r="E28">
        <v>200</v>
      </c>
      <c r="F28" s="36">
        <v>22020</v>
      </c>
      <c r="G28" s="38">
        <v>19570</v>
      </c>
      <c r="H28" s="38">
        <f t="shared" si="2"/>
        <v>-2450</v>
      </c>
      <c r="I28" s="35" t="s">
        <v>1546</v>
      </c>
      <c r="J28">
        <v>219</v>
      </c>
      <c r="K28" s="39"/>
      <c r="L28" s="39">
        <v>43140</v>
      </c>
      <c r="M28" s="35" t="s">
        <v>345</v>
      </c>
      <c r="O28" s="22">
        <v>29</v>
      </c>
      <c r="P28" s="40"/>
      <c r="Q28" s="111">
        <v>19800</v>
      </c>
      <c r="R28" s="22">
        <f>65*E28</f>
        <v>13000</v>
      </c>
      <c r="S28" s="43">
        <f>-38*E28</f>
        <v>-7600</v>
      </c>
      <c r="T28" s="43">
        <f>X28*F28*0.0045</f>
        <v>3366.0219826264693</v>
      </c>
      <c r="U28" s="22">
        <f>E28*5</f>
        <v>1000</v>
      </c>
      <c r="W28" s="22">
        <v>0.3</v>
      </c>
      <c r="X28" s="22">
        <f>((O28*F28)+Q28+R28+S28+U28)/G28</f>
        <v>33.969340827797652</v>
      </c>
      <c r="Y28" s="22">
        <f>((O28*F28)+Q28+R28+S28+T28+U28)/G28+W28</f>
        <v>34.441339907134719</v>
      </c>
      <c r="Z28" s="3">
        <f>Y28*G28</f>
        <v>674017.02198262641</v>
      </c>
      <c r="AA28" s="44">
        <v>43153</v>
      </c>
      <c r="AB28" s="3">
        <v>41.5</v>
      </c>
      <c r="AC28" s="119"/>
    </row>
    <row r="29" spans="1:29" x14ac:dyDescent="0.25">
      <c r="A29" s="113"/>
      <c r="B29" s="34" t="s">
        <v>340</v>
      </c>
      <c r="C29" t="s">
        <v>341</v>
      </c>
      <c r="D29" s="35" t="s">
        <v>1047</v>
      </c>
      <c r="E29">
        <v>249</v>
      </c>
      <c r="F29" s="36">
        <v>29085</v>
      </c>
      <c r="G29" s="38">
        <v>21070</v>
      </c>
      <c r="H29" s="38">
        <f t="shared" si="2"/>
        <v>-8015</v>
      </c>
      <c r="I29" s="35" t="s">
        <v>1545</v>
      </c>
      <c r="J29">
        <v>230</v>
      </c>
      <c r="K29" s="39"/>
      <c r="L29" s="39">
        <v>43140</v>
      </c>
      <c r="M29" s="35" t="s">
        <v>345</v>
      </c>
      <c r="O29" s="22">
        <v>29</v>
      </c>
      <c r="P29" s="40"/>
      <c r="Q29" s="111">
        <v>19800</v>
      </c>
      <c r="R29" s="22">
        <f>65*E29</f>
        <v>16185</v>
      </c>
      <c r="S29" s="43">
        <f>-38*E29</f>
        <v>-9462</v>
      </c>
      <c r="T29" s="43">
        <f>X29*F29*0.0045</f>
        <v>5411.9199393687713</v>
      </c>
      <c r="U29" s="22">
        <f>E29*5</f>
        <v>1245</v>
      </c>
      <c r="W29" s="22">
        <v>0.3</v>
      </c>
      <c r="X29" s="22">
        <f>((O29*F29)+Q29+R29+S29+U29)/G29</f>
        <v>41.349454200284768</v>
      </c>
      <c r="Y29" s="22">
        <f>((O29*F29)+Q29+R29+S29+T29+U29)/G29+W29</f>
        <v>41.906308492613604</v>
      </c>
      <c r="Z29" s="3">
        <f>Y29*G29</f>
        <v>882965.91993936861</v>
      </c>
      <c r="AA29" s="44">
        <v>43153</v>
      </c>
      <c r="AB29" s="3">
        <v>38.31</v>
      </c>
      <c r="AC29" s="119" t="s">
        <v>1552</v>
      </c>
    </row>
    <row r="30" spans="1:29" x14ac:dyDescent="0.25">
      <c r="A30" s="113"/>
      <c r="B30" s="34" t="s">
        <v>328</v>
      </c>
      <c r="C30" s="35" t="s">
        <v>343</v>
      </c>
      <c r="D30" s="35" t="s">
        <v>343</v>
      </c>
      <c r="E30" t="s">
        <v>1040</v>
      </c>
      <c r="F30" s="36">
        <f>42177*0.4536</f>
        <v>19131.4872</v>
      </c>
      <c r="G30" s="38">
        <v>19079.3</v>
      </c>
      <c r="H30" s="38">
        <f t="shared" si="2"/>
        <v>-52.187200000000303</v>
      </c>
      <c r="I30" t="s">
        <v>1437</v>
      </c>
      <c r="J30" s="5" t="s">
        <v>1022</v>
      </c>
      <c r="K30" s="39">
        <v>43140</v>
      </c>
      <c r="L30" s="39">
        <v>43141</v>
      </c>
      <c r="M30" s="35" t="s">
        <v>348</v>
      </c>
      <c r="N30" s="35" t="s">
        <v>1438</v>
      </c>
      <c r="O30" s="22"/>
      <c r="P30" s="40">
        <f>0.5792+0.105</f>
        <v>0.68420000000000003</v>
      </c>
      <c r="Q30" s="111">
        <v>23000</v>
      </c>
      <c r="R30" s="22">
        <v>9400</v>
      </c>
      <c r="S30" s="45">
        <v>18.440000000000001</v>
      </c>
      <c r="T30" s="43">
        <f>X30*F30*0.005</f>
        <v>2834.6012748662656</v>
      </c>
      <c r="V30" s="22">
        <v>0.12</v>
      </c>
      <c r="W30" s="22">
        <v>0.3</v>
      </c>
      <c r="X30" s="22">
        <f>IF(O30&gt;0,O30,((P30*2.2046*S30)+(Q30+R30)/G30)+V30)</f>
        <v>29.632837690383692</v>
      </c>
      <c r="Y30" s="22">
        <f>IF(O30&gt;0,O30,((P30*2.2046*S30)+(Q30+R30+T30)/G30)+V30+W30)</f>
        <v>30.081407149161858</v>
      </c>
      <c r="Z30" s="3">
        <f>Y30*F30</f>
        <v>575502.05583217856</v>
      </c>
      <c r="AA30" s="44">
        <v>43137</v>
      </c>
      <c r="AB30" s="3"/>
      <c r="AC30" s="119"/>
    </row>
    <row r="31" spans="1:29" x14ac:dyDescent="0.25">
      <c r="A31" s="113"/>
      <c r="B31" s="34" t="s">
        <v>1063</v>
      </c>
      <c r="C31" s="35" t="s">
        <v>1439</v>
      </c>
      <c r="D31" s="35" t="s">
        <v>1440</v>
      </c>
      <c r="E31" t="s">
        <v>1645</v>
      </c>
      <c r="F31" s="36">
        <v>17485.2</v>
      </c>
      <c r="G31" s="38">
        <v>17485.34</v>
      </c>
      <c r="H31" s="38">
        <f t="shared" si="2"/>
        <v>0.13999999999941792</v>
      </c>
      <c r="I31" s="35" t="s">
        <v>1646</v>
      </c>
      <c r="K31" s="39"/>
      <c r="L31" s="39">
        <v>43141</v>
      </c>
      <c r="M31" s="35" t="s">
        <v>348</v>
      </c>
      <c r="N31" s="35"/>
      <c r="O31" s="22">
        <v>91.5</v>
      </c>
      <c r="P31" s="40"/>
      <c r="Q31" s="22"/>
      <c r="R31" s="22"/>
      <c r="S31" s="45"/>
      <c r="T31" s="43"/>
      <c r="V31" s="22"/>
      <c r="W31" s="22"/>
      <c r="X31" s="22">
        <f>IF(O31&gt;0,O31,((P31*2.2046*S31)+(Q31+R31)/G31)+V31)</f>
        <v>91.5</v>
      </c>
      <c r="Y31" s="22">
        <f>IF(O31&gt;0,O31,((P31*2.2046*S31)+(Q31+R31+T31)/G31)+V31+W31)</f>
        <v>91.5</v>
      </c>
      <c r="Z31" s="3">
        <f>Y31*F31</f>
        <v>1599895.8</v>
      </c>
      <c r="AA31" s="44">
        <v>43161</v>
      </c>
      <c r="AB31" s="3"/>
      <c r="AC31" s="119"/>
    </row>
    <row r="32" spans="1:29" ht="15.75" thickBot="1" x14ac:dyDescent="0.3">
      <c r="A32" s="114"/>
      <c r="B32" s="49"/>
      <c r="C32" s="23"/>
      <c r="D32" s="23"/>
      <c r="E32" s="23"/>
      <c r="F32" s="50"/>
      <c r="G32" s="50"/>
      <c r="H32" s="50"/>
      <c r="I32" s="26"/>
      <c r="J32" s="23"/>
      <c r="K32" s="27"/>
      <c r="L32" s="27"/>
      <c r="M32" s="23"/>
      <c r="N32" s="23"/>
      <c r="O32" s="28"/>
      <c r="P32" s="29"/>
      <c r="Q32" s="28"/>
      <c r="R32" s="28"/>
      <c r="S32" s="28"/>
      <c r="T32" s="28"/>
      <c r="U32" s="28"/>
      <c r="V32" s="28"/>
      <c r="W32" s="28"/>
      <c r="X32" s="28"/>
      <c r="Y32" s="28"/>
      <c r="Z32" s="32"/>
      <c r="AA32" s="51"/>
      <c r="AB32" s="3"/>
      <c r="AC32" s="119"/>
    </row>
    <row r="33" spans="1:29" x14ac:dyDescent="0.25">
      <c r="A33" s="68"/>
      <c r="B33" s="34" t="s">
        <v>340</v>
      </c>
      <c r="C33" t="s">
        <v>341</v>
      </c>
      <c r="D33" s="35" t="s">
        <v>1244</v>
      </c>
      <c r="E33">
        <v>130</v>
      </c>
      <c r="F33" s="36">
        <v>13885</v>
      </c>
      <c r="G33" s="38">
        <v>11020</v>
      </c>
      <c r="H33" s="38">
        <f t="shared" ref="H33:H39" si="3">G33-F33</f>
        <v>-2865</v>
      </c>
      <c r="I33" s="35" t="s">
        <v>1581</v>
      </c>
      <c r="K33" s="39"/>
      <c r="L33" s="39">
        <v>43142</v>
      </c>
      <c r="M33" s="35" t="s">
        <v>349</v>
      </c>
      <c r="O33" s="22">
        <v>29</v>
      </c>
      <c r="P33" s="40"/>
      <c r="Q33" s="111">
        <v>15700</v>
      </c>
      <c r="R33" s="22">
        <f>65*E33</f>
        <v>8450</v>
      </c>
      <c r="S33" s="43">
        <f>-38*E33</f>
        <v>-4940</v>
      </c>
      <c r="T33" s="43">
        <f>X33*F33*0.0045</f>
        <v>2395.6822425136115</v>
      </c>
      <c r="U33" s="22">
        <f>E33*5</f>
        <v>650</v>
      </c>
      <c r="W33" s="22">
        <v>0.3</v>
      </c>
      <c r="X33" s="22">
        <f>((O33*F33)+Q33+R33+S33+U33)/G33</f>
        <v>38.341651542649728</v>
      </c>
      <c r="Y33" s="22">
        <f>((O33*F33)+Q33+R33+S33+T33+U33)/G33+W33</f>
        <v>38.8590455755457</v>
      </c>
      <c r="Z33" s="3">
        <f>Y33*G33</f>
        <v>428226.68224251363</v>
      </c>
      <c r="AA33" s="44">
        <v>43157</v>
      </c>
      <c r="AB33" s="3">
        <v>41</v>
      </c>
      <c r="AC33" s="3"/>
    </row>
    <row r="34" spans="1:29" x14ac:dyDescent="0.25">
      <c r="A34" s="68"/>
      <c r="B34" s="34" t="s">
        <v>340</v>
      </c>
      <c r="C34" t="s">
        <v>341</v>
      </c>
      <c r="D34" s="35" t="s">
        <v>1244</v>
      </c>
      <c r="E34">
        <v>200</v>
      </c>
      <c r="F34" s="36">
        <v>22730</v>
      </c>
      <c r="G34" s="38">
        <f>11710+6310</f>
        <v>18020</v>
      </c>
      <c r="H34" s="38">
        <f t="shared" si="3"/>
        <v>-4710</v>
      </c>
      <c r="I34" s="35" t="s">
        <v>1582</v>
      </c>
      <c r="K34" s="39"/>
      <c r="L34" s="39">
        <v>43143</v>
      </c>
      <c r="M34" s="35" t="s">
        <v>350</v>
      </c>
      <c r="O34" s="22">
        <v>29</v>
      </c>
      <c r="P34" s="40"/>
      <c r="Q34" s="47">
        <f>19800</f>
        <v>19800</v>
      </c>
      <c r="R34" s="22">
        <f>65*E34</f>
        <v>13000</v>
      </c>
      <c r="S34" s="43">
        <f>-38*E34</f>
        <v>-7600</v>
      </c>
      <c r="T34" s="43">
        <f>X34*F34*0.0045</f>
        <v>3890.2924778024417</v>
      </c>
      <c r="U34" s="22">
        <f>E34*5</f>
        <v>1000</v>
      </c>
      <c r="W34" s="22">
        <v>0.3</v>
      </c>
      <c r="X34" s="22">
        <f>((O34*F34)+Q34+R34+S34+U34)/G34</f>
        <v>38.033851276359599</v>
      </c>
      <c r="Y34" s="22">
        <f>((O34*F34)+Q34+R34+S34+T34+U34)/G34+W34</f>
        <v>38.549738761254297</v>
      </c>
      <c r="Z34" s="3">
        <f>Y34*G34</f>
        <v>694666.29247780237</v>
      </c>
      <c r="AA34" s="44">
        <v>43157</v>
      </c>
      <c r="AB34" s="3"/>
      <c r="AC34" s="119" t="s">
        <v>1588</v>
      </c>
    </row>
    <row r="35" spans="1:29" x14ac:dyDescent="0.25">
      <c r="A35" s="68"/>
      <c r="B35" s="34" t="s">
        <v>328</v>
      </c>
      <c r="C35" t="s">
        <v>329</v>
      </c>
      <c r="D35" s="35" t="s">
        <v>329</v>
      </c>
      <c r="E35" t="s">
        <v>1021</v>
      </c>
      <c r="F35" s="36">
        <f>42529*0.4536</f>
        <v>19291.154399999999</v>
      </c>
      <c r="G35" s="38">
        <v>19233.080000000002</v>
      </c>
      <c r="H35" s="38">
        <f t="shared" si="3"/>
        <v>-58.074399999997695</v>
      </c>
      <c r="I35" s="35" t="s">
        <v>1535</v>
      </c>
      <c r="J35" s="5" t="s">
        <v>1022</v>
      </c>
      <c r="K35" s="39">
        <v>43143</v>
      </c>
      <c r="L35" s="39">
        <v>43144</v>
      </c>
      <c r="M35" s="35" t="s">
        <v>355</v>
      </c>
      <c r="N35" s="35" t="s">
        <v>1523</v>
      </c>
      <c r="O35" s="22"/>
      <c r="P35" s="40">
        <f>0.5361+0.095</f>
        <v>0.63109999999999999</v>
      </c>
      <c r="Q35" s="111">
        <v>23000</v>
      </c>
      <c r="R35" s="120">
        <v>9500</v>
      </c>
      <c r="S35" s="45">
        <v>18.689</v>
      </c>
      <c r="T35" s="43">
        <f>X35*F35*0.005</f>
        <v>2682.6504650869692</v>
      </c>
      <c r="V35" s="22">
        <v>0.12</v>
      </c>
      <c r="W35" s="22">
        <v>0.3</v>
      </c>
      <c r="X35" s="22">
        <f>IF(O35&gt;0,O35,((P35*2.2046*S35)+(Q35+R35)/G35)+V35)</f>
        <v>27.812233622338013</v>
      </c>
      <c r="Y35" s="22">
        <f>IF(O35&gt;0,O35,((P35*2.2046*S35)+(Q35+R35+T35)/G35)+V35+W35)</f>
        <v>28.251714686477868</v>
      </c>
      <c r="Z35" s="3">
        <f>Y35*F35</f>
        <v>545008.19008159218</v>
      </c>
      <c r="AA35" s="44">
        <v>43154</v>
      </c>
      <c r="AB35" s="3">
        <v>32</v>
      </c>
      <c r="AC35" s="119"/>
    </row>
    <row r="36" spans="1:29" x14ac:dyDescent="0.25">
      <c r="A36" s="68"/>
      <c r="B36" s="34" t="s">
        <v>328</v>
      </c>
      <c r="C36" s="35" t="s">
        <v>343</v>
      </c>
      <c r="D36" s="35" t="s">
        <v>343</v>
      </c>
      <c r="E36" t="s">
        <v>1040</v>
      </c>
      <c r="F36" s="36">
        <f>42174*0.4536</f>
        <v>19130.126400000001</v>
      </c>
      <c r="G36" s="38">
        <v>19093.39</v>
      </c>
      <c r="H36" s="38">
        <f t="shared" si="3"/>
        <v>-36.736400000001595</v>
      </c>
      <c r="I36" t="s">
        <v>1525</v>
      </c>
      <c r="J36" s="5" t="s">
        <v>1022</v>
      </c>
      <c r="K36" s="39">
        <v>43143</v>
      </c>
      <c r="L36" s="39">
        <v>43144</v>
      </c>
      <c r="M36" s="35" t="s">
        <v>355</v>
      </c>
      <c r="N36" s="35" t="s">
        <v>1524</v>
      </c>
      <c r="O36" s="22"/>
      <c r="P36" s="40">
        <f>0.5361+0.105</f>
        <v>0.6411</v>
      </c>
      <c r="Q36" s="111">
        <v>23000</v>
      </c>
      <c r="R36" s="22">
        <v>9400</v>
      </c>
      <c r="S36" s="45">
        <v>18.739999999999998</v>
      </c>
      <c r="T36" s="43">
        <f>X36*F36*0.005</f>
        <v>2707.2436954576256</v>
      </c>
      <c r="V36" s="22">
        <v>0.12</v>
      </c>
      <c r="W36" s="22">
        <v>0.3</v>
      </c>
      <c r="X36" s="22">
        <f>IF(O36&gt;0,O36,((P36*2.2046*S36)+(Q36+R36)/G36)+V36)</f>
        <v>28.303458522444739</v>
      </c>
      <c r="Y36" s="22">
        <f>IF(O36&gt;0,O36,((P36*2.2046*S36)+(Q36+R36+T36)/G36)+V36+W36)</f>
        <v>28.745248099646989</v>
      </c>
      <c r="Z36" s="3">
        <f>Y36*F36</f>
        <v>549900.22954560677</v>
      </c>
      <c r="AA36" s="44">
        <v>43138</v>
      </c>
      <c r="AB36" s="3">
        <v>32</v>
      </c>
      <c r="AC36" s="119"/>
    </row>
    <row r="37" spans="1:29" x14ac:dyDescent="0.25">
      <c r="A37" s="68"/>
      <c r="B37" s="34" t="s">
        <v>340</v>
      </c>
      <c r="C37" t="s">
        <v>341</v>
      </c>
      <c r="D37" s="35" t="s">
        <v>1583</v>
      </c>
      <c r="E37">
        <v>130</v>
      </c>
      <c r="F37" s="36">
        <v>15995</v>
      </c>
      <c r="G37" s="38">
        <f>5850+6920</f>
        <v>12770</v>
      </c>
      <c r="H37" s="38">
        <f t="shared" si="3"/>
        <v>-3225</v>
      </c>
      <c r="I37" s="35" t="s">
        <v>1584</v>
      </c>
      <c r="K37" s="39"/>
      <c r="L37" s="39">
        <v>43144</v>
      </c>
      <c r="M37" s="35" t="s">
        <v>355</v>
      </c>
      <c r="O37" s="22">
        <v>29</v>
      </c>
      <c r="P37" s="40"/>
      <c r="Q37" s="111">
        <v>15700</v>
      </c>
      <c r="R37" s="22">
        <f>65*E37</f>
        <v>8450</v>
      </c>
      <c r="S37" s="43">
        <f>-38*E37</f>
        <v>-4940</v>
      </c>
      <c r="T37" s="43">
        <f>X37*F37*0.005</f>
        <v>3029.374089663273</v>
      </c>
      <c r="U37" s="22">
        <f>E37*5</f>
        <v>650</v>
      </c>
      <c r="W37" s="22">
        <v>0.3</v>
      </c>
      <c r="X37" s="22">
        <f>((O37*F37)+Q37+R37+S37+U37)/G37</f>
        <v>37.879013312451058</v>
      </c>
      <c r="Y37" s="22">
        <f>((O37*F37)+Q37+R37+S37+T37+U37)/G37+W37</f>
        <v>38.416239161289212</v>
      </c>
      <c r="Z37" s="3">
        <f>Y37*G37</f>
        <v>490575.37408966327</v>
      </c>
      <c r="AA37" s="44">
        <v>46809</v>
      </c>
      <c r="AB37" s="3"/>
      <c r="AC37" s="119" t="s">
        <v>1589</v>
      </c>
    </row>
    <row r="38" spans="1:29" x14ac:dyDescent="0.25">
      <c r="A38" s="68"/>
      <c r="B38" s="34" t="s">
        <v>1501</v>
      </c>
      <c r="C38" t="s">
        <v>343</v>
      </c>
      <c r="D38" s="35" t="s">
        <v>1106</v>
      </c>
      <c r="E38" t="s">
        <v>1652</v>
      </c>
      <c r="F38" s="36">
        <v>3623.4</v>
      </c>
      <c r="G38" s="38">
        <v>3623</v>
      </c>
      <c r="H38" s="38">
        <f t="shared" si="3"/>
        <v>-0.40000000000009095</v>
      </c>
      <c r="I38" s="35" t="s">
        <v>1653</v>
      </c>
      <c r="K38" s="39"/>
      <c r="L38" s="39">
        <v>43144</v>
      </c>
      <c r="M38" s="35" t="s">
        <v>355</v>
      </c>
      <c r="O38" s="22">
        <v>19</v>
      </c>
      <c r="P38" s="40"/>
      <c r="Q38" s="22"/>
      <c r="R38" s="22"/>
      <c r="S38" s="43"/>
      <c r="T38" s="43"/>
      <c r="U38" s="22"/>
      <c r="W38" s="22"/>
      <c r="X38" s="22">
        <f>IF(O38&gt;0,O38,((P38*2.2046*S38)+(Q38+R38)/G38)+V38)</f>
        <v>19</v>
      </c>
      <c r="Y38" s="22">
        <f>IF(O38&gt;0,O38,((P38*2.2046*S38)+(Q38+R38+T38)/G38)+V38+W38)</f>
        <v>19</v>
      </c>
      <c r="Z38" s="3">
        <f>Y38*F38</f>
        <v>68844.600000000006</v>
      </c>
      <c r="AA38" s="44">
        <v>43151</v>
      </c>
      <c r="AB38" s="3"/>
      <c r="AC38" s="119"/>
    </row>
    <row r="39" spans="1:29" x14ac:dyDescent="0.25">
      <c r="A39" s="68"/>
      <c r="B39" s="34" t="s">
        <v>328</v>
      </c>
      <c r="C39" s="35" t="s">
        <v>343</v>
      </c>
      <c r="D39" s="35" t="s">
        <v>343</v>
      </c>
      <c r="E39" t="s">
        <v>1040</v>
      </c>
      <c r="F39" s="36">
        <f>41992*0.4536</f>
        <v>19047.571199999998</v>
      </c>
      <c r="G39" s="38">
        <v>19046.91</v>
      </c>
      <c r="H39" s="38">
        <f t="shared" si="3"/>
        <v>-0.66119999999864376</v>
      </c>
      <c r="I39" t="s">
        <v>1536</v>
      </c>
      <c r="J39" s="5" t="s">
        <v>1089</v>
      </c>
      <c r="K39" s="39">
        <v>43325</v>
      </c>
      <c r="L39" s="39">
        <v>43145</v>
      </c>
      <c r="M39" s="35" t="s">
        <v>331</v>
      </c>
      <c r="N39" s="35" t="s">
        <v>1524</v>
      </c>
      <c r="O39" s="22"/>
      <c r="P39" s="40">
        <f>0.5361+0.105</f>
        <v>0.6411</v>
      </c>
      <c r="Q39" s="111">
        <v>23000</v>
      </c>
      <c r="R39" s="22">
        <v>9400</v>
      </c>
      <c r="S39" s="45">
        <v>18.739999999999998</v>
      </c>
      <c r="T39" s="43">
        <f>X39*F39*0.005</f>
        <v>2695.9550855040197</v>
      </c>
      <c r="V39" s="22">
        <v>0.12</v>
      </c>
      <c r="W39" s="22">
        <v>0.3</v>
      </c>
      <c r="X39" s="22">
        <f>IF(O39&gt;0,O39,((P39*2.2046*S39)+(Q39+R39)/G39)+V39)</f>
        <v>28.307599506482166</v>
      </c>
      <c r="Y39" s="22">
        <f>IF(O39&gt;0,O39,((P39*2.2046*S39)+(Q39+R39+T39)/G39)+V39+W39)</f>
        <v>28.749142417405988</v>
      </c>
      <c r="Z39" s="3">
        <f>Y39*F39</f>
        <v>547601.33713448059</v>
      </c>
      <c r="AA39" s="44">
        <v>43138</v>
      </c>
      <c r="AB39" s="3">
        <v>32</v>
      </c>
      <c r="AC39" s="119"/>
    </row>
    <row r="40" spans="1:29" x14ac:dyDescent="0.25">
      <c r="A40" s="68"/>
      <c r="B40" s="34" t="s">
        <v>340</v>
      </c>
      <c r="C40" t="s">
        <v>341</v>
      </c>
      <c r="D40" s="35" t="s">
        <v>1583</v>
      </c>
      <c r="E40">
        <v>200</v>
      </c>
      <c r="F40" s="36">
        <v>22360</v>
      </c>
      <c r="G40" s="38">
        <f>6490+11430</f>
        <v>17920</v>
      </c>
      <c r="H40" s="38">
        <f t="shared" ref="H40:H45" si="4">G40-F40</f>
        <v>-4440</v>
      </c>
      <c r="I40" s="35" t="s">
        <v>1590</v>
      </c>
      <c r="K40" s="39"/>
      <c r="L40" s="39">
        <v>43145</v>
      </c>
      <c r="M40" s="35" t="s">
        <v>331</v>
      </c>
      <c r="O40" s="22">
        <v>29</v>
      </c>
      <c r="P40" s="40"/>
      <c r="Q40" s="47">
        <v>19800</v>
      </c>
      <c r="R40" s="22">
        <f>65*E40</f>
        <v>13000</v>
      </c>
      <c r="S40" s="43">
        <f>-38*E40</f>
        <v>-7600</v>
      </c>
      <c r="T40" s="43">
        <f>X40*F40*0.0045</f>
        <v>3788.0734821428568</v>
      </c>
      <c r="U40" s="22">
        <f>E40*5</f>
        <v>1000</v>
      </c>
      <c r="W40" s="22">
        <v>0.3</v>
      </c>
      <c r="X40" s="22">
        <f>((O40*F40)+Q40+R40+S40+U40)/G40</f>
        <v>37.647321428571431</v>
      </c>
      <c r="Y40" s="22">
        <f>((O40*F40)+Q40+R40+S40+T40+U40)/G40+W40</f>
        <v>38.158709457708866</v>
      </c>
      <c r="Z40" s="3">
        <f>Y40*G40</f>
        <v>683804.07348214288</v>
      </c>
      <c r="AA40" s="44">
        <v>43158</v>
      </c>
      <c r="AB40" s="3">
        <v>41</v>
      </c>
      <c r="AC40" s="119" t="s">
        <v>1607</v>
      </c>
    </row>
    <row r="41" spans="1:29" x14ac:dyDescent="0.25">
      <c r="A41" s="68"/>
      <c r="B41" s="34" t="s">
        <v>1010</v>
      </c>
      <c r="C41" s="35" t="s">
        <v>1598</v>
      </c>
      <c r="D41" s="35" t="s">
        <v>1014</v>
      </c>
      <c r="E41" t="s">
        <v>1651</v>
      </c>
      <c r="F41" s="36">
        <v>3000</v>
      </c>
      <c r="G41" s="38">
        <v>3000</v>
      </c>
      <c r="H41" s="38">
        <f t="shared" si="4"/>
        <v>0</v>
      </c>
      <c r="I41" s="35" t="s">
        <v>1599</v>
      </c>
      <c r="K41" s="39"/>
      <c r="L41" s="39">
        <v>43145</v>
      </c>
      <c r="M41" s="35" t="s">
        <v>331</v>
      </c>
      <c r="O41" s="22">
        <v>45</v>
      </c>
      <c r="P41" s="40"/>
      <c r="Q41" s="22"/>
      <c r="R41" s="22"/>
      <c r="S41" s="43"/>
      <c r="T41" s="43"/>
      <c r="U41" s="22"/>
      <c r="W41" s="22"/>
      <c r="X41" s="22">
        <f t="shared" ref="X41:X46" si="5">IF(O41&gt;0,O41,((P41*2.2046*S41)+(Q41+R41)/G41)+V41)</f>
        <v>45</v>
      </c>
      <c r="Y41" s="22">
        <f t="shared" ref="Y41:Y46" si="6">IF(O41&gt;0,O41,((P41*2.2046*S41)+(Q41+R41+T41)/G41)+V41+W41)</f>
        <v>45</v>
      </c>
      <c r="Z41" s="3">
        <f t="shared" ref="Z41:Z46" si="7">Y41*F41</f>
        <v>135000</v>
      </c>
      <c r="AA41" s="44">
        <v>43145</v>
      </c>
      <c r="AB41" s="3"/>
      <c r="AC41" s="119"/>
    </row>
    <row r="42" spans="1:29" x14ac:dyDescent="0.25">
      <c r="A42" s="68"/>
      <c r="B42" s="34" t="s">
        <v>1600</v>
      </c>
      <c r="C42" t="s">
        <v>1601</v>
      </c>
      <c r="D42" s="35" t="s">
        <v>1014</v>
      </c>
      <c r="E42" t="s">
        <v>1207</v>
      </c>
      <c r="F42" s="36">
        <v>1003.34</v>
      </c>
      <c r="G42" s="38">
        <v>1003.34</v>
      </c>
      <c r="H42" s="38">
        <f t="shared" si="4"/>
        <v>0</v>
      </c>
      <c r="I42" s="35" t="s">
        <v>1599</v>
      </c>
      <c r="K42" s="39"/>
      <c r="L42" s="39">
        <v>43145</v>
      </c>
      <c r="M42" s="35" t="s">
        <v>331</v>
      </c>
      <c r="O42" s="22">
        <v>50</v>
      </c>
      <c r="P42" s="40"/>
      <c r="Q42" s="22"/>
      <c r="R42" s="22"/>
      <c r="S42" s="43"/>
      <c r="T42" s="43"/>
      <c r="U42" s="22"/>
      <c r="W42" s="22"/>
      <c r="X42" s="22">
        <f t="shared" si="5"/>
        <v>50</v>
      </c>
      <c r="Y42" s="22">
        <f t="shared" si="6"/>
        <v>50</v>
      </c>
      <c r="Z42" s="3">
        <f t="shared" si="7"/>
        <v>50167</v>
      </c>
      <c r="AA42" s="44">
        <v>43145</v>
      </c>
      <c r="AB42" s="3"/>
      <c r="AC42" s="119"/>
    </row>
    <row r="43" spans="1:29" x14ac:dyDescent="0.25">
      <c r="A43" s="68"/>
      <c r="B43" s="34" t="s">
        <v>1602</v>
      </c>
      <c r="C43" s="35" t="s">
        <v>1603</v>
      </c>
      <c r="D43" s="35" t="s">
        <v>1014</v>
      </c>
      <c r="E43" t="s">
        <v>1016</v>
      </c>
      <c r="F43" s="36">
        <v>100</v>
      </c>
      <c r="G43" s="38">
        <v>100</v>
      </c>
      <c r="H43" s="38">
        <f t="shared" si="4"/>
        <v>0</v>
      </c>
      <c r="I43" s="35" t="s">
        <v>1599</v>
      </c>
      <c r="K43" s="39"/>
      <c r="L43" s="39">
        <v>43145</v>
      </c>
      <c r="M43" s="35" t="s">
        <v>331</v>
      </c>
      <c r="O43" s="22">
        <v>170</v>
      </c>
      <c r="P43" s="40"/>
      <c r="Q43" s="22"/>
      <c r="R43" s="22"/>
      <c r="S43" s="43"/>
      <c r="T43" s="43"/>
      <c r="U43" s="22"/>
      <c r="W43" s="22"/>
      <c r="X43" s="22">
        <f t="shared" si="5"/>
        <v>170</v>
      </c>
      <c r="Y43" s="22">
        <f t="shared" si="6"/>
        <v>170</v>
      </c>
      <c r="Z43" s="3">
        <f t="shared" si="7"/>
        <v>17000</v>
      </c>
      <c r="AA43" s="44">
        <v>43145</v>
      </c>
      <c r="AB43" s="3"/>
      <c r="AC43" s="119"/>
    </row>
    <row r="44" spans="1:29" x14ac:dyDescent="0.25">
      <c r="A44" s="68"/>
      <c r="B44" s="34" t="s">
        <v>1604</v>
      </c>
      <c r="C44" t="s">
        <v>1603</v>
      </c>
      <c r="D44" s="35" t="s">
        <v>1014</v>
      </c>
      <c r="E44" t="s">
        <v>1016</v>
      </c>
      <c r="F44" s="36">
        <v>45.4</v>
      </c>
      <c r="G44" s="38">
        <v>45.4</v>
      </c>
      <c r="H44" s="38">
        <f t="shared" si="4"/>
        <v>0</v>
      </c>
      <c r="I44" s="35" t="s">
        <v>1599</v>
      </c>
      <c r="K44" s="39"/>
      <c r="L44" s="39">
        <v>43145</v>
      </c>
      <c r="M44" s="35" t="s">
        <v>331</v>
      </c>
      <c r="O44" s="22">
        <v>175</v>
      </c>
      <c r="P44" s="40"/>
      <c r="Q44" s="22"/>
      <c r="R44" s="22"/>
      <c r="S44" s="43"/>
      <c r="T44" s="43"/>
      <c r="U44" s="22"/>
      <c r="W44" s="22"/>
      <c r="X44" s="22">
        <f t="shared" si="5"/>
        <v>175</v>
      </c>
      <c r="Y44" s="22">
        <f t="shared" si="6"/>
        <v>175</v>
      </c>
      <c r="Z44" s="3">
        <f t="shared" si="7"/>
        <v>7945</v>
      </c>
      <c r="AA44" s="44">
        <v>43145</v>
      </c>
      <c r="AB44" s="3"/>
      <c r="AC44" s="119"/>
    </row>
    <row r="45" spans="1:29" x14ac:dyDescent="0.25">
      <c r="A45" s="68"/>
      <c r="B45" s="34" t="s">
        <v>1605</v>
      </c>
      <c r="C45" s="35" t="s">
        <v>1606</v>
      </c>
      <c r="D45" s="35" t="s">
        <v>1014</v>
      </c>
      <c r="E45" t="s">
        <v>1016</v>
      </c>
      <c r="F45" s="36">
        <v>200</v>
      </c>
      <c r="G45" s="38">
        <v>200</v>
      </c>
      <c r="H45" s="38">
        <f t="shared" si="4"/>
        <v>0</v>
      </c>
      <c r="I45" s="35" t="s">
        <v>1599</v>
      </c>
      <c r="K45" s="39"/>
      <c r="L45" s="39">
        <v>43145</v>
      </c>
      <c r="M45" s="35" t="s">
        <v>331</v>
      </c>
      <c r="O45" s="22">
        <v>160</v>
      </c>
      <c r="P45" s="40"/>
      <c r="Q45" s="22"/>
      <c r="R45" s="22"/>
      <c r="S45" s="43"/>
      <c r="T45" s="43"/>
      <c r="U45" s="22"/>
      <c r="W45" s="22"/>
      <c r="X45" s="22">
        <f t="shared" si="5"/>
        <v>160</v>
      </c>
      <c r="Y45" s="22">
        <f t="shared" si="6"/>
        <v>160</v>
      </c>
      <c r="Z45" s="3">
        <f t="shared" si="7"/>
        <v>32000</v>
      </c>
      <c r="AA45" s="44">
        <v>43145</v>
      </c>
      <c r="AB45" s="3"/>
      <c r="AC45" s="119"/>
    </row>
    <row r="46" spans="1:29" x14ac:dyDescent="0.25">
      <c r="A46" s="68"/>
      <c r="B46" s="34" t="s">
        <v>328</v>
      </c>
      <c r="C46" s="35" t="s">
        <v>343</v>
      </c>
      <c r="D46" s="35" t="s">
        <v>343</v>
      </c>
      <c r="E46" t="s">
        <v>1040</v>
      </c>
      <c r="F46" s="36">
        <f>42181*0.4536</f>
        <v>19133.301599999999</v>
      </c>
      <c r="G46" s="38">
        <v>19077.900000000001</v>
      </c>
      <c r="H46" s="38">
        <f t="shared" ref="H46:H52" si="8">G46-F46</f>
        <v>-55.401599999997416</v>
      </c>
      <c r="I46" t="s">
        <v>1538</v>
      </c>
      <c r="J46" s="5" t="s">
        <v>1022</v>
      </c>
      <c r="K46" s="39">
        <v>43145</v>
      </c>
      <c r="L46" s="39">
        <v>43146</v>
      </c>
      <c r="M46" s="35" t="s">
        <v>342</v>
      </c>
      <c r="N46" s="35" t="s">
        <v>1537</v>
      </c>
      <c r="O46" s="22"/>
      <c r="P46" s="40">
        <f>0.5491+0.105</f>
        <v>0.65410000000000001</v>
      </c>
      <c r="Q46" s="111">
        <v>23000</v>
      </c>
      <c r="R46" s="22">
        <v>9400</v>
      </c>
      <c r="S46" s="45">
        <v>18.677</v>
      </c>
      <c r="T46" s="43">
        <f>X46*F46*0.005</f>
        <v>2750.5147690914114</v>
      </c>
      <c r="V46" s="22">
        <v>0.12</v>
      </c>
      <c r="W46" s="22">
        <v>0.3</v>
      </c>
      <c r="X46" s="22">
        <f t="shared" si="5"/>
        <v>28.751073145592514</v>
      </c>
      <c r="Y46" s="22">
        <f t="shared" si="6"/>
        <v>29.195245972218686</v>
      </c>
      <c r="Z46" s="3">
        <f t="shared" si="7"/>
        <v>558601.44647264527</v>
      </c>
      <c r="AA46" s="44">
        <v>43139</v>
      </c>
      <c r="AB46" s="3">
        <v>32</v>
      </c>
      <c r="AC46" s="119"/>
    </row>
    <row r="47" spans="1:29" x14ac:dyDescent="0.25">
      <c r="A47" s="68"/>
      <c r="B47" s="34" t="s">
        <v>340</v>
      </c>
      <c r="C47" t="s">
        <v>341</v>
      </c>
      <c r="D47" s="35" t="s">
        <v>1624</v>
      </c>
      <c r="E47">
        <f>250+10</f>
        <v>260</v>
      </c>
      <c r="F47" s="36">
        <f>31540+815</f>
        <v>32355</v>
      </c>
      <c r="G47" s="38">
        <f>13230+12820</f>
        <v>26050</v>
      </c>
      <c r="H47" s="38">
        <f t="shared" si="8"/>
        <v>-6305</v>
      </c>
      <c r="I47" s="35" t="s">
        <v>1625</v>
      </c>
      <c r="K47" s="39"/>
      <c r="L47" s="39">
        <v>43146</v>
      </c>
      <c r="M47" s="35" t="s">
        <v>342</v>
      </c>
      <c r="O47" s="22">
        <v>29</v>
      </c>
      <c r="P47" s="40"/>
      <c r="Q47" s="47">
        <v>19800</v>
      </c>
      <c r="R47" s="22">
        <f>65*E47</f>
        <v>16900</v>
      </c>
      <c r="S47" s="43">
        <f>-38*E47</f>
        <v>-9880</v>
      </c>
      <c r="T47" s="43">
        <f>X47*F47*0.0045</f>
        <v>5401.4436837811891</v>
      </c>
      <c r="U47" s="22">
        <f>E47*5</f>
        <v>1300</v>
      </c>
      <c r="W47" s="22">
        <v>0.3</v>
      </c>
      <c r="X47" s="22">
        <f>((O47*F47)+Q47+R47+S47+U47)/G47</f>
        <v>37.098464491362762</v>
      </c>
      <c r="Y47" s="22">
        <f>((O47*F47)+Q47+R47+S47+T47+U47)/G47+W47</f>
        <v>37.605813577112521</v>
      </c>
      <c r="Z47" s="3">
        <f>Y47*G47</f>
        <v>979631.4436837812</v>
      </c>
      <c r="AA47" s="44">
        <v>43159</v>
      </c>
      <c r="AB47" s="3"/>
      <c r="AC47" s="119" t="s">
        <v>1626</v>
      </c>
    </row>
    <row r="48" spans="1:29" x14ac:dyDescent="0.25">
      <c r="A48" s="68"/>
      <c r="B48" s="34" t="s">
        <v>328</v>
      </c>
      <c r="C48" s="35" t="s">
        <v>329</v>
      </c>
      <c r="D48" s="35" t="s">
        <v>329</v>
      </c>
      <c r="E48" t="s">
        <v>1021</v>
      </c>
      <c r="F48" s="36">
        <f>41724*0.4536</f>
        <v>18926.006399999998</v>
      </c>
      <c r="G48" s="38">
        <v>18854.27</v>
      </c>
      <c r="H48" s="38">
        <f t="shared" si="8"/>
        <v>-71.736399999997957</v>
      </c>
      <c r="I48" t="s">
        <v>1540</v>
      </c>
      <c r="J48" s="5" t="s">
        <v>1022</v>
      </c>
      <c r="K48" s="39">
        <v>43146</v>
      </c>
      <c r="L48" s="39">
        <v>43147</v>
      </c>
      <c r="M48" s="35" t="s">
        <v>345</v>
      </c>
      <c r="N48" s="35" t="s">
        <v>1539</v>
      </c>
      <c r="O48" s="22"/>
      <c r="P48" s="40">
        <f>0.5491+0.095</f>
        <v>0.64410000000000001</v>
      </c>
      <c r="Q48" s="111">
        <v>23000</v>
      </c>
      <c r="R48" s="173">
        <v>9500</v>
      </c>
      <c r="S48" s="45">
        <v>18.704999999999998</v>
      </c>
      <c r="T48" s="43">
        <f>X48*F48*0.005</f>
        <v>2687.9212852428259</v>
      </c>
      <c r="V48" s="22">
        <v>0.12</v>
      </c>
      <c r="W48" s="22">
        <v>0.3</v>
      </c>
      <c r="X48" s="22">
        <f>IF(O48&gt;0,O48,((P48*2.2046*S48)+(Q48+R48)/G48)+V48)</f>
        <v>28.404526855098457</v>
      </c>
      <c r="Y48" s="22">
        <f>IF(O48&gt;0,O48,((P48*2.2046*S48)+(Q48+R48+T48)/G48)+V48+W48)</f>
        <v>28.847089854633463</v>
      </c>
      <c r="Z48" s="3">
        <f>Y48*F48</f>
        <v>545960.20721016789</v>
      </c>
      <c r="AA48" s="44">
        <v>43461</v>
      </c>
      <c r="AB48" s="3"/>
      <c r="AC48" s="119"/>
    </row>
    <row r="49" spans="1:29" x14ac:dyDescent="0.25">
      <c r="A49" s="68"/>
      <c r="B49" s="34" t="s">
        <v>328</v>
      </c>
      <c r="C49" s="35" t="s">
        <v>343</v>
      </c>
      <c r="D49" s="35" t="s">
        <v>343</v>
      </c>
      <c r="E49" t="s">
        <v>1040</v>
      </c>
      <c r="F49" s="36">
        <f>42596*0.4536</f>
        <v>19321.545600000001</v>
      </c>
      <c r="G49" s="38">
        <v>19258.240000000002</v>
      </c>
      <c r="H49" s="38">
        <f t="shared" si="8"/>
        <v>-63.305599999999686</v>
      </c>
      <c r="I49" t="s">
        <v>1541</v>
      </c>
      <c r="J49" s="5" t="s">
        <v>1022</v>
      </c>
      <c r="K49" s="39">
        <v>43147</v>
      </c>
      <c r="L49" s="39">
        <v>43148</v>
      </c>
      <c r="M49" s="35" t="s">
        <v>348</v>
      </c>
      <c r="N49" s="35" t="s">
        <v>1543</v>
      </c>
      <c r="O49" s="22"/>
      <c r="P49" s="40">
        <f>0.5564+0.105</f>
        <v>0.66139999999999999</v>
      </c>
      <c r="Q49" s="111">
        <v>23000</v>
      </c>
      <c r="R49" s="22">
        <v>9400</v>
      </c>
      <c r="S49" s="45">
        <v>18.87</v>
      </c>
      <c r="T49" s="43">
        <f>X49*F49*0.005</f>
        <v>2832.2649119525904</v>
      </c>
      <c r="V49" s="22">
        <v>0.12</v>
      </c>
      <c r="W49" s="22">
        <v>0.3</v>
      </c>
      <c r="X49" s="22">
        <f>IF(O49&gt;0,O49,((P49*2.2046*S49)+(Q49+R49)/G49)+V49)</f>
        <v>29.317167172719248</v>
      </c>
      <c r="Y49" s="22">
        <f>IF(O49&gt;0,O49,((P49*2.2046*S49)+(Q49+R49+T49)/G49)+V49+W49)</f>
        <v>29.764234864883882</v>
      </c>
      <c r="Z49" s="3">
        <f>Y49*F49</f>
        <v>575091.0211909638</v>
      </c>
      <c r="AA49" s="44">
        <v>43140</v>
      </c>
      <c r="AB49" s="3">
        <v>32</v>
      </c>
      <c r="AC49" s="119"/>
    </row>
    <row r="50" spans="1:29" x14ac:dyDescent="0.25">
      <c r="A50" s="68"/>
      <c r="B50" s="34" t="s">
        <v>340</v>
      </c>
      <c r="C50" t="s">
        <v>341</v>
      </c>
      <c r="D50" s="35" t="s">
        <v>1665</v>
      </c>
      <c r="E50">
        <v>250</v>
      </c>
      <c r="F50" s="36">
        <v>29205</v>
      </c>
      <c r="G50" s="38">
        <v>23470</v>
      </c>
      <c r="H50" s="38">
        <f t="shared" si="8"/>
        <v>-5735</v>
      </c>
      <c r="I50" t="s">
        <v>1666</v>
      </c>
      <c r="K50" s="39"/>
      <c r="L50" s="39">
        <v>43147</v>
      </c>
      <c r="M50" s="35" t="s">
        <v>345</v>
      </c>
      <c r="O50" s="22">
        <v>29</v>
      </c>
      <c r="P50" s="40"/>
      <c r="Q50" s="47">
        <v>19800</v>
      </c>
      <c r="R50" s="22">
        <f>65*E50</f>
        <v>16250</v>
      </c>
      <c r="S50" s="43">
        <f>-38*E50</f>
        <v>-9500</v>
      </c>
      <c r="T50" s="137">
        <f>X50*F50*0.0045</f>
        <v>4898.2179276736251</v>
      </c>
      <c r="U50" s="22">
        <f>E50*5</f>
        <v>1250</v>
      </c>
      <c r="W50" s="22">
        <v>0.3</v>
      </c>
      <c r="X50" s="22">
        <f>((O50*F50)+Q50+R50+S50+U50)/G50</f>
        <v>37.270771197273113</v>
      </c>
      <c r="Y50" s="22">
        <f>((O50*F50)+Q50+R50+S50+T50+U50)/G50+W50</f>
        <v>37.779472429811399</v>
      </c>
      <c r="Z50" s="3">
        <f>Y50*G50</f>
        <v>886684.21792767348</v>
      </c>
      <c r="AA50" s="44">
        <v>43160</v>
      </c>
      <c r="AB50" s="3"/>
      <c r="AC50" s="119"/>
    </row>
    <row r="51" spans="1:29" x14ac:dyDescent="0.25">
      <c r="A51" s="68"/>
      <c r="B51" s="34" t="s">
        <v>340</v>
      </c>
      <c r="C51" t="s">
        <v>341</v>
      </c>
      <c r="D51" s="35" t="s">
        <v>1047</v>
      </c>
      <c r="E51">
        <v>130</v>
      </c>
      <c r="F51" s="36">
        <v>15265</v>
      </c>
      <c r="G51" s="38">
        <v>12060</v>
      </c>
      <c r="H51" s="38">
        <f t="shared" si="8"/>
        <v>-3205</v>
      </c>
      <c r="I51" s="35" t="s">
        <v>1667</v>
      </c>
      <c r="K51" s="39"/>
      <c r="L51" s="39">
        <v>43147</v>
      </c>
      <c r="M51" s="35" t="s">
        <v>345</v>
      </c>
      <c r="O51" s="22">
        <v>29</v>
      </c>
      <c r="P51" s="40"/>
      <c r="Q51" s="111">
        <v>15700</v>
      </c>
      <c r="R51" s="22">
        <f>65*E51</f>
        <v>8450</v>
      </c>
      <c r="S51" s="43">
        <f>-38*E51</f>
        <v>-4940</v>
      </c>
      <c r="T51" s="161">
        <f>X51*F51*0.0045</f>
        <v>2634.6079944029848</v>
      </c>
      <c r="U51" s="22">
        <f>E51*5</f>
        <v>650</v>
      </c>
      <c r="W51" s="22">
        <v>0.3</v>
      </c>
      <c r="X51" s="22">
        <f>((O51*F51)+Q51+R51+S51+U51)/G51</f>
        <v>38.353648424543948</v>
      </c>
      <c r="Y51" s="22">
        <f>((O51*F51)+Q51+R51+S51+T51+U51)/G51+W51</f>
        <v>38.872106798872551</v>
      </c>
      <c r="Z51" s="3">
        <f>Y51*G51</f>
        <v>468797.60799440299</v>
      </c>
      <c r="AA51" s="44">
        <v>43160</v>
      </c>
      <c r="AB51" s="3"/>
      <c r="AC51" s="119" t="s">
        <v>1670</v>
      </c>
    </row>
    <row r="52" spans="1:29" x14ac:dyDescent="0.25">
      <c r="A52" s="68"/>
      <c r="B52" s="34" t="s">
        <v>328</v>
      </c>
      <c r="C52" s="35" t="s">
        <v>343</v>
      </c>
      <c r="D52" s="35" t="s">
        <v>343</v>
      </c>
      <c r="E52" t="s">
        <v>1040</v>
      </c>
      <c r="F52" s="36">
        <f>42548*0.4536</f>
        <v>19299.772799999999</v>
      </c>
      <c r="G52" s="38">
        <v>19223.89</v>
      </c>
      <c r="H52" s="38">
        <f t="shared" si="8"/>
        <v>-75.882799999999406</v>
      </c>
      <c r="I52" t="s">
        <v>1542</v>
      </c>
      <c r="J52" s="5" t="s">
        <v>1022</v>
      </c>
      <c r="K52" s="39">
        <v>43147</v>
      </c>
      <c r="L52" s="39">
        <v>43148</v>
      </c>
      <c r="M52" s="35" t="s">
        <v>348</v>
      </c>
      <c r="N52" s="35" t="s">
        <v>1544</v>
      </c>
      <c r="O52" s="22"/>
      <c r="P52" s="40">
        <f>0.5878+0.105</f>
        <v>0.69279999999999997</v>
      </c>
      <c r="Q52" s="111">
        <v>23000</v>
      </c>
      <c r="R52" s="22">
        <v>9400</v>
      </c>
      <c r="S52" s="45">
        <v>18.72</v>
      </c>
      <c r="T52" s="137">
        <f>X52*F52*0.005</f>
        <v>2933.3084404826213</v>
      </c>
      <c r="V52" s="22">
        <v>0.12</v>
      </c>
      <c r="W52" s="22">
        <v>0.3</v>
      </c>
      <c r="X52" s="22">
        <f>IF(O52&gt;0,O52,((P52*2.2046*S52)+(Q52+R52)/G52)+V52)</f>
        <v>30.397336495926222</v>
      </c>
      <c r="Y52" s="22">
        <f>IF(O52&gt;0,O52,((P52*2.2046*S52)+(Q52+R52+T52)/G52)+V52+W52)</f>
        <v>30.849923118117808</v>
      </c>
      <c r="Z52" s="3">
        <f>Y52*F52</f>
        <v>595396.5070771412</v>
      </c>
      <c r="AA52" s="44">
        <v>43143</v>
      </c>
      <c r="AB52" s="3"/>
      <c r="AC52" s="119"/>
    </row>
    <row r="53" spans="1:29" ht="15.75" thickBot="1" x14ac:dyDescent="0.3">
      <c r="A53" s="69"/>
      <c r="B53" s="49"/>
      <c r="C53" s="23"/>
      <c r="D53" s="23"/>
      <c r="E53" s="23"/>
      <c r="F53" s="50"/>
      <c r="G53" s="50"/>
      <c r="H53" s="50"/>
      <c r="I53" s="26"/>
      <c r="J53" s="23"/>
      <c r="K53" s="27"/>
      <c r="L53" s="27"/>
      <c r="M53" s="23"/>
      <c r="N53" s="23"/>
      <c r="O53" s="28"/>
      <c r="P53" s="29"/>
      <c r="Q53" s="28"/>
      <c r="R53" s="28"/>
      <c r="S53" s="28"/>
      <c r="T53" s="28"/>
      <c r="U53" s="28"/>
      <c r="V53" s="28"/>
      <c r="W53" s="28"/>
      <c r="X53" s="28"/>
      <c r="Y53" s="28"/>
      <c r="Z53" s="32"/>
      <c r="AA53" s="51"/>
      <c r="AB53" s="3"/>
      <c r="AC53" s="119"/>
    </row>
    <row r="54" spans="1:29" ht="15.75" thickTop="1" x14ac:dyDescent="0.25">
      <c r="A54" s="133"/>
      <c r="B54" s="53" t="s">
        <v>340</v>
      </c>
      <c r="C54" s="53" t="s">
        <v>341</v>
      </c>
      <c r="D54" s="54" t="s">
        <v>1668</v>
      </c>
      <c r="E54" s="53">
        <v>200</v>
      </c>
      <c r="F54" s="55">
        <v>23880</v>
      </c>
      <c r="G54" s="56">
        <f>12420+6810</f>
        <v>19230</v>
      </c>
      <c r="H54" s="121">
        <f t="shared" ref="H54:H71" si="9">G54-F54</f>
        <v>-4650</v>
      </c>
      <c r="I54" s="57" t="s">
        <v>1669</v>
      </c>
      <c r="J54" s="53"/>
      <c r="K54" s="58"/>
      <c r="L54" s="58">
        <v>43149</v>
      </c>
      <c r="M54" s="54" t="s">
        <v>349</v>
      </c>
      <c r="N54" s="53"/>
      <c r="O54" s="59">
        <v>28.5</v>
      </c>
      <c r="P54" s="60"/>
      <c r="Q54" s="61">
        <v>19800</v>
      </c>
      <c r="R54" s="59">
        <f>65*E54</f>
        <v>13000</v>
      </c>
      <c r="S54" s="59">
        <f>-38*E54</f>
        <v>-7600</v>
      </c>
      <c r="T54" s="138">
        <f>X54*F54*0.0045</f>
        <v>3949.588081123245</v>
      </c>
      <c r="U54" s="59">
        <f>E54*5</f>
        <v>1000</v>
      </c>
      <c r="V54" s="53"/>
      <c r="W54" s="59">
        <v>0.3</v>
      </c>
      <c r="X54" s="59">
        <f>((O54*F54)+Q54+R54+S54+U54)/G54</f>
        <v>36.754030161206451</v>
      </c>
      <c r="Y54" s="63">
        <f>((O54*F54)+Q54+R54+S54+T54+U54)/G54+W54</f>
        <v>37.259416956896679</v>
      </c>
      <c r="Z54" s="63">
        <f>Y54*G54</f>
        <v>716498.58808112319</v>
      </c>
      <c r="AA54" s="64">
        <v>43164</v>
      </c>
      <c r="AB54" s="3">
        <v>40</v>
      </c>
      <c r="AC54" s="3" t="s">
        <v>1671</v>
      </c>
    </row>
    <row r="55" spans="1:29" x14ac:dyDescent="0.25">
      <c r="A55" s="134"/>
      <c r="B55" s="34" t="s">
        <v>340</v>
      </c>
      <c r="C55" t="s">
        <v>341</v>
      </c>
      <c r="D55" s="35" t="s">
        <v>1668</v>
      </c>
      <c r="E55">
        <v>200</v>
      </c>
      <c r="F55" s="36">
        <v>24230</v>
      </c>
      <c r="G55" s="38">
        <f>12720+6750</f>
        <v>19470</v>
      </c>
      <c r="H55" s="38">
        <f t="shared" si="9"/>
        <v>-4760</v>
      </c>
      <c r="I55" s="35" t="s">
        <v>1672</v>
      </c>
      <c r="K55" s="39"/>
      <c r="L55" s="39">
        <v>43150</v>
      </c>
      <c r="M55" s="35" t="s">
        <v>350</v>
      </c>
      <c r="O55" s="22">
        <v>28.5</v>
      </c>
      <c r="P55" s="40"/>
      <c r="Q55" s="47">
        <f>19800</f>
        <v>19800</v>
      </c>
      <c r="R55" s="22">
        <f>65*E55</f>
        <v>13000</v>
      </c>
      <c r="S55" s="43">
        <f>-38*E55</f>
        <v>-7600</v>
      </c>
      <c r="T55" s="137">
        <f>X55*F55*0.0045</f>
        <v>4013.9384399075498</v>
      </c>
      <c r="U55" s="22">
        <f>E55*5</f>
        <v>1000</v>
      </c>
      <c r="W55" s="22">
        <v>0.3</v>
      </c>
      <c r="X55" s="22">
        <f>((O55*F55)+Q55+R55+S55+U55)/G55</f>
        <v>36.813302516692346</v>
      </c>
      <c r="Y55" s="22">
        <f>((O55*F55)+Q55+R55+S55+T55+U55)/G55+W55</f>
        <v>37.319462683097456</v>
      </c>
      <c r="Z55" s="3">
        <f>Y55*G55</f>
        <v>726609.93843990751</v>
      </c>
      <c r="AA55" s="44">
        <v>43164</v>
      </c>
      <c r="AB55" s="3">
        <v>40</v>
      </c>
      <c r="AC55" s="119" t="s">
        <v>1687</v>
      </c>
    </row>
    <row r="56" spans="1:29" x14ac:dyDescent="0.25">
      <c r="A56" s="134"/>
      <c r="B56" s="34" t="s">
        <v>1105</v>
      </c>
      <c r="C56" t="s">
        <v>343</v>
      </c>
      <c r="D56" s="35" t="s">
        <v>1106</v>
      </c>
      <c r="E56" t="s">
        <v>1260</v>
      </c>
      <c r="F56" s="36">
        <v>1827.1</v>
      </c>
      <c r="G56" s="38">
        <v>1827.1</v>
      </c>
      <c r="H56" s="38">
        <f t="shared" si="9"/>
        <v>0</v>
      </c>
      <c r="I56" s="35" t="s">
        <v>1725</v>
      </c>
      <c r="K56" s="39"/>
      <c r="L56" s="39">
        <v>43150</v>
      </c>
      <c r="M56" s="35" t="s">
        <v>350</v>
      </c>
      <c r="O56" s="22">
        <v>19</v>
      </c>
      <c r="P56" s="40"/>
      <c r="Q56" s="22"/>
      <c r="R56" s="22"/>
      <c r="S56" s="43"/>
      <c r="T56" s="43"/>
      <c r="U56" s="22"/>
      <c r="W56" s="22"/>
      <c r="X56" s="22">
        <f>IF(O56&gt;0,O56,((P56*2.2046*S56)+(Q56+R56)/G56)+V56)</f>
        <v>19</v>
      </c>
      <c r="Y56" s="22">
        <f>IF(O56&gt;0,O56,((P56*2.2046*S56)+(Q56+R56+T56)/G56)+V56+W56)</f>
        <v>19</v>
      </c>
      <c r="Z56" s="3">
        <f>Y56*F56</f>
        <v>34714.9</v>
      </c>
      <c r="AA56" s="44">
        <v>43157</v>
      </c>
      <c r="AB56" s="3"/>
      <c r="AC56" s="119"/>
    </row>
    <row r="57" spans="1:29" x14ac:dyDescent="0.25">
      <c r="A57" s="134"/>
      <c r="B57" s="34" t="s">
        <v>1596</v>
      </c>
      <c r="C57" t="s">
        <v>1597</v>
      </c>
      <c r="D57" s="35" t="s">
        <v>1065</v>
      </c>
      <c r="E57" t="s">
        <v>1722</v>
      </c>
      <c r="F57" s="36">
        <v>4000.59</v>
      </c>
      <c r="G57" s="38">
        <v>4003.56</v>
      </c>
      <c r="H57" s="38">
        <f t="shared" si="9"/>
        <v>2.9699999999997999</v>
      </c>
      <c r="I57" s="35" t="s">
        <v>1872</v>
      </c>
      <c r="K57" s="39"/>
      <c r="L57" s="39">
        <v>43151</v>
      </c>
      <c r="M57" s="35" t="s">
        <v>355</v>
      </c>
      <c r="O57" s="22">
        <v>91</v>
      </c>
      <c r="P57" s="40"/>
      <c r="Q57" s="22"/>
      <c r="R57" s="22"/>
      <c r="S57" s="43"/>
      <c r="T57" s="43"/>
      <c r="U57" s="22"/>
      <c r="W57" s="22"/>
      <c r="X57" s="22">
        <f>IF(O57&gt;0,O57,((P57*2.2046*S57)+(Q57+R57)/G57)+V57)</f>
        <v>91</v>
      </c>
      <c r="Y57" s="22">
        <f>IF(O57&gt;0,O57,((P57*2.2046*S57)+(Q57+R57+T57)/G57)+V57+W57)</f>
        <v>91</v>
      </c>
      <c r="Z57" s="3">
        <f>Y57*F57</f>
        <v>364053.69</v>
      </c>
      <c r="AA57" s="44">
        <v>43161</v>
      </c>
      <c r="AB57" s="3"/>
      <c r="AC57" s="119"/>
    </row>
    <row r="58" spans="1:29" x14ac:dyDescent="0.25">
      <c r="A58" s="134"/>
      <c r="B58" s="34" t="s">
        <v>328</v>
      </c>
      <c r="C58" t="s">
        <v>329</v>
      </c>
      <c r="D58" s="35" t="s">
        <v>329</v>
      </c>
      <c r="E58" t="s">
        <v>1168</v>
      </c>
      <c r="F58" s="36">
        <f>39803*0.4536</f>
        <v>18054.640800000001</v>
      </c>
      <c r="G58" s="38">
        <v>17985.86</v>
      </c>
      <c r="H58" s="38">
        <f t="shared" si="9"/>
        <v>-68.780800000000454</v>
      </c>
      <c r="I58" s="35" t="s">
        <v>1609</v>
      </c>
      <c r="J58" s="5" t="s">
        <v>1089</v>
      </c>
      <c r="K58" s="39">
        <v>43151</v>
      </c>
      <c r="L58" s="39">
        <v>43152</v>
      </c>
      <c r="M58" s="35" t="s">
        <v>331</v>
      </c>
      <c r="N58" s="35" t="s">
        <v>1611</v>
      </c>
      <c r="O58" s="22"/>
      <c r="P58" s="40">
        <f>0.5943+0.095</f>
        <v>0.68930000000000002</v>
      </c>
      <c r="Q58" s="111">
        <v>25000</v>
      </c>
      <c r="R58" s="173">
        <v>9500</v>
      </c>
      <c r="S58" s="45">
        <v>18.850000000000001</v>
      </c>
      <c r="T58" s="137">
        <f>X58*F58*0.005</f>
        <v>2769.8720098524545</v>
      </c>
      <c r="V58" s="22">
        <v>0.12</v>
      </c>
      <c r="W58" s="22">
        <v>0.3</v>
      </c>
      <c r="X58" s="22">
        <f>IF(O58&gt;0,O58,((P58*2.2046*S58)+(Q58+R58)/G58)+V58)</f>
        <v>30.683213701514951</v>
      </c>
      <c r="Y58" s="22">
        <f>IF(O58&gt;0,O58,((P58*2.2046*S58)+(Q58+R58+T58)/G58)+V58+W58)</f>
        <v>31.137216457560669</v>
      </c>
      <c r="Z58" s="3">
        <f>Y58*F58</f>
        <v>562171.2586531064</v>
      </c>
      <c r="AA58" s="44">
        <v>43161</v>
      </c>
      <c r="AB58" s="3">
        <v>32</v>
      </c>
      <c r="AC58" s="119"/>
    </row>
    <row r="59" spans="1:29" x14ac:dyDescent="0.25">
      <c r="A59" s="134"/>
      <c r="B59" s="34" t="s">
        <v>328</v>
      </c>
      <c r="C59" t="s">
        <v>336</v>
      </c>
      <c r="D59" s="35" t="s">
        <v>1129</v>
      </c>
      <c r="E59" t="s">
        <v>1021</v>
      </c>
      <c r="F59" s="36">
        <f>41038*0.4536</f>
        <v>18614.836800000001</v>
      </c>
      <c r="G59" s="38">
        <v>18425.150000000001</v>
      </c>
      <c r="H59" s="38">
        <f t="shared" si="9"/>
        <v>-189.68679999999949</v>
      </c>
      <c r="I59" t="s">
        <v>1610</v>
      </c>
      <c r="J59" s="5" t="s">
        <v>1022</v>
      </c>
      <c r="K59" s="39">
        <v>43150</v>
      </c>
      <c r="L59" s="39">
        <v>43151</v>
      </c>
      <c r="M59" s="35" t="s">
        <v>355</v>
      </c>
      <c r="N59" s="35" t="s">
        <v>1612</v>
      </c>
      <c r="O59" s="22"/>
      <c r="P59" s="40">
        <f>0.5818+0.105</f>
        <v>0.68679999999999997</v>
      </c>
      <c r="Q59" s="111">
        <v>23000</v>
      </c>
      <c r="R59" s="22">
        <v>9400</v>
      </c>
      <c r="S59" s="45">
        <v>18.55</v>
      </c>
      <c r="T59" s="137">
        <f>X59*F59*0.005</f>
        <v>2789.0031664510975</v>
      </c>
      <c r="V59" s="22">
        <v>0.12</v>
      </c>
      <c r="W59" s="22">
        <v>0.3</v>
      </c>
      <c r="X59" s="22">
        <f>IF(O59&gt;0,O59,((P59*2.2046*S59)+(Q59+R59)/G59)+V59)</f>
        <v>29.965378653774685</v>
      </c>
      <c r="Y59" s="22">
        <f>IF(O59&gt;0,O59,((P59*2.2046*S59)+(Q59+R59+T59)/G59)+V59+W59)</f>
        <v>30.416748013940062</v>
      </c>
      <c r="Z59" s="3">
        <f>Y59*F59</f>
        <v>566202.80026621837</v>
      </c>
      <c r="AA59" s="44">
        <v>43151</v>
      </c>
      <c r="AB59" s="3">
        <v>33</v>
      </c>
      <c r="AC59" s="119"/>
    </row>
    <row r="60" spans="1:29" x14ac:dyDescent="0.25">
      <c r="A60" s="134"/>
      <c r="B60" s="34" t="s">
        <v>340</v>
      </c>
      <c r="C60" t="s">
        <v>341</v>
      </c>
      <c r="D60" s="35" t="s">
        <v>1668</v>
      </c>
      <c r="E60">
        <v>200</v>
      </c>
      <c r="F60" s="36">
        <v>23655</v>
      </c>
      <c r="G60" s="38">
        <f>12280+6590</f>
        <v>18870</v>
      </c>
      <c r="H60" s="38">
        <f t="shared" si="9"/>
        <v>-4785</v>
      </c>
      <c r="I60" s="35" t="s">
        <v>1692</v>
      </c>
      <c r="K60" s="39"/>
      <c r="L60" s="39">
        <v>43151</v>
      </c>
      <c r="M60" s="35" t="s">
        <v>355</v>
      </c>
      <c r="O60" s="22">
        <v>28.5</v>
      </c>
      <c r="P60" s="40"/>
      <c r="Q60" s="47">
        <v>19800</v>
      </c>
      <c r="R60" s="22">
        <f>65*E60</f>
        <v>13000</v>
      </c>
      <c r="S60" s="43">
        <f>-38*E60</f>
        <v>-7600</v>
      </c>
      <c r="T60" s="137">
        <f>X60*F60*0.005</f>
        <v>4389.8233207472176</v>
      </c>
      <c r="U60" s="22">
        <f>E60*5</f>
        <v>1000</v>
      </c>
      <c r="W60" s="22">
        <v>0.3</v>
      </c>
      <c r="X60" s="22">
        <f>((O60*F60)+Q60+R60+S60+U60)/G60</f>
        <v>37.115394806571274</v>
      </c>
      <c r="Y60" s="22">
        <f>((O60*F60)+Q60+R60+S60+T60+U60)/G60+W60</f>
        <v>37.648029852715801</v>
      </c>
      <c r="Z60" s="3">
        <f>Y60*G60</f>
        <v>710418.32332074712</v>
      </c>
      <c r="AA60" s="44">
        <v>43164</v>
      </c>
      <c r="AB60" s="3"/>
      <c r="AC60" s="119" t="s">
        <v>1696</v>
      </c>
    </row>
    <row r="61" spans="1:29" x14ac:dyDescent="0.25">
      <c r="A61" s="134"/>
      <c r="B61" s="34" t="s">
        <v>328</v>
      </c>
      <c r="C61" s="35" t="s">
        <v>343</v>
      </c>
      <c r="D61" s="35" t="s">
        <v>343</v>
      </c>
      <c r="E61" t="s">
        <v>1040</v>
      </c>
      <c r="F61" s="36">
        <f>42730*0.4536</f>
        <v>19382.328000000001</v>
      </c>
      <c r="G61" s="38">
        <v>19343.13</v>
      </c>
      <c r="H61" s="38">
        <f t="shared" si="9"/>
        <v>-39.19800000000032</v>
      </c>
      <c r="I61" t="s">
        <v>1613</v>
      </c>
      <c r="J61" s="5" t="s">
        <v>1022</v>
      </c>
      <c r="K61" s="39">
        <v>43151</v>
      </c>
      <c r="L61" s="39">
        <v>43152</v>
      </c>
      <c r="M61" s="35" t="s">
        <v>331</v>
      </c>
      <c r="N61" s="35" t="s">
        <v>1614</v>
      </c>
      <c r="O61" s="22"/>
      <c r="P61" s="40">
        <f>0.5943+0.105</f>
        <v>0.69930000000000003</v>
      </c>
      <c r="Q61" s="111">
        <v>23000</v>
      </c>
      <c r="R61" s="22">
        <v>9400</v>
      </c>
      <c r="S61" s="45">
        <v>18.699000000000002</v>
      </c>
      <c r="T61" s="137">
        <f>X61*F61*0.005</f>
        <v>2967.7084255961795</v>
      </c>
      <c r="V61" s="22">
        <v>0.12</v>
      </c>
      <c r="W61" s="22">
        <v>0.3</v>
      </c>
      <c r="X61" s="22">
        <f>IF(O61&gt;0,O61,((P61*2.2046*S61)+(Q61+R61)/G61)+V61)</f>
        <v>30.622827408515416</v>
      </c>
      <c r="Y61" s="22">
        <f>IF(O61&gt;0,O61,((P61*2.2046*S61)+(Q61+R61+T61)/G61)+V61+W61)</f>
        <v>31.076251824605066</v>
      </c>
      <c r="Z61" s="3">
        <f>Y61*F61</f>
        <v>602330.10587509396</v>
      </c>
      <c r="AA61" s="44">
        <v>43145</v>
      </c>
      <c r="AB61" s="3"/>
      <c r="AC61" s="119"/>
    </row>
    <row r="62" spans="1:29" x14ac:dyDescent="0.25">
      <c r="A62" s="134"/>
      <c r="B62" s="34" t="s">
        <v>340</v>
      </c>
      <c r="C62" t="s">
        <v>341</v>
      </c>
      <c r="D62" s="35" t="s">
        <v>1668</v>
      </c>
      <c r="E62">
        <v>200</v>
      </c>
      <c r="F62" s="36">
        <v>24000</v>
      </c>
      <c r="G62" s="38">
        <f>12600+6870</f>
        <v>19470</v>
      </c>
      <c r="H62" s="38">
        <f t="shared" si="9"/>
        <v>-4530</v>
      </c>
      <c r="I62" s="35" t="s">
        <v>1698</v>
      </c>
      <c r="K62" s="39"/>
      <c r="L62" s="39">
        <v>43152</v>
      </c>
      <c r="M62" s="35" t="s">
        <v>331</v>
      </c>
      <c r="O62" s="22">
        <v>28.5</v>
      </c>
      <c r="P62" s="40"/>
      <c r="Q62" s="22">
        <v>19800</v>
      </c>
      <c r="R62" s="22">
        <f>65*E62</f>
        <v>13000</v>
      </c>
      <c r="S62" s="43">
        <f>-38*E62</f>
        <v>-7600</v>
      </c>
      <c r="T62" s="137">
        <f>X62*F62*0.0045</f>
        <v>3939.476117103236</v>
      </c>
      <c r="U62" s="22">
        <f>E62*5</f>
        <v>1000</v>
      </c>
      <c r="W62" s="22">
        <v>0.3</v>
      </c>
      <c r="X62" s="22">
        <f>((O62*F62)+Q62+R62+S62+U62)/G62</f>
        <v>36.476630713918851</v>
      </c>
      <c r="Y62" s="22">
        <f>((O62*F62)+Q62+R62+S62+T62+U62)/G62+W62</f>
        <v>36.978966415875867</v>
      </c>
      <c r="Z62" s="3">
        <f>Y62*G62</f>
        <v>719980.47611710313</v>
      </c>
      <c r="AA62" s="44">
        <v>43165</v>
      </c>
      <c r="AB62" s="3"/>
      <c r="AC62" s="119" t="s">
        <v>1701</v>
      </c>
    </row>
    <row r="63" spans="1:29" x14ac:dyDescent="0.25">
      <c r="A63" s="134"/>
      <c r="B63" s="34" t="s">
        <v>328</v>
      </c>
      <c r="C63" s="35" t="s">
        <v>343</v>
      </c>
      <c r="D63" s="35" t="s">
        <v>343</v>
      </c>
      <c r="E63" t="s">
        <v>1040</v>
      </c>
      <c r="F63" s="36">
        <f>43234*0.4536</f>
        <v>19610.9424</v>
      </c>
      <c r="G63" s="38">
        <v>19492.47</v>
      </c>
      <c r="H63" s="38">
        <f t="shared" si="9"/>
        <v>-118.47239999999874</v>
      </c>
      <c r="I63" t="s">
        <v>1615</v>
      </c>
      <c r="J63" s="5" t="s">
        <v>1022</v>
      </c>
      <c r="K63" s="39">
        <v>43152</v>
      </c>
      <c r="L63" s="39">
        <v>43153</v>
      </c>
      <c r="M63" s="35" t="s">
        <v>342</v>
      </c>
      <c r="N63" s="35" t="s">
        <v>1616</v>
      </c>
      <c r="O63" s="22"/>
      <c r="P63" s="40">
        <f>0.5938+0.105</f>
        <v>0.69879999999999998</v>
      </c>
      <c r="Q63" s="111">
        <v>23000</v>
      </c>
      <c r="R63" s="22">
        <v>9400</v>
      </c>
      <c r="S63" s="45">
        <v>18.649000000000001</v>
      </c>
      <c r="T63" s="137">
        <f>X63*F63*0.005</f>
        <v>2991.8800639463043</v>
      </c>
      <c r="V63" s="22">
        <v>0.12</v>
      </c>
      <c r="W63" s="22">
        <v>0.3</v>
      </c>
      <c r="X63" s="22">
        <f>IF(O63&gt;0,O63,((P63*2.2046*S63)+(Q63+R63)/G63)+V63)</f>
        <v>30.512353796381596</v>
      </c>
      <c r="Y63" s="22">
        <f>IF(O63&gt;0,O63,((P63*2.2046*S63)+(Q63+R63+T63)/G63)+V63+W63)</f>
        <v>30.965842813624988</v>
      </c>
      <c r="Z63" s="3">
        <f>Y63*F63</f>
        <v>607269.35978545353</v>
      </c>
      <c r="AA63" s="44">
        <v>43146</v>
      </c>
      <c r="AB63" s="3">
        <v>33</v>
      </c>
      <c r="AC63" s="119"/>
    </row>
    <row r="64" spans="1:29" x14ac:dyDescent="0.25">
      <c r="A64" s="134"/>
      <c r="B64" s="34" t="s">
        <v>340</v>
      </c>
      <c r="C64" t="s">
        <v>341</v>
      </c>
      <c r="D64" s="35" t="s">
        <v>1665</v>
      </c>
      <c r="E64">
        <v>200</v>
      </c>
      <c r="F64" s="36">
        <v>22900</v>
      </c>
      <c r="G64" s="38">
        <v>18290</v>
      </c>
      <c r="H64" s="38">
        <f t="shared" si="9"/>
        <v>-4610</v>
      </c>
      <c r="I64" s="35" t="s">
        <v>1713</v>
      </c>
      <c r="K64" s="39"/>
      <c r="L64" s="39">
        <v>43153</v>
      </c>
      <c r="M64" s="35" t="s">
        <v>342</v>
      </c>
      <c r="O64" s="22">
        <v>28.5</v>
      </c>
      <c r="P64" s="40"/>
      <c r="Q64" s="47">
        <v>19800</v>
      </c>
      <c r="R64" s="22">
        <f>65*E64</f>
        <v>13000</v>
      </c>
      <c r="S64" s="43">
        <f>-38*E64</f>
        <v>-7600</v>
      </c>
      <c r="T64" s="137">
        <f>X64*F64*0.0045</f>
        <v>3824.7945598687802</v>
      </c>
      <c r="U64" s="22">
        <f>E64*5</f>
        <v>1000</v>
      </c>
      <c r="W64" s="22">
        <v>0.3</v>
      </c>
      <c r="X64" s="22">
        <f>((O64*F64)+Q64+R64+S64+U64)/G64</f>
        <v>37.115910333515579</v>
      </c>
      <c r="Y64" s="22">
        <f>((O64*F64)+Q64+R64+S64+T64+U64)/G64+W64</f>
        <v>37.625029773639625</v>
      </c>
      <c r="Z64" s="3">
        <f>Y64*G64</f>
        <v>688161.79455986875</v>
      </c>
      <c r="AA64" s="44">
        <v>43166</v>
      </c>
      <c r="AB64" s="3">
        <v>40</v>
      </c>
      <c r="AC64" s="119"/>
    </row>
    <row r="65" spans="1:29" x14ac:dyDescent="0.25">
      <c r="A65" s="134"/>
      <c r="B65" s="34" t="s">
        <v>340</v>
      </c>
      <c r="C65" t="s">
        <v>341</v>
      </c>
      <c r="D65" s="35" t="s">
        <v>1389</v>
      </c>
      <c r="E65">
        <v>130</v>
      </c>
      <c r="F65" s="36">
        <v>16395</v>
      </c>
      <c r="G65" s="38">
        <v>13040</v>
      </c>
      <c r="H65" s="38">
        <f t="shared" si="9"/>
        <v>-3355</v>
      </c>
      <c r="I65" t="s">
        <v>1712</v>
      </c>
      <c r="K65" s="39"/>
      <c r="L65" s="39">
        <v>43153</v>
      </c>
      <c r="M65" s="35" t="s">
        <v>342</v>
      </c>
      <c r="O65" s="22">
        <v>28.5</v>
      </c>
      <c r="P65" s="40"/>
      <c r="Q65" s="22">
        <v>15700</v>
      </c>
      <c r="R65" s="22">
        <f>65*E65</f>
        <v>8450</v>
      </c>
      <c r="S65" s="43">
        <f>-38*E65</f>
        <v>-4940</v>
      </c>
      <c r="T65" s="137">
        <f>X65*F65*0.0045</f>
        <v>2756.0054721050615</v>
      </c>
      <c r="U65" s="22">
        <f>E65*5</f>
        <v>650</v>
      </c>
      <c r="W65" s="22">
        <v>0.3</v>
      </c>
      <c r="X65" s="22">
        <f>((O65*F65)+Q65+R65+S65+U65)/G65</f>
        <v>37.355636503067487</v>
      </c>
      <c r="Y65" s="22">
        <f>((O65*F65)+Q65+R65+S65+T65+U65)/G65+W65</f>
        <v>37.866986615958972</v>
      </c>
      <c r="Z65" s="3">
        <f>Y65*G65</f>
        <v>493785.505472105</v>
      </c>
      <c r="AA65" s="44">
        <v>43166</v>
      </c>
      <c r="AB65" s="3"/>
      <c r="AC65" s="119" t="s">
        <v>1716</v>
      </c>
    </row>
    <row r="66" spans="1:29" x14ac:dyDescent="0.25">
      <c r="A66" s="134"/>
      <c r="B66" s="34" t="s">
        <v>1105</v>
      </c>
      <c r="C66" t="s">
        <v>343</v>
      </c>
      <c r="D66" s="35" t="s">
        <v>1106</v>
      </c>
      <c r="E66" t="s">
        <v>1260</v>
      </c>
      <c r="F66" s="36">
        <v>1778.1</v>
      </c>
      <c r="G66" s="38">
        <v>1778.1</v>
      </c>
      <c r="H66" s="38">
        <f t="shared" si="9"/>
        <v>0</v>
      </c>
      <c r="I66" s="35" t="s">
        <v>1726</v>
      </c>
      <c r="K66" s="39"/>
      <c r="L66" s="39">
        <v>43153</v>
      </c>
      <c r="M66" s="35" t="s">
        <v>342</v>
      </c>
      <c r="O66" s="22">
        <v>19</v>
      </c>
      <c r="P66" s="40"/>
      <c r="Q66" s="22"/>
      <c r="R66" s="22"/>
      <c r="S66" s="43"/>
      <c r="T66" s="43"/>
      <c r="U66" s="22"/>
      <c r="W66" s="22"/>
      <c r="X66" s="22">
        <f>IF(O66&gt;0,O66,((P66*2.2046*S66)+(Q66+R66)/G66)+V66)</f>
        <v>19</v>
      </c>
      <c r="Y66" s="22">
        <f>IF(O66&gt;0,O66,((P66*2.2046*S66)+(Q66+R66+T66)/G66)+V66+W66)</f>
        <v>19</v>
      </c>
      <c r="Z66" s="3">
        <f>Y66*F66</f>
        <v>33783.9</v>
      </c>
      <c r="AA66" s="44">
        <v>43160</v>
      </c>
      <c r="AB66" s="3"/>
      <c r="AC66" s="119"/>
    </row>
    <row r="67" spans="1:29" x14ac:dyDescent="0.25">
      <c r="A67" s="134"/>
      <c r="B67" s="102" t="s">
        <v>328</v>
      </c>
      <c r="C67" s="103" t="s">
        <v>343</v>
      </c>
      <c r="D67" s="103" t="s">
        <v>343</v>
      </c>
      <c r="E67" s="75" t="s">
        <v>384</v>
      </c>
      <c r="F67" s="104">
        <v>19000</v>
      </c>
      <c r="G67" s="105">
        <v>19000</v>
      </c>
      <c r="H67" s="105">
        <f t="shared" si="9"/>
        <v>0</v>
      </c>
      <c r="I67" s="106" t="s">
        <v>1617</v>
      </c>
      <c r="J67" s="75" t="s">
        <v>384</v>
      </c>
      <c r="K67" s="107">
        <v>43153</v>
      </c>
      <c r="L67" s="107">
        <v>43154</v>
      </c>
      <c r="M67" s="103" t="s">
        <v>345</v>
      </c>
      <c r="N67" s="103" t="s">
        <v>1618</v>
      </c>
      <c r="O67" s="100"/>
      <c r="P67" s="108">
        <f>0.6135+0.105</f>
        <v>0.71850000000000003</v>
      </c>
      <c r="Q67" s="100">
        <v>23000</v>
      </c>
      <c r="R67" s="100">
        <v>9500</v>
      </c>
      <c r="S67" s="109">
        <v>18.600000000000001</v>
      </c>
      <c r="T67" s="110">
        <f>X67*F67*0.005</f>
        <v>2972.8370117000009</v>
      </c>
      <c r="U67" s="106"/>
      <c r="V67" s="100">
        <v>0.12</v>
      </c>
      <c r="W67" s="100">
        <v>0.3</v>
      </c>
      <c r="X67" s="100">
        <f>IF(O67&gt;0,O67,((P67*2.2046*S67)+(Q67+R67)/G67)+V67)</f>
        <v>31.29302117578948</v>
      </c>
      <c r="Y67" s="100">
        <f>IF(O67&gt;0,O67,((P67*2.2046*S67)+(Q67+R67+T67)/G67)+V67+W67)</f>
        <v>31.749486281668428</v>
      </c>
      <c r="Z67" s="84">
        <f>Y67*F67</f>
        <v>603240.23935170018</v>
      </c>
      <c r="AA67" s="75" t="s">
        <v>384</v>
      </c>
      <c r="AB67" s="3"/>
      <c r="AC67" s="119"/>
    </row>
    <row r="68" spans="1:29" x14ac:dyDescent="0.25">
      <c r="A68" s="134"/>
      <c r="B68" s="34" t="s">
        <v>340</v>
      </c>
      <c r="C68" t="s">
        <v>341</v>
      </c>
      <c r="D68" s="35" t="s">
        <v>1665</v>
      </c>
      <c r="E68">
        <v>248</v>
      </c>
      <c r="F68" s="36">
        <v>27380</v>
      </c>
      <c r="G68" s="38">
        <v>21530</v>
      </c>
      <c r="H68" s="38">
        <f t="shared" si="9"/>
        <v>-5850</v>
      </c>
      <c r="I68" t="s">
        <v>1714</v>
      </c>
      <c r="J68" s="10">
        <v>249</v>
      </c>
      <c r="K68" s="39"/>
      <c r="L68" s="39">
        <v>43154</v>
      </c>
      <c r="M68" s="35" t="s">
        <v>345</v>
      </c>
      <c r="O68" s="22">
        <v>28.5</v>
      </c>
      <c r="P68" s="40"/>
      <c r="Q68" s="22">
        <v>19800</v>
      </c>
      <c r="R68" s="22">
        <f>65*E68</f>
        <v>16120</v>
      </c>
      <c r="S68" s="43">
        <f>-38*E68</f>
        <v>-9424</v>
      </c>
      <c r="T68" s="137">
        <f>X68*F68*0.0045</f>
        <v>4624.3293943334875</v>
      </c>
      <c r="U68" s="22">
        <f>E68*5</f>
        <v>1240</v>
      </c>
      <c r="W68" s="22">
        <v>0.3</v>
      </c>
      <c r="X68" s="22">
        <f>((O68*F68)+Q68+R68+S68+U68)/G68</f>
        <v>37.532094751509518</v>
      </c>
      <c r="Y68" s="22">
        <f>((O68*F68)+Q68+R68+S68+T68+U68)/G68+W68</f>
        <v>38.04688013907726</v>
      </c>
      <c r="Z68" s="3">
        <f>Y68*G68</f>
        <v>819149.32939433341</v>
      </c>
      <c r="AA68" s="44">
        <v>43167</v>
      </c>
      <c r="AB68" s="3"/>
      <c r="AC68" s="119"/>
    </row>
    <row r="69" spans="1:29" x14ac:dyDescent="0.25">
      <c r="A69" s="134"/>
      <c r="B69" s="34" t="s">
        <v>340</v>
      </c>
      <c r="C69" t="s">
        <v>341</v>
      </c>
      <c r="D69" s="35" t="s">
        <v>1389</v>
      </c>
      <c r="E69">
        <v>130</v>
      </c>
      <c r="F69" s="36">
        <v>14020</v>
      </c>
      <c r="G69" s="38">
        <v>11140</v>
      </c>
      <c r="H69" s="38">
        <f t="shared" si="9"/>
        <v>-2880</v>
      </c>
      <c r="I69" s="35" t="s">
        <v>1715</v>
      </c>
      <c r="J69" s="10">
        <v>128</v>
      </c>
      <c r="K69" s="39"/>
      <c r="L69" s="39">
        <v>43154</v>
      </c>
      <c r="M69" s="35" t="s">
        <v>345</v>
      </c>
      <c r="O69" s="22">
        <v>28.5</v>
      </c>
      <c r="P69" s="40"/>
      <c r="Q69" s="22">
        <v>15700</v>
      </c>
      <c r="R69" s="22">
        <f>65*E69</f>
        <v>8450</v>
      </c>
      <c r="S69" s="43">
        <f>-38*E69</f>
        <v>-4940</v>
      </c>
      <c r="T69" s="137">
        <f>X69*F69*0.0045</f>
        <v>2375.3894703770193</v>
      </c>
      <c r="U69" s="22">
        <f>E69*5</f>
        <v>650</v>
      </c>
      <c r="W69" s="22">
        <v>0.3</v>
      </c>
      <c r="X69" s="22">
        <f>((O69*F69)+Q69+R69+S69+U69)/G69</f>
        <v>37.650807899461398</v>
      </c>
      <c r="Y69" s="22">
        <f>((O69*F69)+Q69+R69+S69+T69+U69)/G69+W69</f>
        <v>38.164038552098475</v>
      </c>
      <c r="Z69" s="3">
        <f>Y69*G69</f>
        <v>425147.38947037701</v>
      </c>
      <c r="AA69" s="44">
        <v>43167</v>
      </c>
      <c r="AB69" s="3"/>
      <c r="AC69" s="119" t="s">
        <v>1717</v>
      </c>
    </row>
    <row r="70" spans="1:29" x14ac:dyDescent="0.25">
      <c r="A70" s="134"/>
      <c r="B70" s="34" t="s">
        <v>1105</v>
      </c>
      <c r="C70" t="s">
        <v>343</v>
      </c>
      <c r="D70" s="35" t="s">
        <v>1106</v>
      </c>
      <c r="E70" t="s">
        <v>1260</v>
      </c>
      <c r="F70" s="36">
        <v>1810.7</v>
      </c>
      <c r="G70" s="38">
        <v>1810.7</v>
      </c>
      <c r="H70" s="38">
        <f t="shared" si="9"/>
        <v>0</v>
      </c>
      <c r="I70" s="35" t="s">
        <v>1727</v>
      </c>
      <c r="K70" s="39"/>
      <c r="L70" s="39">
        <v>43155</v>
      </c>
      <c r="M70" s="35" t="s">
        <v>348</v>
      </c>
      <c r="O70" s="22">
        <v>19</v>
      </c>
      <c r="P70" s="40"/>
      <c r="Q70" s="22"/>
      <c r="R70" s="22"/>
      <c r="S70" s="43"/>
      <c r="T70" s="43"/>
      <c r="U70" s="22"/>
      <c r="W70" s="22"/>
      <c r="X70" s="22">
        <f>IF(O70&gt;0,O70,((P70*2.2046*S70)+(Q70+R70)/G70)+V70)</f>
        <v>19</v>
      </c>
      <c r="Y70" s="22">
        <f>IF(O70&gt;0,O70,((P70*2.2046*S70)+(Q70+R70+T70)/G70)+V70+W70)</f>
        <v>19</v>
      </c>
      <c r="Z70" s="3">
        <f>Y70*F70</f>
        <v>34403.300000000003</v>
      </c>
      <c r="AA70" s="44">
        <v>43164</v>
      </c>
      <c r="AB70" s="3"/>
      <c r="AC70" s="119"/>
    </row>
    <row r="71" spans="1:29" x14ac:dyDescent="0.25">
      <c r="A71" s="134"/>
      <c r="B71" s="34" t="s">
        <v>328</v>
      </c>
      <c r="C71" t="s">
        <v>329</v>
      </c>
      <c r="D71" s="35" t="s">
        <v>329</v>
      </c>
      <c r="E71" t="s">
        <v>1021</v>
      </c>
      <c r="F71" s="36">
        <f>41662*0.4536</f>
        <v>18897.8832</v>
      </c>
      <c r="G71" s="38">
        <v>18789.490000000002</v>
      </c>
      <c r="H71" s="38">
        <f t="shared" si="9"/>
        <v>-108.39319999999861</v>
      </c>
      <c r="I71" t="s">
        <v>1619</v>
      </c>
      <c r="J71" s="5" t="s">
        <v>1022</v>
      </c>
      <c r="K71" s="39">
        <v>43153</v>
      </c>
      <c r="L71" s="39">
        <v>43155</v>
      </c>
      <c r="M71" s="35" t="s">
        <v>348</v>
      </c>
      <c r="N71" s="35" t="s">
        <v>1620</v>
      </c>
      <c r="O71" s="22"/>
      <c r="P71" s="40">
        <f>0.6135+0.095</f>
        <v>0.70850000000000002</v>
      </c>
      <c r="Q71" s="111">
        <v>23000</v>
      </c>
      <c r="R71" s="173">
        <v>9500</v>
      </c>
      <c r="S71" s="45">
        <v>18.898</v>
      </c>
      <c r="T71" s="137">
        <f>X71*F71*0.005</f>
        <v>2963.9055860926455</v>
      </c>
      <c r="V71" s="22">
        <v>0.12</v>
      </c>
      <c r="W71" s="22">
        <v>0.3</v>
      </c>
      <c r="X71" s="22">
        <f>IF(O71&gt;0,O71,((P71*2.2046*S71)+(Q71+R71)/G71)+V71)</f>
        <v>31.36759344657867</v>
      </c>
      <c r="Y71" s="22">
        <f>IF(O71&gt;0,O71,((P71*2.2046*S71)+(Q71+R71+T71)/G71)+V71+W71)</f>
        <v>31.825336183933047</v>
      </c>
      <c r="Z71" s="3">
        <f>Y71*F71</f>
        <v>601431.48600470042</v>
      </c>
      <c r="AA71" s="44">
        <v>43166</v>
      </c>
      <c r="AB71" s="3">
        <v>33</v>
      </c>
      <c r="AC71" s="119"/>
    </row>
    <row r="72" spans="1:29" ht="15.75" thickBot="1" x14ac:dyDescent="0.3">
      <c r="A72" s="135"/>
      <c r="B72" s="49"/>
      <c r="C72" s="23"/>
      <c r="D72" s="23"/>
      <c r="E72" s="23"/>
      <c r="F72" s="50"/>
      <c r="G72" s="50"/>
      <c r="H72" s="50"/>
      <c r="I72" s="26"/>
      <c r="J72" s="23"/>
      <c r="K72" s="27"/>
      <c r="L72" s="27"/>
      <c r="M72" s="23"/>
      <c r="N72" s="23"/>
      <c r="O72" s="28"/>
      <c r="P72" s="29"/>
      <c r="Q72" s="28"/>
      <c r="R72" s="28"/>
      <c r="S72" s="28"/>
      <c r="T72" s="28"/>
      <c r="U72" s="28"/>
      <c r="V72" s="28"/>
      <c r="W72" s="28"/>
      <c r="X72" s="28"/>
      <c r="Y72" s="28"/>
      <c r="Z72" s="32"/>
      <c r="AA72" s="51"/>
      <c r="AB72" s="3"/>
      <c r="AC72" s="119"/>
    </row>
    <row r="73" spans="1:29" ht="15.75" thickTop="1" x14ac:dyDescent="0.25">
      <c r="A73" s="67"/>
      <c r="B73" s="53" t="s">
        <v>340</v>
      </c>
      <c r="C73" s="53" t="s">
        <v>341</v>
      </c>
      <c r="D73" s="54" t="s">
        <v>1746</v>
      </c>
      <c r="E73" s="53">
        <f>250+10</f>
        <v>260</v>
      </c>
      <c r="F73" s="55">
        <f>27120+1240</f>
        <v>28360</v>
      </c>
      <c r="G73" s="56">
        <f>11270+11190</f>
        <v>22460</v>
      </c>
      <c r="H73" s="121">
        <f t="shared" ref="H73:H79" si="10">G73-F73</f>
        <v>-5900</v>
      </c>
      <c r="I73" s="57" t="s">
        <v>1747</v>
      </c>
      <c r="J73" s="53"/>
      <c r="K73" s="58"/>
      <c r="L73" s="58">
        <v>43156</v>
      </c>
      <c r="M73" s="54" t="s">
        <v>349</v>
      </c>
      <c r="N73" s="53"/>
      <c r="O73" s="59">
        <v>28.5</v>
      </c>
      <c r="P73" s="60"/>
      <c r="Q73" s="61">
        <v>19800</v>
      </c>
      <c r="R73" s="59">
        <f>65*E73</f>
        <v>16900</v>
      </c>
      <c r="S73" s="59">
        <f>-38*E73</f>
        <v>-9880</v>
      </c>
      <c r="T73" s="138">
        <f>X73*F73*0.0045</f>
        <v>4752.3960641139793</v>
      </c>
      <c r="U73" s="59">
        <f>E73*5</f>
        <v>1300</v>
      </c>
      <c r="V73" s="53"/>
      <c r="W73" s="59">
        <v>0.3</v>
      </c>
      <c r="X73" s="59">
        <f>((O73*F73)+Q73+R73+S73+U73)/G73</f>
        <v>37.238646482635794</v>
      </c>
      <c r="Y73" s="63">
        <f>((O73*F73)+Q73+R73+S73+T73+U73)/G73+W73</f>
        <v>37.750240252186728</v>
      </c>
      <c r="Z73" s="63">
        <f>Y73*G73</f>
        <v>847870.39606411394</v>
      </c>
      <c r="AA73" s="64">
        <v>43171</v>
      </c>
      <c r="AB73" s="3"/>
      <c r="AC73" s="3" t="s">
        <v>1749</v>
      </c>
    </row>
    <row r="74" spans="1:29" x14ac:dyDescent="0.25">
      <c r="A74" s="68"/>
      <c r="B74" s="34" t="s">
        <v>340</v>
      </c>
      <c r="C74" t="s">
        <v>341</v>
      </c>
      <c r="D74" s="35" t="s">
        <v>1047</v>
      </c>
      <c r="E74">
        <v>199</v>
      </c>
      <c r="F74" s="36">
        <v>23710</v>
      </c>
      <c r="G74" s="38">
        <f>11920+6740</f>
        <v>18660</v>
      </c>
      <c r="H74" s="38">
        <f t="shared" si="10"/>
        <v>-5050</v>
      </c>
      <c r="I74" s="35" t="s">
        <v>1751</v>
      </c>
      <c r="K74" s="39"/>
      <c r="L74" s="39">
        <v>43157</v>
      </c>
      <c r="M74" s="35" t="s">
        <v>350</v>
      </c>
      <c r="O74" s="22">
        <v>28.5</v>
      </c>
      <c r="P74" s="40"/>
      <c r="Q74" s="47">
        <f>19800</f>
        <v>19800</v>
      </c>
      <c r="R74" s="22">
        <f>65*E74</f>
        <v>12935</v>
      </c>
      <c r="S74" s="43">
        <f>-38*E74</f>
        <v>-7562</v>
      </c>
      <c r="T74" s="137">
        <f>X74*F74*0.0045</f>
        <v>4013.3730217041802</v>
      </c>
      <c r="U74" s="22">
        <f>E74*5</f>
        <v>995</v>
      </c>
      <c r="W74" s="22">
        <v>0.3</v>
      </c>
      <c r="X74" s="22">
        <f>((O74*F74)+Q74+R74+S74+U74)/G74</f>
        <v>37.615380493033229</v>
      </c>
      <c r="Y74" s="22">
        <f>((O74*F74)+Q74+R74+S74+T74+U74)/G74+W74</f>
        <v>38.130459433103113</v>
      </c>
      <c r="Z74" s="3">
        <f>Y74*G74</f>
        <v>711514.37302170403</v>
      </c>
      <c r="AA74" s="44">
        <v>43171</v>
      </c>
      <c r="AB74" s="3"/>
      <c r="AC74" s="119" t="s">
        <v>1762</v>
      </c>
    </row>
    <row r="75" spans="1:29" x14ac:dyDescent="0.25">
      <c r="A75" s="68"/>
      <c r="B75" s="34" t="s">
        <v>328</v>
      </c>
      <c r="C75" t="s">
        <v>329</v>
      </c>
      <c r="D75" s="35" t="s">
        <v>329</v>
      </c>
      <c r="E75" t="s">
        <v>1021</v>
      </c>
      <c r="F75" s="36">
        <f>41857*0.4536</f>
        <v>18986.335200000001</v>
      </c>
      <c r="G75" s="38">
        <v>18961.509999999998</v>
      </c>
      <c r="H75" s="38">
        <f t="shared" si="10"/>
        <v>-24.825200000002951</v>
      </c>
      <c r="I75" s="35" t="s">
        <v>1629</v>
      </c>
      <c r="J75" s="5" t="s">
        <v>1022</v>
      </c>
      <c r="K75" s="39">
        <v>43157</v>
      </c>
      <c r="L75" s="39">
        <v>43158</v>
      </c>
      <c r="M75" s="35" t="s">
        <v>355</v>
      </c>
      <c r="N75" s="35" t="s">
        <v>1627</v>
      </c>
      <c r="O75" s="22"/>
      <c r="P75" s="40">
        <f>0.6215+0.095</f>
        <v>0.71650000000000003</v>
      </c>
      <c r="Q75" s="111">
        <v>23000</v>
      </c>
      <c r="R75" s="173">
        <v>9500</v>
      </c>
      <c r="S75" s="45">
        <v>18.805</v>
      </c>
      <c r="T75" s="137">
        <f>X75*F75*0.005</f>
        <v>2993.9836216976332</v>
      </c>
      <c r="V75" s="22">
        <v>0.12</v>
      </c>
      <c r="W75" s="22">
        <v>0.3</v>
      </c>
      <c r="X75" s="22">
        <f>IF(O75&gt;0,O75,((P75*2.2046*S75)+(Q75+R75)/G75)+V75)</f>
        <v>31.538299415440981</v>
      </c>
      <c r="Y75" s="22">
        <f>IF(O75&gt;0,O75,((P75*2.2046*S75)+(Q75+R75+T75)/G75)+V75+W75)</f>
        <v>31.99619736880533</v>
      </c>
      <c r="Z75" s="3">
        <f>Y75*F75</f>
        <v>607490.52836949611</v>
      </c>
      <c r="AA75" s="44">
        <v>43168</v>
      </c>
      <c r="AB75" s="3" t="s">
        <v>1750</v>
      </c>
      <c r="AC75" s="119"/>
    </row>
    <row r="76" spans="1:29" x14ac:dyDescent="0.25">
      <c r="A76" s="68"/>
      <c r="B76" s="102" t="s">
        <v>328</v>
      </c>
      <c r="C76" s="106" t="s">
        <v>336</v>
      </c>
      <c r="D76" s="103" t="s">
        <v>336</v>
      </c>
      <c r="E76" s="75" t="s">
        <v>384</v>
      </c>
      <c r="F76" s="104">
        <v>18500</v>
      </c>
      <c r="G76" s="105">
        <v>18500</v>
      </c>
      <c r="H76" s="105">
        <f t="shared" si="10"/>
        <v>0</v>
      </c>
      <c r="I76" s="106" t="s">
        <v>1621</v>
      </c>
      <c r="J76" s="75" t="s">
        <v>384</v>
      </c>
      <c r="K76" s="107">
        <v>43157</v>
      </c>
      <c r="L76" s="107">
        <v>43158</v>
      </c>
      <c r="M76" s="103" t="s">
        <v>355</v>
      </c>
      <c r="N76" s="103" t="s">
        <v>1627</v>
      </c>
      <c r="O76" s="100"/>
      <c r="P76" s="108">
        <f>0.6215+0.095</f>
        <v>0.71650000000000003</v>
      </c>
      <c r="Q76" s="100">
        <v>23000</v>
      </c>
      <c r="R76" s="100">
        <v>9500</v>
      </c>
      <c r="S76" s="109">
        <v>18.545000000000002</v>
      </c>
      <c r="T76" s="110">
        <f>X76*F76*0.005</f>
        <v>2883.2585518087512</v>
      </c>
      <c r="U76" s="106"/>
      <c r="V76" s="100">
        <v>0.12</v>
      </c>
      <c r="W76" s="100">
        <v>0.3</v>
      </c>
      <c r="X76" s="100">
        <f>IF(O76&gt;0,O76,((P76*2.2046*S76)+(Q76+R76)/G76)+V76)</f>
        <v>31.170362722256765</v>
      </c>
      <c r="Y76" s="100">
        <f>IF(O76&gt;0,O76,((P76*2.2046*S76)+(Q76+R76+T76)/G76)+V76+W76)</f>
        <v>31.626214535868048</v>
      </c>
      <c r="Z76" s="84">
        <f>Y76*F76</f>
        <v>585084.96891355887</v>
      </c>
      <c r="AA76" s="75" t="s">
        <v>384</v>
      </c>
      <c r="AB76" s="3"/>
      <c r="AC76" s="119"/>
    </row>
    <row r="77" spans="1:29" x14ac:dyDescent="0.25">
      <c r="A77" s="68"/>
      <c r="B77" s="34" t="s">
        <v>328</v>
      </c>
      <c r="C77" t="s">
        <v>336</v>
      </c>
      <c r="D77" s="35" t="s">
        <v>336</v>
      </c>
      <c r="E77" t="s">
        <v>1021</v>
      </c>
      <c r="F77" s="36">
        <f>41137*0.4536</f>
        <v>18659.743200000001</v>
      </c>
      <c r="G77" s="38">
        <v>18633.169999999998</v>
      </c>
      <c r="H77" s="38">
        <f t="shared" si="10"/>
        <v>-26.573200000002544</v>
      </c>
      <c r="I77" s="35" t="s">
        <v>1622</v>
      </c>
      <c r="J77" s="5" t="s">
        <v>1022</v>
      </c>
      <c r="K77" s="39">
        <v>43157</v>
      </c>
      <c r="L77" s="39">
        <v>43158</v>
      </c>
      <c r="M77" s="35" t="s">
        <v>355</v>
      </c>
      <c r="N77" s="35" t="s">
        <v>1627</v>
      </c>
      <c r="O77" s="22"/>
      <c r="P77" s="40">
        <f>0.6215+0.095</f>
        <v>0.71650000000000003</v>
      </c>
      <c r="Q77" s="111">
        <v>23000</v>
      </c>
      <c r="R77" s="22">
        <v>9400</v>
      </c>
      <c r="S77" s="45">
        <v>18.545000000000002</v>
      </c>
      <c r="T77" s="137">
        <f>X77*F77*0.005</f>
        <v>2906.4827015040369</v>
      </c>
      <c r="V77" s="22">
        <v>0.12</v>
      </c>
      <c r="W77" s="22">
        <v>0.3</v>
      </c>
      <c r="X77" s="22">
        <f>IF(O77&gt;0,O77,((P77*2.2046*S77)+(Q77+R77)/G77)+V77)</f>
        <v>31.152440527734989</v>
      </c>
      <c r="Y77" s="22">
        <f>IF(O77&gt;0,O77,((P77*2.2046*S77)+(Q77+R77+T77)/G77)+V77+W77)</f>
        <v>31.608424866497746</v>
      </c>
      <c r="Z77" s="3">
        <f>Y77*F77</f>
        <v>589805.09096534224</v>
      </c>
      <c r="AA77" s="44">
        <v>43151</v>
      </c>
      <c r="AB77" s="3"/>
      <c r="AC77" s="119"/>
    </row>
    <row r="78" spans="1:29" x14ac:dyDescent="0.25">
      <c r="A78" s="68"/>
      <c r="B78" s="34" t="s">
        <v>340</v>
      </c>
      <c r="C78" t="s">
        <v>341</v>
      </c>
      <c r="D78" s="35" t="s">
        <v>1665</v>
      </c>
      <c r="E78">
        <v>200</v>
      </c>
      <c r="F78" s="36">
        <v>24710</v>
      </c>
      <c r="G78" s="38">
        <f>12490+6850</f>
        <v>19340</v>
      </c>
      <c r="H78" s="38">
        <f t="shared" si="10"/>
        <v>-5370</v>
      </c>
      <c r="I78" s="35" t="s">
        <v>1766</v>
      </c>
      <c r="K78" s="39"/>
      <c r="L78" s="39">
        <v>43158</v>
      </c>
      <c r="M78" s="35" t="s">
        <v>355</v>
      </c>
      <c r="O78" s="22">
        <v>28.5</v>
      </c>
      <c r="P78" s="40"/>
      <c r="Q78" s="47">
        <v>19800</v>
      </c>
      <c r="R78" s="22">
        <f>65*E78</f>
        <v>13000</v>
      </c>
      <c r="S78" s="43">
        <f>-38*E78</f>
        <v>-7600</v>
      </c>
      <c r="T78" s="137">
        <f>X78*F78*0.005</f>
        <v>4666.248410031023</v>
      </c>
      <c r="U78" s="22">
        <f>E78*5</f>
        <v>1000</v>
      </c>
      <c r="W78" s="22">
        <v>0.2</v>
      </c>
      <c r="X78" s="22">
        <f>((O78*F78)+Q78+R78+S78+U78)/G78</f>
        <v>37.768097207859356</v>
      </c>
      <c r="Y78" s="22">
        <f>((O78*F78)+Q78+R78+S78+T78+U78)/G78+W78</f>
        <v>38.209371686144316</v>
      </c>
      <c r="Z78" s="3">
        <f>Y78*G78</f>
        <v>738969.24841003108</v>
      </c>
      <c r="AA78" s="44">
        <v>43171</v>
      </c>
      <c r="AB78" s="3"/>
      <c r="AC78" s="119" t="s">
        <v>1771</v>
      </c>
    </row>
    <row r="79" spans="1:29" x14ac:dyDescent="0.25">
      <c r="A79" s="68"/>
      <c r="B79" s="34" t="s">
        <v>340</v>
      </c>
      <c r="C79" t="s">
        <v>341</v>
      </c>
      <c r="D79" s="35" t="s">
        <v>1665</v>
      </c>
      <c r="E79">
        <v>198</v>
      </c>
      <c r="F79" s="36">
        <v>23130</v>
      </c>
      <c r="G79" s="38">
        <f>11960+6170</f>
        <v>18130</v>
      </c>
      <c r="H79" s="38">
        <f t="shared" si="10"/>
        <v>-5000</v>
      </c>
      <c r="I79" s="35" t="s">
        <v>1781</v>
      </c>
      <c r="K79" s="39"/>
      <c r="L79" s="39">
        <v>43159</v>
      </c>
      <c r="M79" s="35" t="s">
        <v>331</v>
      </c>
      <c r="O79" s="22">
        <v>28.5</v>
      </c>
      <c r="P79" s="40"/>
      <c r="Q79" s="111">
        <v>19800</v>
      </c>
      <c r="R79" s="22">
        <f>65*E79</f>
        <v>12870</v>
      </c>
      <c r="S79" s="43">
        <f>-38*E79</f>
        <v>-7524</v>
      </c>
      <c r="T79" s="137">
        <f>X79*F79*0.0045</f>
        <v>3934.5680079977928</v>
      </c>
      <c r="U79" s="22">
        <f>E79*5</f>
        <v>990</v>
      </c>
      <c r="W79" s="22">
        <v>0.2</v>
      </c>
      <c r="X79" s="22">
        <f>((O79*F79)+Q79+R79+S79+U79)/G79</f>
        <v>37.801489244346385</v>
      </c>
      <c r="Y79" s="22">
        <f>((O79*F79)+Q79+R79+S79+T79+U79)/G79+W79</f>
        <v>38.218508991064418</v>
      </c>
      <c r="Z79" s="3">
        <f>Y79*G79</f>
        <v>692901.56800799794</v>
      </c>
      <c r="AA79" s="44">
        <v>43172</v>
      </c>
      <c r="AB79" s="3"/>
      <c r="AC79" s="119" t="s">
        <v>1786</v>
      </c>
    </row>
    <row r="80" spans="1:29" ht="15.75" thickBot="1" x14ac:dyDescent="0.3">
      <c r="A80" s="69"/>
      <c r="B80" s="49"/>
      <c r="C80" s="23"/>
      <c r="D80" s="23"/>
      <c r="E80" s="23"/>
      <c r="F80" s="50"/>
      <c r="G80" s="50"/>
      <c r="H80" s="50"/>
      <c r="I80" s="26"/>
      <c r="J80" s="23"/>
      <c r="K80" s="27"/>
      <c r="L80" s="27"/>
      <c r="M80" s="23"/>
      <c r="N80" s="23"/>
      <c r="O80" s="28"/>
      <c r="P80" s="29"/>
      <c r="Q80" s="28"/>
      <c r="R80" s="28"/>
      <c r="S80" s="28"/>
      <c r="T80" s="28"/>
      <c r="U80" s="28"/>
      <c r="V80" s="28"/>
      <c r="W80" s="28"/>
      <c r="X80" s="28"/>
      <c r="Y80" s="28"/>
      <c r="Z80" s="32"/>
      <c r="AA80" s="51"/>
      <c r="AB80" s="3"/>
      <c r="AC80" s="119"/>
    </row>
  </sheetData>
  <pageMargins left="0.7" right="0.7" top="0.75" bottom="0.75" header="0.3" footer="0.3"/>
  <pageSetup orientation="portrait" horizontalDpi="4294967293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AF86"/>
  <sheetViews>
    <sheetView zoomScale="80" zoomScaleNormal="80" workbookViewId="0">
      <selection activeCell="F52" sqref="F52"/>
    </sheetView>
  </sheetViews>
  <sheetFormatPr baseColWidth="10" defaultRowHeight="15" x14ac:dyDescent="0.25"/>
  <cols>
    <col min="1" max="1" width="3.5703125" customWidth="1"/>
    <col min="2" max="2" width="17" customWidth="1"/>
    <col min="3" max="3" width="13.28515625" customWidth="1"/>
    <col min="4" max="4" width="20.140625" customWidth="1"/>
    <col min="5" max="5" width="11.42578125" bestFit="1" customWidth="1"/>
    <col min="8" max="8" width="10.42578125" customWidth="1"/>
    <col min="9" max="9" width="12.85546875" bestFit="1" customWidth="1"/>
    <col min="13" max="13" width="4.42578125" customWidth="1"/>
    <col min="14" max="14" width="6.5703125" customWidth="1"/>
    <col min="15" max="15" width="10" customWidth="1"/>
    <col min="22" max="22" width="6.28515625" customWidth="1"/>
    <col min="23" max="23" width="9.28515625" customWidth="1"/>
    <col min="24" max="24" width="0" hidden="1" customWidth="1"/>
    <col min="26" max="26" width="16.85546875" customWidth="1"/>
    <col min="28" max="28" width="13" customWidth="1"/>
  </cols>
  <sheetData>
    <row r="2" spans="1:32" x14ac:dyDescent="0.25">
      <c r="A2" s="21" t="s">
        <v>1628</v>
      </c>
      <c r="S2" s="22"/>
      <c r="W2" s="22"/>
      <c r="Z2" s="3"/>
    </row>
    <row r="3" spans="1:32" ht="30.75" thickBot="1" x14ac:dyDescent="0.3">
      <c r="A3" s="23"/>
      <c r="B3" s="23" t="s">
        <v>303</v>
      </c>
      <c r="C3" s="23" t="s">
        <v>304</v>
      </c>
      <c r="D3" s="23" t="s">
        <v>305</v>
      </c>
      <c r="E3" s="23" t="s">
        <v>306</v>
      </c>
      <c r="F3" s="24" t="s">
        <v>307</v>
      </c>
      <c r="G3" s="24" t="s">
        <v>308</v>
      </c>
      <c r="H3" s="25" t="s">
        <v>309</v>
      </c>
      <c r="I3" s="26" t="s">
        <v>310</v>
      </c>
      <c r="J3" s="23" t="s">
        <v>311</v>
      </c>
      <c r="K3" s="27" t="s">
        <v>312</v>
      </c>
      <c r="L3" s="27" t="s">
        <v>313</v>
      </c>
      <c r="M3" s="23" t="s">
        <v>314</v>
      </c>
      <c r="N3" s="23" t="s">
        <v>315</v>
      </c>
      <c r="O3" s="28" t="s">
        <v>316</v>
      </c>
      <c r="P3" s="29" t="s">
        <v>317</v>
      </c>
      <c r="Q3" s="28" t="s">
        <v>318</v>
      </c>
      <c r="R3" s="30" t="s">
        <v>319</v>
      </c>
      <c r="S3" s="30" t="s">
        <v>320</v>
      </c>
      <c r="T3" s="31" t="s">
        <v>321</v>
      </c>
      <c r="U3" s="28" t="s">
        <v>322</v>
      </c>
      <c r="V3" s="28" t="s">
        <v>323</v>
      </c>
      <c r="W3" s="31" t="s">
        <v>324</v>
      </c>
      <c r="X3" s="28" t="s">
        <v>325</v>
      </c>
      <c r="Y3" s="28" t="s">
        <v>326</v>
      </c>
      <c r="Z3" s="32" t="s">
        <v>327</v>
      </c>
      <c r="AA3" s="28"/>
    </row>
    <row r="4" spans="1:32" x14ac:dyDescent="0.25">
      <c r="A4" s="68"/>
      <c r="B4" s="34" t="s">
        <v>328</v>
      </c>
      <c r="C4" s="35" t="s">
        <v>343</v>
      </c>
      <c r="D4" s="35" t="s">
        <v>343</v>
      </c>
      <c r="E4" t="s">
        <v>1040</v>
      </c>
      <c r="F4" s="36">
        <f>42788*0.4536</f>
        <v>19408.6368</v>
      </c>
      <c r="G4" s="38">
        <v>19372.900000000001</v>
      </c>
      <c r="H4" s="38">
        <f t="shared" ref="H4:H18" si="0">G4-F4</f>
        <v>-35.736799999998766</v>
      </c>
      <c r="I4" t="s">
        <v>1631</v>
      </c>
      <c r="J4" s="5" t="s">
        <v>1089</v>
      </c>
      <c r="K4" s="39">
        <v>43159</v>
      </c>
      <c r="L4" s="39">
        <v>43160</v>
      </c>
      <c r="M4" s="35" t="s">
        <v>342</v>
      </c>
      <c r="N4" s="35" t="s">
        <v>1779</v>
      </c>
      <c r="O4" s="22"/>
      <c r="P4" s="40">
        <f>0.6403+0.105</f>
        <v>0.74529999999999996</v>
      </c>
      <c r="Q4" s="111">
        <v>25000</v>
      </c>
      <c r="R4" s="22">
        <v>9400</v>
      </c>
      <c r="S4" s="45">
        <v>18.600000000000001</v>
      </c>
      <c r="T4" s="137">
        <f>X4*F4*0.005</f>
        <v>3149.7422876175901</v>
      </c>
      <c r="V4" s="22">
        <v>0.12</v>
      </c>
      <c r="W4" s="22">
        <v>0.3</v>
      </c>
      <c r="X4" s="22">
        <f>IF(O4&gt;0,O4,((P4*2.2046*S4)+(Q4+R4)/G4)+V4)</f>
        <v>32.45712019937011</v>
      </c>
      <c r="Y4" s="22">
        <f>IF(O4&gt;0,O4,((P4*2.2046*S4)+(Q4+R4+T4)/G4)+V4+W4)</f>
        <v>32.919705165359588</v>
      </c>
      <c r="Z4" s="3">
        <f>Y4*F4</f>
        <v>638926.60111754818</v>
      </c>
      <c r="AA4" s="44">
        <v>43147</v>
      </c>
      <c r="AB4" s="3">
        <v>33.5</v>
      </c>
      <c r="AC4" s="119"/>
    </row>
    <row r="5" spans="1:32" x14ac:dyDescent="0.25">
      <c r="A5" s="68"/>
      <c r="B5" s="34" t="s">
        <v>340</v>
      </c>
      <c r="C5" t="s">
        <v>341</v>
      </c>
      <c r="D5" s="35" t="s">
        <v>1665</v>
      </c>
      <c r="E5">
        <v>200</v>
      </c>
      <c r="F5" s="36">
        <v>22200</v>
      </c>
      <c r="G5" s="38">
        <v>17670</v>
      </c>
      <c r="H5" s="38">
        <f t="shared" si="0"/>
        <v>-4530</v>
      </c>
      <c r="I5" t="s">
        <v>1795</v>
      </c>
      <c r="K5" s="39"/>
      <c r="L5" s="39">
        <v>43160</v>
      </c>
      <c r="M5" s="35" t="s">
        <v>342</v>
      </c>
      <c r="O5" s="22">
        <v>28.5</v>
      </c>
      <c r="P5" s="40"/>
      <c r="Q5" s="47">
        <v>19800</v>
      </c>
      <c r="R5" s="22">
        <f>65*E5</f>
        <v>13000</v>
      </c>
      <c r="S5" s="131">
        <f>-38*E5</f>
        <v>-7600</v>
      </c>
      <c r="T5" s="137">
        <f>X5*F5*0.0045</f>
        <v>3725.1901528013582</v>
      </c>
      <c r="U5" s="22">
        <f>E5*5</f>
        <v>1000</v>
      </c>
      <c r="W5" s="22">
        <v>0.3</v>
      </c>
      <c r="X5" s="22">
        <f>((O5*F5)+Q5+R5+S5+U5)/G5</f>
        <v>37.289190718732314</v>
      </c>
      <c r="Y5" s="22">
        <f>((O5*F5)+Q5+R5+S5+T5+U5)/G5+W5</f>
        <v>37.80001076133567</v>
      </c>
      <c r="Z5" s="3">
        <f>Y5*G5</f>
        <v>667926.19015280134</v>
      </c>
      <c r="AA5" s="44">
        <v>43173</v>
      </c>
      <c r="AB5" s="3"/>
      <c r="AC5" s="119"/>
    </row>
    <row r="6" spans="1:32" x14ac:dyDescent="0.25">
      <c r="A6" s="68"/>
      <c r="B6" s="34" t="s">
        <v>340</v>
      </c>
      <c r="C6" t="s">
        <v>341</v>
      </c>
      <c r="D6" s="35" t="s">
        <v>1389</v>
      </c>
      <c r="E6">
        <v>130</v>
      </c>
      <c r="F6" s="36">
        <v>15275</v>
      </c>
      <c r="G6" s="38">
        <v>11720</v>
      </c>
      <c r="H6" s="38">
        <f t="shared" si="0"/>
        <v>-3555</v>
      </c>
      <c r="I6" t="s">
        <v>1796</v>
      </c>
      <c r="K6" s="39"/>
      <c r="L6" s="39">
        <v>43160</v>
      </c>
      <c r="M6" s="35" t="s">
        <v>342</v>
      </c>
      <c r="O6" s="22">
        <v>28.5</v>
      </c>
      <c r="P6" s="40"/>
      <c r="Q6" s="111">
        <v>15700</v>
      </c>
      <c r="R6" s="22">
        <f>65*E6</f>
        <v>8450</v>
      </c>
      <c r="S6" s="131">
        <f>-38*E6</f>
        <v>-4940</v>
      </c>
      <c r="T6" s="137">
        <f>X6*F6*0.0045</f>
        <v>2669.7216856868595</v>
      </c>
      <c r="U6" s="22">
        <f>E6*5</f>
        <v>650</v>
      </c>
      <c r="W6" s="22">
        <v>0.3</v>
      </c>
      <c r="X6" s="22">
        <f>((O6*F6)+Q6+R6+S6+U6)/G6</f>
        <v>38.839377133105799</v>
      </c>
      <c r="Y6" s="22">
        <f>((O6*F6)+Q6+R6+S6+T6+U6)/G6+W6</f>
        <v>39.367169085809458</v>
      </c>
      <c r="Z6" s="3">
        <f>Y6*G6</f>
        <v>461383.22168568685</v>
      </c>
      <c r="AA6" s="44">
        <v>43173</v>
      </c>
      <c r="AB6" s="3">
        <v>38.4</v>
      </c>
      <c r="AC6" s="119" t="s">
        <v>1799</v>
      </c>
    </row>
    <row r="7" spans="1:32" x14ac:dyDescent="0.25">
      <c r="A7" s="68"/>
      <c r="B7" s="34" t="s">
        <v>1501</v>
      </c>
      <c r="C7" t="s">
        <v>343</v>
      </c>
      <c r="D7" s="35" t="s">
        <v>1106</v>
      </c>
      <c r="E7" t="s">
        <v>1260</v>
      </c>
      <c r="F7" s="36">
        <v>1877.8</v>
      </c>
      <c r="G7" s="38">
        <v>1877.8</v>
      </c>
      <c r="H7" s="38">
        <f t="shared" si="0"/>
        <v>0</v>
      </c>
      <c r="I7" t="s">
        <v>1839</v>
      </c>
      <c r="K7" s="39"/>
      <c r="L7" s="39">
        <v>43160</v>
      </c>
      <c r="M7" s="35" t="s">
        <v>342</v>
      </c>
      <c r="O7" s="22">
        <v>19</v>
      </c>
      <c r="P7" s="40"/>
      <c r="Q7" s="22"/>
      <c r="R7" s="22"/>
      <c r="S7" s="43"/>
      <c r="T7" s="43"/>
      <c r="U7" s="22"/>
      <c r="W7" s="22"/>
      <c r="X7" s="22">
        <f>((O7*F7)+Q7+R7+S7+U7)/G7</f>
        <v>19</v>
      </c>
      <c r="Y7" s="22">
        <f>((O7*F7)+Q7+R7+S7+T7+U7)/G7+W7</f>
        <v>19</v>
      </c>
      <c r="Z7" s="3">
        <f>Y7*G7</f>
        <v>35678.199999999997</v>
      </c>
      <c r="AA7" s="44">
        <v>43167</v>
      </c>
      <c r="AB7" s="3"/>
      <c r="AC7" s="119"/>
    </row>
    <row r="8" spans="1:32" x14ac:dyDescent="0.25">
      <c r="A8" s="68"/>
      <c r="B8" s="34" t="s">
        <v>328</v>
      </c>
      <c r="C8" s="35" t="s">
        <v>329</v>
      </c>
      <c r="D8" s="35" t="s">
        <v>329</v>
      </c>
      <c r="E8" t="s">
        <v>1021</v>
      </c>
      <c r="F8" s="36">
        <f>42316*0.4536</f>
        <v>19194.5376</v>
      </c>
      <c r="G8" s="38">
        <v>19072.04</v>
      </c>
      <c r="H8" s="38">
        <f t="shared" si="0"/>
        <v>-122.49759999999878</v>
      </c>
      <c r="I8" t="s">
        <v>1632</v>
      </c>
      <c r="J8" s="5" t="s">
        <v>1022</v>
      </c>
      <c r="K8" s="39">
        <v>43160</v>
      </c>
      <c r="L8" s="39">
        <v>43161</v>
      </c>
      <c r="M8" s="35" t="s">
        <v>345</v>
      </c>
      <c r="N8" s="35" t="s">
        <v>1778</v>
      </c>
      <c r="O8" s="22"/>
      <c r="P8" s="40">
        <f>0.6403+0.095</f>
        <v>0.73529999999999995</v>
      </c>
      <c r="Q8" s="111">
        <v>23000</v>
      </c>
      <c r="R8" s="173">
        <v>9500</v>
      </c>
      <c r="S8" s="45">
        <v>18.766999999999999</v>
      </c>
      <c r="T8" s="137">
        <f>X8*F8*0.005</f>
        <v>3094.7513787621328</v>
      </c>
      <c r="V8" s="22">
        <v>0.12</v>
      </c>
      <c r="W8" s="22">
        <v>0.3</v>
      </c>
      <c r="X8" s="22">
        <f>IF(O8&gt;0,O8,((P8*2.2046*S8)+(Q8+R8)/G8)+V8)</f>
        <v>32.246167563444018</v>
      </c>
      <c r="Y8" s="22">
        <f>IF(O8&gt;0,O8,((P8*2.2046*S8)+(Q8+R8+T8)/G8)+V8+W8)</f>
        <v>32.708433969070377</v>
      </c>
      <c r="Z8" s="3">
        <f>Y8*F8</f>
        <v>627823.26565643854</v>
      </c>
      <c r="AA8" s="44">
        <v>43172</v>
      </c>
      <c r="AB8" s="3"/>
      <c r="AC8" s="147" t="s">
        <v>1797</v>
      </c>
      <c r="AD8" s="106"/>
      <c r="AE8" s="106"/>
      <c r="AF8" s="106"/>
    </row>
    <row r="9" spans="1:32" x14ac:dyDescent="0.25">
      <c r="A9" s="68"/>
      <c r="B9" s="34" t="s">
        <v>328</v>
      </c>
      <c r="C9" t="s">
        <v>1720</v>
      </c>
      <c r="D9" s="35" t="s">
        <v>1129</v>
      </c>
      <c r="E9" t="s">
        <v>1040</v>
      </c>
      <c r="F9" s="36">
        <f>41675*0.4536</f>
        <v>18903.78</v>
      </c>
      <c r="G9" s="38">
        <v>18697.61</v>
      </c>
      <c r="H9" s="38">
        <f t="shared" si="0"/>
        <v>-206.16999999999825</v>
      </c>
      <c r="I9" t="s">
        <v>1630</v>
      </c>
      <c r="J9" s="5" t="s">
        <v>1022</v>
      </c>
      <c r="K9" s="39">
        <v>43160</v>
      </c>
      <c r="L9" s="39">
        <v>43161</v>
      </c>
      <c r="M9" s="35" t="s">
        <v>345</v>
      </c>
      <c r="N9" s="35" t="s">
        <v>1721</v>
      </c>
      <c r="O9" s="22"/>
      <c r="P9" s="40">
        <f>0.6357+0.1</f>
        <v>0.73570000000000002</v>
      </c>
      <c r="Q9" s="111">
        <v>23000</v>
      </c>
      <c r="R9" s="22">
        <v>9400</v>
      </c>
      <c r="S9" s="45">
        <v>18.882000000000001</v>
      </c>
      <c r="T9" s="137">
        <f>X9*F9*0.005</f>
        <v>3069.7862437650492</v>
      </c>
      <c r="V9" s="22">
        <v>0.12</v>
      </c>
      <c r="W9" s="22">
        <v>0.3</v>
      </c>
      <c r="X9" s="22">
        <f>IF(O9&gt;0,O9,((P9*2.2046*S9)+(Q9+R9)/G9)+V9)</f>
        <v>32.478014913049655</v>
      </c>
      <c r="Y9" s="22">
        <f>IF(O9&gt;0,O9,((P9*2.2046*S9)+(Q9+R9+T9)/G9)+V9+W9)</f>
        <v>32.942195588749115</v>
      </c>
      <c r="Z9" s="3">
        <f>Y9*F9</f>
        <v>622732.01812668366</v>
      </c>
      <c r="AA9" s="44">
        <v>43164</v>
      </c>
      <c r="AB9" s="3">
        <v>33.5</v>
      </c>
      <c r="AC9" s="119"/>
    </row>
    <row r="10" spans="1:32" x14ac:dyDescent="0.25">
      <c r="A10" s="68"/>
      <c r="B10" s="34" t="s">
        <v>328</v>
      </c>
      <c r="C10" t="s">
        <v>1720</v>
      </c>
      <c r="D10" s="35" t="s">
        <v>1129</v>
      </c>
      <c r="E10" t="s">
        <v>1040</v>
      </c>
      <c r="F10" s="36">
        <f>40555*0.4536</f>
        <v>18395.748</v>
      </c>
      <c r="G10" s="38">
        <v>18245.009999999998</v>
      </c>
      <c r="H10" s="38">
        <f t="shared" si="0"/>
        <v>-150.73800000000119</v>
      </c>
      <c r="I10" t="s">
        <v>1744</v>
      </c>
      <c r="J10" s="5" t="s">
        <v>1022</v>
      </c>
      <c r="K10" s="39">
        <v>43160</v>
      </c>
      <c r="L10" s="39">
        <v>43161</v>
      </c>
      <c r="M10" s="35" t="s">
        <v>345</v>
      </c>
      <c r="N10" s="35" t="s">
        <v>1721</v>
      </c>
      <c r="O10" s="22"/>
      <c r="P10" s="40">
        <f>0.6357+0.1</f>
        <v>0.73570000000000002</v>
      </c>
      <c r="Q10" s="111">
        <v>23000</v>
      </c>
      <c r="R10" s="22">
        <v>9400</v>
      </c>
      <c r="S10" s="45">
        <v>18.850000000000001</v>
      </c>
      <c r="T10" s="137">
        <f>X10*F10*0.005</f>
        <v>2986.4668671919994</v>
      </c>
      <c r="V10" s="22">
        <v>0.12</v>
      </c>
      <c r="W10" s="22">
        <v>0.3</v>
      </c>
      <c r="X10" s="22">
        <f>IF(O10&gt;0,O10,((P10*2.2046*S10)+(Q10+R10)/G10)+V10)</f>
        <v>32.469099567921887</v>
      </c>
      <c r="Y10" s="22">
        <f>IF(O10&gt;0,O10,((P10*2.2046*S10)+(Q10+R10+T10)/G10)+V10+W10)</f>
        <v>32.932786344042697</v>
      </c>
      <c r="Z10" s="3">
        <f>Y10*F10</f>
        <v>605823.23852285079</v>
      </c>
      <c r="AA10" s="44">
        <v>43159</v>
      </c>
      <c r="AB10" s="3">
        <v>34</v>
      </c>
      <c r="AC10" s="119"/>
    </row>
    <row r="11" spans="1:32" x14ac:dyDescent="0.25">
      <c r="A11" s="68"/>
      <c r="B11" s="34" t="s">
        <v>340</v>
      </c>
      <c r="C11" t="s">
        <v>341</v>
      </c>
      <c r="D11" s="35" t="s">
        <v>1665</v>
      </c>
      <c r="E11">
        <v>230</v>
      </c>
      <c r="F11" s="36">
        <v>24415</v>
      </c>
      <c r="G11" s="38">
        <v>16910</v>
      </c>
      <c r="H11" s="38">
        <f t="shared" si="0"/>
        <v>-7505</v>
      </c>
      <c r="I11" t="s">
        <v>1581</v>
      </c>
      <c r="J11">
        <v>200</v>
      </c>
      <c r="K11" s="39"/>
      <c r="L11" s="39">
        <v>43161</v>
      </c>
      <c r="M11" s="35" t="s">
        <v>345</v>
      </c>
      <c r="O11" s="22">
        <v>28.5</v>
      </c>
      <c r="P11" s="40"/>
      <c r="Q11" s="111">
        <v>19800</v>
      </c>
      <c r="R11" s="22">
        <f>65*E11</f>
        <v>14950</v>
      </c>
      <c r="S11" s="43">
        <f>-38*E11</f>
        <v>-8740</v>
      </c>
      <c r="T11" s="137">
        <f>X11*F11*0.0045</f>
        <v>4697.3878862359543</v>
      </c>
      <c r="U11" s="22">
        <f>E11*5</f>
        <v>1150</v>
      </c>
      <c r="W11" s="22">
        <v>0.3</v>
      </c>
      <c r="X11" s="22">
        <f>((O11*F11)+Q11+R11+S11+U11)/G11</f>
        <v>42.755026611472502</v>
      </c>
      <c r="Y11" s="22">
        <f>((O11*F11)+Q11+R11+S11+T11+U11)/G11+W11</f>
        <v>43.332814186057711</v>
      </c>
      <c r="Z11" s="3">
        <f>Y11*G11</f>
        <v>732757.88788623584</v>
      </c>
      <c r="AA11" s="44">
        <v>43174</v>
      </c>
      <c r="AB11" s="3"/>
      <c r="AC11" s="119"/>
    </row>
    <row r="12" spans="1:32" x14ac:dyDescent="0.25">
      <c r="A12" s="68"/>
      <c r="B12" s="34" t="s">
        <v>340</v>
      </c>
      <c r="C12" t="s">
        <v>341</v>
      </c>
      <c r="D12" s="35" t="s">
        <v>1389</v>
      </c>
      <c r="E12">
        <v>100</v>
      </c>
      <c r="F12" s="36">
        <v>11690</v>
      </c>
      <c r="G12" s="38">
        <v>11520</v>
      </c>
      <c r="H12" s="38">
        <f t="shared" si="0"/>
        <v>-170</v>
      </c>
      <c r="I12" s="35" t="s">
        <v>1806</v>
      </c>
      <c r="J12" s="10">
        <v>129</v>
      </c>
      <c r="K12" s="39"/>
      <c r="L12" s="39">
        <v>43161</v>
      </c>
      <c r="M12" s="35" t="s">
        <v>345</v>
      </c>
      <c r="O12" s="22">
        <v>28.5</v>
      </c>
      <c r="P12" s="40"/>
      <c r="Q12" s="111">
        <v>15700</v>
      </c>
      <c r="R12" s="22">
        <f>65*E12</f>
        <v>6500</v>
      </c>
      <c r="S12" s="43">
        <f>-38*E12</f>
        <v>-3800</v>
      </c>
      <c r="T12" s="137">
        <f>X12*F12*0.0045</f>
        <v>1607.6718164062499</v>
      </c>
      <c r="U12" s="22">
        <f>E12*5</f>
        <v>500</v>
      </c>
      <c r="W12" s="22">
        <v>0.3</v>
      </c>
      <c r="X12" s="22">
        <f>((O12*F12)+Q12+R12+S12+U12)/G12</f>
        <v>30.561197916666668</v>
      </c>
      <c r="Y12" s="22">
        <f>((O12*F12)+Q12+R12+S12+T12+U12)/G12+W12</f>
        <v>31.000752761840822</v>
      </c>
      <c r="Z12" s="3">
        <f>Y12*G12</f>
        <v>357128.67181640625</v>
      </c>
      <c r="AA12" s="44">
        <v>43174</v>
      </c>
      <c r="AB12" s="3">
        <v>38.299999999999997</v>
      </c>
      <c r="AC12" s="119" t="s">
        <v>1873</v>
      </c>
    </row>
    <row r="13" spans="1:32" x14ac:dyDescent="0.25">
      <c r="A13" s="68"/>
      <c r="B13" s="34" t="s">
        <v>328</v>
      </c>
      <c r="C13" s="35" t="s">
        <v>343</v>
      </c>
      <c r="D13" s="35" t="s">
        <v>343</v>
      </c>
      <c r="E13" t="s">
        <v>1040</v>
      </c>
      <c r="F13" s="36">
        <f>42809*0.4536</f>
        <v>19418.162400000001</v>
      </c>
      <c r="G13" s="38">
        <v>19323.740000000002</v>
      </c>
      <c r="H13" s="38">
        <f t="shared" si="0"/>
        <v>-94.42239999999947</v>
      </c>
      <c r="I13" t="s">
        <v>1633</v>
      </c>
      <c r="J13" s="5" t="s">
        <v>1022</v>
      </c>
      <c r="K13" s="39">
        <v>43161</v>
      </c>
      <c r="L13" s="39">
        <v>43162</v>
      </c>
      <c r="M13" s="35" t="s">
        <v>348</v>
      </c>
      <c r="N13" s="35" t="s">
        <v>1544</v>
      </c>
      <c r="O13" s="22"/>
      <c r="P13" s="40">
        <f>0.6479+0.105</f>
        <v>0.75290000000000001</v>
      </c>
      <c r="Q13" s="111">
        <v>23000</v>
      </c>
      <c r="R13" s="22">
        <v>9400</v>
      </c>
      <c r="S13" s="45">
        <v>18.7</v>
      </c>
      <c r="T13" s="137">
        <f t="shared" ref="T13:T18" si="1">X13*F13*0.005</f>
        <v>3188.0510393166542</v>
      </c>
      <c r="V13" s="22">
        <v>0.12</v>
      </c>
      <c r="W13" s="22">
        <v>0.3</v>
      </c>
      <c r="X13" s="22">
        <f t="shared" ref="X13:X18" si="2">IF(O13&gt;0,O13,((P13*2.2046*S13)+(Q13+R13)/G13)+V13)</f>
        <v>32.835764514119568</v>
      </c>
      <c r="Y13" s="22">
        <f t="shared" ref="Y13:Y18" si="3">IF(O13&gt;0,O13,((P13*2.2046*S13)+(Q13+R13+T13)/G13)+V13+W13)</f>
        <v>33.300745570546361</v>
      </c>
      <c r="Z13" s="3">
        <f t="shared" ref="Z13:Z18" si="4">Y13*F13</f>
        <v>646639.28552994994</v>
      </c>
      <c r="AA13" s="44">
        <v>43157</v>
      </c>
      <c r="AB13" s="3">
        <v>34</v>
      </c>
      <c r="AC13" s="119"/>
    </row>
    <row r="14" spans="1:32" x14ac:dyDescent="0.25">
      <c r="A14" s="68"/>
      <c r="B14" s="34" t="s">
        <v>1635</v>
      </c>
      <c r="C14" s="35" t="s">
        <v>343</v>
      </c>
      <c r="D14" s="35" t="s">
        <v>343</v>
      </c>
      <c r="E14" t="s">
        <v>1790</v>
      </c>
      <c r="F14" s="36">
        <f>28344*0.4536</f>
        <v>12856.838400000001</v>
      </c>
      <c r="G14" s="38">
        <v>12872.9</v>
      </c>
      <c r="H14" s="38">
        <f t="shared" si="0"/>
        <v>16.061599999999089</v>
      </c>
      <c r="I14" t="s">
        <v>1634</v>
      </c>
      <c r="J14" s="5" t="s">
        <v>1022</v>
      </c>
      <c r="K14" s="39">
        <v>43161</v>
      </c>
      <c r="L14" s="39">
        <v>43162</v>
      </c>
      <c r="M14" s="35" t="s">
        <v>348</v>
      </c>
      <c r="N14" s="35"/>
      <c r="O14" s="22"/>
      <c r="P14" s="40">
        <v>1.1200000000000001</v>
      </c>
      <c r="Q14" s="111">
        <f>(23000*G14)/(G14+G15+G16+G17+G18)</f>
        <v>16440.823094260919</v>
      </c>
      <c r="R14" s="22">
        <f>(9400*G14)/(G14+G15+G16+G17+G18)</f>
        <v>6719.292916784897</v>
      </c>
      <c r="S14" s="45">
        <v>18.68</v>
      </c>
      <c r="T14" s="137">
        <f t="shared" si="1"/>
        <v>3088.3988004278581</v>
      </c>
      <c r="V14" s="22">
        <v>0.12</v>
      </c>
      <c r="W14" s="22">
        <v>0.3</v>
      </c>
      <c r="X14" s="22">
        <f t="shared" si="2"/>
        <v>48.042896773562276</v>
      </c>
      <c r="Y14" s="22">
        <f t="shared" si="3"/>
        <v>48.582811540275898</v>
      </c>
      <c r="Z14" s="3">
        <f t="shared" si="4"/>
        <v>624621.35699098231</v>
      </c>
      <c r="AA14" s="44">
        <v>43157</v>
      </c>
      <c r="AB14" s="3"/>
      <c r="AC14" s="119"/>
    </row>
    <row r="15" spans="1:32" x14ac:dyDescent="0.25">
      <c r="A15" s="68"/>
      <c r="B15" s="34" t="s">
        <v>1351</v>
      </c>
      <c r="C15" s="35" t="s">
        <v>343</v>
      </c>
      <c r="D15" s="35" t="s">
        <v>343</v>
      </c>
      <c r="E15" t="s">
        <v>1791</v>
      </c>
      <c r="F15" s="36">
        <f>4847.6*0.4536</f>
        <v>2198.8713600000001</v>
      </c>
      <c r="G15" s="38">
        <v>2199.1</v>
      </c>
      <c r="H15" s="38">
        <f t="shared" si="0"/>
        <v>0.22863999999981388</v>
      </c>
      <c r="I15" t="s">
        <v>1634</v>
      </c>
      <c r="K15" s="39">
        <v>43161</v>
      </c>
      <c r="L15" s="39">
        <v>43162</v>
      </c>
      <c r="M15" s="35" t="s">
        <v>348</v>
      </c>
      <c r="N15" s="35"/>
      <c r="O15" s="22"/>
      <c r="P15" s="40">
        <v>1</v>
      </c>
      <c r="Q15" s="111">
        <f>(23000*G15)/(G15+G16+G17+G18+G14)</f>
        <v>2808.6145364750128</v>
      </c>
      <c r="R15" s="22">
        <f>(9400*G15)/(G15+G16+G17+G18+G14)</f>
        <v>1147.8685496897879</v>
      </c>
      <c r="S15" s="45">
        <v>18.68</v>
      </c>
      <c r="T15" s="137">
        <f t="shared" si="1"/>
        <v>473.86849161684324</v>
      </c>
      <c r="V15" s="22">
        <v>0.12</v>
      </c>
      <c r="W15" s="22">
        <v>0.3</v>
      </c>
      <c r="X15" s="22">
        <f t="shared" si="2"/>
        <v>43.101065413562274</v>
      </c>
      <c r="Y15" s="22">
        <f t="shared" si="3"/>
        <v>43.616548334583072</v>
      </c>
      <c r="Z15" s="3">
        <f t="shared" si="4"/>
        <v>95907.178954970426</v>
      </c>
      <c r="AA15" s="44">
        <v>43157</v>
      </c>
      <c r="AB15" s="3"/>
      <c r="AC15" s="119"/>
    </row>
    <row r="16" spans="1:32" x14ac:dyDescent="0.25">
      <c r="A16" s="68"/>
      <c r="B16" s="34" t="s">
        <v>1356</v>
      </c>
      <c r="C16" s="35" t="s">
        <v>343</v>
      </c>
      <c r="D16" s="35" t="s">
        <v>343</v>
      </c>
      <c r="E16" t="s">
        <v>1792</v>
      </c>
      <c r="F16" s="36">
        <f>2490*0.4536</f>
        <v>1129.4639999999999</v>
      </c>
      <c r="G16" s="38">
        <v>1129.6300000000001</v>
      </c>
      <c r="H16" s="38">
        <f t="shared" si="0"/>
        <v>0.16600000000016735</v>
      </c>
      <c r="I16" t="s">
        <v>1634</v>
      </c>
      <c r="K16" s="39">
        <v>43161</v>
      </c>
      <c r="L16" s="39">
        <v>43162</v>
      </c>
      <c r="M16" s="35" t="s">
        <v>348</v>
      </c>
      <c r="N16" s="35"/>
      <c r="O16" s="22"/>
      <c r="P16" s="40">
        <v>1.2</v>
      </c>
      <c r="Q16" s="111">
        <f>(23000*G16)/(G16+G17+G18+G15+G14)</f>
        <v>1442.7244049103128</v>
      </c>
      <c r="R16" s="22">
        <f>(9400*G16)/(G16+G17+G18+G15+G14)</f>
        <v>589.63519157204098</v>
      </c>
      <c r="S16" s="45">
        <v>18.68</v>
      </c>
      <c r="T16" s="137">
        <f t="shared" si="1"/>
        <v>289.9190138579105</v>
      </c>
      <c r="V16" s="22">
        <v>0.12</v>
      </c>
      <c r="W16" s="22">
        <v>0.3</v>
      </c>
      <c r="X16" s="22">
        <f t="shared" si="2"/>
        <v>51.337451013562273</v>
      </c>
      <c r="Y16" s="22">
        <f t="shared" si="3"/>
        <v>51.894100548239912</v>
      </c>
      <c r="Z16" s="3">
        <f t="shared" si="4"/>
        <v>58612.518381617243</v>
      </c>
      <c r="AA16" s="44">
        <v>43157</v>
      </c>
      <c r="AB16" s="3"/>
      <c r="AC16" s="119"/>
    </row>
    <row r="17" spans="1:29" x14ac:dyDescent="0.25">
      <c r="A17" s="68"/>
      <c r="B17" s="34" t="s">
        <v>1636</v>
      </c>
      <c r="C17" s="35" t="s">
        <v>343</v>
      </c>
      <c r="D17" s="35" t="s">
        <v>343</v>
      </c>
      <c r="E17" t="s">
        <v>1793</v>
      </c>
      <c r="F17" s="36">
        <f>2482.5*0.4536</f>
        <v>1126.0619999999999</v>
      </c>
      <c r="G17" s="38">
        <v>1126.5</v>
      </c>
      <c r="H17" s="38">
        <f t="shared" si="0"/>
        <v>0.43800000000010186</v>
      </c>
      <c r="I17" t="s">
        <v>1634</v>
      </c>
      <c r="K17" s="39">
        <v>43161</v>
      </c>
      <c r="L17" s="39">
        <v>43162</v>
      </c>
      <c r="M17" s="35" t="s">
        <v>348</v>
      </c>
      <c r="N17" s="35"/>
      <c r="O17" s="22"/>
      <c r="P17" s="40">
        <v>1.07</v>
      </c>
      <c r="Q17" s="111">
        <f>(23000*G17)/(G17+G18+G16+G14+G15)</f>
        <v>1438.7268770583883</v>
      </c>
      <c r="R17" s="22">
        <f>(9400*G17)/(G17+G18+G16+G15+G14)</f>
        <v>588.00141931951521</v>
      </c>
      <c r="S17" s="45">
        <v>18.68</v>
      </c>
      <c r="T17" s="137">
        <f t="shared" si="1"/>
        <v>258.90305108127143</v>
      </c>
      <c r="V17" s="22">
        <v>0.12</v>
      </c>
      <c r="W17" s="22">
        <v>0.3</v>
      </c>
      <c r="X17" s="22">
        <f t="shared" si="2"/>
        <v>45.983800373562275</v>
      </c>
      <c r="Y17" s="22">
        <f t="shared" si="3"/>
        <v>46.513629979493267</v>
      </c>
      <c r="Z17" s="3">
        <f t="shared" si="4"/>
        <v>52377.231201968141</v>
      </c>
      <c r="AA17" s="44">
        <v>43157</v>
      </c>
      <c r="AB17" s="3"/>
      <c r="AC17" s="119"/>
    </row>
    <row r="18" spans="1:29" x14ac:dyDescent="0.25">
      <c r="A18" s="68"/>
      <c r="B18" s="34" t="s">
        <v>1637</v>
      </c>
      <c r="C18" s="35" t="s">
        <v>343</v>
      </c>
      <c r="D18" s="35" t="s">
        <v>343</v>
      </c>
      <c r="E18" t="s">
        <v>1794</v>
      </c>
      <c r="F18" s="36">
        <f>1500*0.4536</f>
        <v>680.4</v>
      </c>
      <c r="G18" s="38">
        <v>680.5</v>
      </c>
      <c r="H18" s="38">
        <f t="shared" si="0"/>
        <v>0.10000000000002274</v>
      </c>
      <c r="I18" t="s">
        <v>1634</v>
      </c>
      <c r="K18" s="39">
        <v>43161</v>
      </c>
      <c r="L18" s="39">
        <v>43162</v>
      </c>
      <c r="M18" s="35" t="s">
        <v>348</v>
      </c>
      <c r="N18" s="35"/>
      <c r="O18" s="22"/>
      <c r="P18" s="40">
        <v>0.65</v>
      </c>
      <c r="Q18" s="111">
        <f>(23000*G18)/(G18+G17+G16+G15+G14)</f>
        <v>869.11108729536909</v>
      </c>
      <c r="R18" s="22">
        <f>(9400*G18)/(G18+G17+G16+G15+G14)</f>
        <v>355.20192263375952</v>
      </c>
      <c r="S18" s="45">
        <v>18.68</v>
      </c>
      <c r="T18" s="137">
        <f t="shared" si="1"/>
        <v>97.594502867338875</v>
      </c>
      <c r="V18" s="22">
        <v>0.12</v>
      </c>
      <c r="W18" s="22">
        <v>0.3</v>
      </c>
      <c r="X18" s="22">
        <f t="shared" si="2"/>
        <v>28.687390613562279</v>
      </c>
      <c r="Y18" s="22">
        <f t="shared" si="3"/>
        <v>29.130806488459179</v>
      </c>
      <c r="Z18" s="3">
        <f t="shared" si="4"/>
        <v>19820.600734747626</v>
      </c>
      <c r="AA18" s="44">
        <v>43157</v>
      </c>
      <c r="AB18" s="3">
        <f>Z14+Z15+Z16+Z17+Z18</f>
        <v>851338.88626428577</v>
      </c>
      <c r="AC18" s="119"/>
    </row>
    <row r="19" spans="1:29" ht="15.75" thickBot="1" x14ac:dyDescent="0.3">
      <c r="A19" s="69"/>
      <c r="B19" s="49"/>
      <c r="C19" s="23"/>
      <c r="D19" s="23"/>
      <c r="E19" s="23"/>
      <c r="F19" s="50"/>
      <c r="G19" s="50"/>
      <c r="H19" s="50"/>
      <c r="I19" s="26"/>
      <c r="J19" s="23"/>
      <c r="K19" s="27"/>
      <c r="L19" s="27"/>
      <c r="M19" s="23"/>
      <c r="N19" s="23"/>
      <c r="O19" s="28"/>
      <c r="P19" s="29"/>
      <c r="Q19" s="28"/>
      <c r="R19" s="28"/>
      <c r="S19" s="28"/>
      <c r="T19" s="28"/>
      <c r="U19" s="28"/>
      <c r="V19" s="28"/>
      <c r="W19" s="28"/>
      <c r="X19" s="28"/>
      <c r="Y19" s="28"/>
      <c r="Z19" s="32"/>
      <c r="AA19" s="51"/>
      <c r="AB19" s="3"/>
      <c r="AC19" s="119"/>
    </row>
    <row r="20" spans="1:29" ht="15.75" thickTop="1" x14ac:dyDescent="0.25">
      <c r="A20" s="148"/>
      <c r="B20" s="53" t="s">
        <v>340</v>
      </c>
      <c r="C20" s="53" t="s">
        <v>341</v>
      </c>
      <c r="D20" s="54" t="s">
        <v>1102</v>
      </c>
      <c r="E20" s="53">
        <v>200</v>
      </c>
      <c r="F20" s="55">
        <v>22030</v>
      </c>
      <c r="G20" s="56">
        <f>11420+6280</f>
        <v>17700</v>
      </c>
      <c r="H20" s="121">
        <f t="shared" ref="H20:H36" si="5">G20-F20</f>
        <v>-4330</v>
      </c>
      <c r="I20" s="57" t="s">
        <v>1874</v>
      </c>
      <c r="J20" s="53"/>
      <c r="K20" s="58"/>
      <c r="L20" s="58">
        <v>43163</v>
      </c>
      <c r="M20" s="54" t="s">
        <v>349</v>
      </c>
      <c r="N20" s="53"/>
      <c r="O20" s="59">
        <v>28.5</v>
      </c>
      <c r="P20" s="60"/>
      <c r="Q20" s="61">
        <v>21300</v>
      </c>
      <c r="R20" s="59">
        <f>65*E20</f>
        <v>13000</v>
      </c>
      <c r="S20" s="59">
        <f>-38*E20</f>
        <v>-7600</v>
      </c>
      <c r="T20" s="138">
        <f>X20*F20*0.0045</f>
        <v>3671.6635550847454</v>
      </c>
      <c r="U20" s="59">
        <f>E20*5</f>
        <v>1000</v>
      </c>
      <c r="V20" s="53"/>
      <c r="W20" s="59">
        <v>0.3</v>
      </c>
      <c r="X20" s="59">
        <f>((O20*F20)+Q20+R20+S20+U20)/G20</f>
        <v>37.037005649717514</v>
      </c>
      <c r="Y20" s="63">
        <f>((O20*F20)+Q20+R20+S20+T20+U20)/G20+W20</f>
        <v>37.544444268648853</v>
      </c>
      <c r="Z20" s="63">
        <f>Y20*G20</f>
        <v>664536.66355508473</v>
      </c>
      <c r="AA20" s="64">
        <v>43179</v>
      </c>
      <c r="AB20" s="3">
        <v>40</v>
      </c>
      <c r="AC20" s="3" t="s">
        <v>1883</v>
      </c>
    </row>
    <row r="21" spans="1:29" x14ac:dyDescent="0.25">
      <c r="A21" s="149"/>
      <c r="B21" s="34" t="s">
        <v>340</v>
      </c>
      <c r="C21" t="s">
        <v>341</v>
      </c>
      <c r="D21" s="35" t="s">
        <v>1102</v>
      </c>
      <c r="E21">
        <v>129</v>
      </c>
      <c r="F21" s="36">
        <v>13525</v>
      </c>
      <c r="G21" s="38">
        <f>4940+5860</f>
        <v>10800</v>
      </c>
      <c r="H21" s="38">
        <f t="shared" si="5"/>
        <v>-2725</v>
      </c>
      <c r="I21" s="35" t="s">
        <v>1875</v>
      </c>
      <c r="K21" s="39"/>
      <c r="L21" s="39">
        <v>43164</v>
      </c>
      <c r="M21" s="35" t="s">
        <v>350</v>
      </c>
      <c r="O21" s="22">
        <v>28.5</v>
      </c>
      <c r="P21" s="40"/>
      <c r="Q21" s="111">
        <v>16900</v>
      </c>
      <c r="R21" s="22">
        <f>65*E21</f>
        <v>8385</v>
      </c>
      <c r="S21" s="43">
        <f>-38*E21</f>
        <v>-4902</v>
      </c>
      <c r="T21" s="137">
        <f>X21*F21*0.0045</f>
        <v>2290.7433385416666</v>
      </c>
      <c r="U21" s="22">
        <f>E21*5</f>
        <v>645</v>
      </c>
      <c r="W21" s="22">
        <v>0.3</v>
      </c>
      <c r="X21" s="22">
        <f>((O21*F21)+Q21+R21+S21+U21)/G21</f>
        <v>37.638009259259256</v>
      </c>
      <c r="Y21" s="22">
        <f>((O21*F21)+Q21+R21+S21+T21+U21)/G21+W21</f>
        <v>38.150115123939038</v>
      </c>
      <c r="Z21" s="3">
        <f>Y21*G21</f>
        <v>412021.24333854159</v>
      </c>
      <c r="AA21" s="44">
        <v>43179</v>
      </c>
      <c r="AB21">
        <v>40</v>
      </c>
      <c r="AC21" s="119" t="s">
        <v>1884</v>
      </c>
    </row>
    <row r="22" spans="1:29" x14ac:dyDescent="0.25">
      <c r="A22" s="149"/>
      <c r="B22" s="34" t="s">
        <v>328</v>
      </c>
      <c r="C22" t="s">
        <v>329</v>
      </c>
      <c r="D22" s="35" t="s">
        <v>329</v>
      </c>
      <c r="E22" t="s">
        <v>1021</v>
      </c>
      <c r="F22" s="36">
        <f>41375*0.4536</f>
        <v>18767.7</v>
      </c>
      <c r="G22" s="38">
        <v>18675.46</v>
      </c>
      <c r="H22" s="38">
        <f t="shared" si="5"/>
        <v>-92.240000000001601</v>
      </c>
      <c r="I22" s="35" t="s">
        <v>1789</v>
      </c>
      <c r="J22" s="5" t="s">
        <v>1022</v>
      </c>
      <c r="K22" s="39">
        <v>43164</v>
      </c>
      <c r="L22" s="39">
        <v>43165</v>
      </c>
      <c r="M22" s="35" t="s">
        <v>355</v>
      </c>
      <c r="N22" s="35" t="s">
        <v>1788</v>
      </c>
      <c r="O22" s="22"/>
      <c r="P22" s="40">
        <f>0.6503+0.095</f>
        <v>0.74529999999999996</v>
      </c>
      <c r="Q22" s="111">
        <v>23000</v>
      </c>
      <c r="R22" s="173">
        <v>9500</v>
      </c>
      <c r="S22" s="45">
        <v>18.63</v>
      </c>
      <c r="T22" s="137">
        <f>X22*F22*0.005</f>
        <v>3047.0288229347334</v>
      </c>
      <c r="V22" s="22">
        <v>0.12</v>
      </c>
      <c r="W22" s="22">
        <v>0.3</v>
      </c>
      <c r="X22" s="22">
        <f>IF(O22&gt;0,O22,((P22*2.2046*S22)+(Q22+R22)/G22)+V22)</f>
        <v>32.470988165142593</v>
      </c>
      <c r="Y22" s="22">
        <f>IF(O22&gt;0,O22,((P22*2.2046*S22)+(Q22+R22+T22)/G22)+V22+W22)</f>
        <v>32.934144993565276</v>
      </c>
      <c r="Z22" s="3">
        <f>Y22*F22</f>
        <v>618098.15299573506</v>
      </c>
      <c r="AA22" s="44">
        <v>43175</v>
      </c>
      <c r="AB22" s="84">
        <v>34.5</v>
      </c>
      <c r="AC22" s="119"/>
    </row>
    <row r="23" spans="1:29" x14ac:dyDescent="0.25">
      <c r="A23" s="149"/>
      <c r="B23" s="34" t="s">
        <v>328</v>
      </c>
      <c r="C23" t="s">
        <v>336</v>
      </c>
      <c r="D23" s="35" t="s">
        <v>336</v>
      </c>
      <c r="E23" t="s">
        <v>1021</v>
      </c>
      <c r="F23" s="36">
        <f>41018*0.4536</f>
        <v>18605.764800000001</v>
      </c>
      <c r="G23" s="38">
        <v>18515</v>
      </c>
      <c r="H23" s="38">
        <f t="shared" si="5"/>
        <v>-90.764800000000832</v>
      </c>
      <c r="I23" t="s">
        <v>1704</v>
      </c>
      <c r="J23" s="5" t="s">
        <v>1089</v>
      </c>
      <c r="K23" s="39">
        <v>43164</v>
      </c>
      <c r="L23" s="39">
        <v>43165</v>
      </c>
      <c r="M23" s="35" t="s">
        <v>355</v>
      </c>
      <c r="N23" s="35" t="s">
        <v>1787</v>
      </c>
      <c r="O23" s="22"/>
      <c r="P23" s="40">
        <f>0.6406+0.095</f>
        <v>0.73559999999999992</v>
      </c>
      <c r="Q23" s="111">
        <v>23000</v>
      </c>
      <c r="R23" s="22">
        <v>9400</v>
      </c>
      <c r="S23" s="45">
        <v>18.545000000000002</v>
      </c>
      <c r="T23" s="137">
        <f>X23*F23*0.005</f>
        <v>2971.752636835969</v>
      </c>
      <c r="V23" s="22">
        <v>0.12</v>
      </c>
      <c r="W23" s="22">
        <v>0.3</v>
      </c>
      <c r="X23" s="22">
        <f>IF(O23&gt;0,O23,((P23*2.2046*S23)+(Q23+R23)/G23)+V23)</f>
        <v>31.944428716372563</v>
      </c>
      <c r="Y23" s="22">
        <f>IF(O23&gt;0,O23,((P23*2.2046*S23)+(Q23+R23+T23)/G23)+V23+W23)</f>
        <v>32.40493385473799</v>
      </c>
      <c r="Z23" s="3">
        <f>Y23*F23</f>
        <v>602918.57766081241</v>
      </c>
      <c r="AA23" s="44">
        <v>43179</v>
      </c>
      <c r="AB23" s="3"/>
      <c r="AC23" s="119"/>
    </row>
    <row r="24" spans="1:29" x14ac:dyDescent="0.25">
      <c r="A24" s="149"/>
      <c r="B24" s="34" t="s">
        <v>340</v>
      </c>
      <c r="C24" t="s">
        <v>341</v>
      </c>
      <c r="D24" s="35" t="s">
        <v>1665</v>
      </c>
      <c r="E24">
        <v>200</v>
      </c>
      <c r="F24" s="36">
        <v>21340</v>
      </c>
      <c r="G24" s="38">
        <f>5920+11000</f>
        <v>16920</v>
      </c>
      <c r="H24" s="38">
        <f t="shared" si="5"/>
        <v>-4420</v>
      </c>
      <c r="I24" t="s">
        <v>1886</v>
      </c>
      <c r="K24" s="39"/>
      <c r="L24" s="39">
        <v>43165</v>
      </c>
      <c r="M24" s="35" t="s">
        <v>355</v>
      </c>
      <c r="O24" s="22">
        <v>28.5</v>
      </c>
      <c r="P24" s="40"/>
      <c r="Q24" s="47">
        <v>21300</v>
      </c>
      <c r="R24" s="22">
        <f>65*E24</f>
        <v>13000</v>
      </c>
      <c r="S24" s="43">
        <f>-38*E24</f>
        <v>-7600</v>
      </c>
      <c r="T24" s="137">
        <f>X24*F24*0.005</f>
        <v>4010.0155437352241</v>
      </c>
      <c r="U24" s="22">
        <f>E24*5</f>
        <v>1000</v>
      </c>
      <c r="W24" s="22">
        <v>0.3</v>
      </c>
      <c r="X24" s="22">
        <f>((O24*F24)+Q24+R24+S24+U24)/G24</f>
        <v>37.582151300236404</v>
      </c>
      <c r="Y24" s="22">
        <f>((O24*F24)+Q24+R24+S24+T24+U24)/G24+W24</f>
        <v>38.119149854830688</v>
      </c>
      <c r="Z24" s="3">
        <f>Y24*G24</f>
        <v>644976.01554373524</v>
      </c>
      <c r="AA24" s="44">
        <v>43179</v>
      </c>
      <c r="AB24" s="3">
        <v>40</v>
      </c>
      <c r="AC24" s="119" t="s">
        <v>1894</v>
      </c>
    </row>
    <row r="25" spans="1:29" x14ac:dyDescent="0.25">
      <c r="A25" s="149"/>
      <c r="B25" s="34" t="s">
        <v>1501</v>
      </c>
      <c r="C25" t="s">
        <v>343</v>
      </c>
      <c r="D25" s="35" t="s">
        <v>1106</v>
      </c>
      <c r="E25" t="s">
        <v>1260</v>
      </c>
      <c r="F25" s="36">
        <v>1817.1</v>
      </c>
      <c r="G25" s="38">
        <v>1817.1</v>
      </c>
      <c r="H25" s="38">
        <f t="shared" si="5"/>
        <v>0</v>
      </c>
      <c r="I25" t="s">
        <v>1935</v>
      </c>
      <c r="K25" s="39"/>
      <c r="L25" s="39">
        <v>43165</v>
      </c>
      <c r="M25" s="35" t="s">
        <v>355</v>
      </c>
      <c r="O25" s="22">
        <v>19</v>
      </c>
      <c r="P25" s="40"/>
      <c r="Q25" s="22"/>
      <c r="R25" s="22"/>
      <c r="S25" s="43"/>
      <c r="T25" s="43"/>
      <c r="U25" s="22"/>
      <c r="W25" s="22"/>
      <c r="X25" s="22">
        <f>IF(O25&gt;0,O25,((P25*2.2046*S25)+(Q25+R25)/G25)+V25)</f>
        <v>19</v>
      </c>
      <c r="Y25" s="22">
        <f>IF(O25&gt;0,O25,((P25*2.2046*S25)+(Q25+R25+T25)/G25)+V25+W25)</f>
        <v>19</v>
      </c>
      <c r="Z25" s="3">
        <f>Y25*F25</f>
        <v>34524.9</v>
      </c>
      <c r="AA25" s="44">
        <v>43172</v>
      </c>
      <c r="AB25" s="3"/>
      <c r="AC25" s="119"/>
    </row>
    <row r="26" spans="1:29" x14ac:dyDescent="0.25">
      <c r="A26" s="149"/>
      <c r="B26" s="34" t="s">
        <v>328</v>
      </c>
      <c r="C26" t="s">
        <v>336</v>
      </c>
      <c r="D26" s="35" t="s">
        <v>336</v>
      </c>
      <c r="E26" t="s">
        <v>1021</v>
      </c>
      <c r="F26" s="36">
        <f>41018*0.4536</f>
        <v>18605.764800000001</v>
      </c>
      <c r="G26" s="38">
        <v>18506.2</v>
      </c>
      <c r="H26" s="38">
        <f t="shared" si="5"/>
        <v>-99.564800000000105</v>
      </c>
      <c r="I26" t="s">
        <v>1705</v>
      </c>
      <c r="J26" s="5" t="s">
        <v>1022</v>
      </c>
      <c r="K26" s="39">
        <v>43165</v>
      </c>
      <c r="L26" s="39">
        <v>43166</v>
      </c>
      <c r="M26" s="35" t="s">
        <v>331</v>
      </c>
      <c r="N26" s="35" t="s">
        <v>1788</v>
      </c>
      <c r="O26" s="22"/>
      <c r="P26" s="40">
        <f>0.6503+0.095</f>
        <v>0.74529999999999996</v>
      </c>
      <c r="Q26" s="111">
        <v>23000</v>
      </c>
      <c r="R26" s="22">
        <v>9400</v>
      </c>
      <c r="S26" s="45">
        <v>18.803999999999998</v>
      </c>
      <c r="T26" s="137">
        <f>X26*F26*0.005</f>
        <v>3048.3125485653418</v>
      </c>
      <c r="V26" s="22">
        <v>0.12</v>
      </c>
      <c r="W26" s="22">
        <v>0.3</v>
      </c>
      <c r="X26" s="22">
        <f>IF(O26&gt;0,O26,((P26*2.2046*S26)+(Q26+R26)/G26)+V26)</f>
        <v>32.767398506137646</v>
      </c>
      <c r="Y26" s="22">
        <f>IF(O26&gt;0,O26,((P26*2.2046*S26)+(Q26+R26+T26)/G26)+V26+W26)</f>
        <v>33.232116954472005</v>
      </c>
      <c r="Z26" s="3">
        <f>Y26*F26</f>
        <v>618308.95186099841</v>
      </c>
      <c r="AA26" s="44">
        <v>43159</v>
      </c>
      <c r="AB26" s="3"/>
      <c r="AC26" s="119"/>
    </row>
    <row r="27" spans="1:29" x14ac:dyDescent="0.25">
      <c r="A27" s="149"/>
      <c r="B27" s="34" t="s">
        <v>340</v>
      </c>
      <c r="C27" t="s">
        <v>341</v>
      </c>
      <c r="D27" s="35" t="s">
        <v>1665</v>
      </c>
      <c r="E27">
        <v>131</v>
      </c>
      <c r="F27" s="36">
        <v>13745</v>
      </c>
      <c r="G27" s="38">
        <v>10870</v>
      </c>
      <c r="H27" s="38">
        <f t="shared" si="5"/>
        <v>-2875</v>
      </c>
      <c r="I27" t="s">
        <v>1895</v>
      </c>
      <c r="J27" s="10">
        <v>130</v>
      </c>
      <c r="K27" s="39"/>
      <c r="L27" s="39">
        <v>43166</v>
      </c>
      <c r="M27" s="35" t="s">
        <v>331</v>
      </c>
      <c r="O27" s="22">
        <v>28.5</v>
      </c>
      <c r="P27" s="40"/>
      <c r="Q27" s="111">
        <v>16900</v>
      </c>
      <c r="R27" s="22">
        <f>65*E27</f>
        <v>8515</v>
      </c>
      <c r="S27" s="43">
        <f>-38*E27</f>
        <v>-4978</v>
      </c>
      <c r="T27" s="137">
        <f>X27*F27*0.005</f>
        <v>2610.0610637074519</v>
      </c>
      <c r="U27" s="22">
        <f>E27*5</f>
        <v>655</v>
      </c>
      <c r="W27" s="22">
        <v>0.3</v>
      </c>
      <c r="X27" s="22">
        <f>((O27*F27)+Q27+R27+S27+U27)/G27</f>
        <v>37.978334866605337</v>
      </c>
      <c r="Y27" s="22">
        <f>((O27*F27)+Q27+R27+S27+T27+U27)/G27+W27</f>
        <v>38.518450879825892</v>
      </c>
      <c r="Z27" s="3">
        <f>Y27*G27</f>
        <v>418695.56106370746</v>
      </c>
      <c r="AA27" s="44">
        <v>43179</v>
      </c>
      <c r="AB27" s="3">
        <v>40</v>
      </c>
      <c r="AC27" s="119"/>
    </row>
    <row r="28" spans="1:29" x14ac:dyDescent="0.25">
      <c r="A28" s="149"/>
      <c r="B28" s="34" t="s">
        <v>328</v>
      </c>
      <c r="C28" s="35" t="s">
        <v>343</v>
      </c>
      <c r="D28" s="35" t="s">
        <v>343</v>
      </c>
      <c r="E28" t="s">
        <v>1040</v>
      </c>
      <c r="F28" s="36">
        <f>42030*0.4536</f>
        <v>19064.808000000001</v>
      </c>
      <c r="G28" s="38">
        <v>18951.61</v>
      </c>
      <c r="H28" s="38">
        <f t="shared" si="5"/>
        <v>-113.19800000000032</v>
      </c>
      <c r="I28" t="s">
        <v>1800</v>
      </c>
      <c r="J28" s="5" t="s">
        <v>1022</v>
      </c>
      <c r="K28" s="39">
        <v>43166</v>
      </c>
      <c r="L28" s="39">
        <v>43167</v>
      </c>
      <c r="M28" s="35" t="s">
        <v>342</v>
      </c>
      <c r="N28" s="35" t="s">
        <v>1803</v>
      </c>
      <c r="O28" s="22"/>
      <c r="P28" s="40">
        <f>0.6583+0.105</f>
        <v>0.76329999999999998</v>
      </c>
      <c r="Q28" s="111">
        <v>23000</v>
      </c>
      <c r="R28" s="22">
        <v>9400</v>
      </c>
      <c r="S28" s="45">
        <v>18.89</v>
      </c>
      <c r="T28" s="137">
        <f>X28*F28*0.005</f>
        <v>3204.5239690762332</v>
      </c>
      <c r="V28" s="22">
        <v>0.12</v>
      </c>
      <c r="W28" s="22">
        <v>0.3</v>
      </c>
      <c r="X28" s="22">
        <f>IF(O28&gt;0,O28,((P28*2.2046*S28)+(Q28+R28)/G28)+V28)</f>
        <v>33.617164873375415</v>
      </c>
      <c r="Y28" s="22">
        <f>IF(O28&gt;0,O28,((P28*2.2046*S28)+(Q28+R28+T28)/G28)+V28+W28)</f>
        <v>34.086254674668083</v>
      </c>
      <c r="Z28" s="3">
        <f>Y28*F28</f>
        <v>649847.90081164951</v>
      </c>
      <c r="AA28" s="44">
        <v>43160</v>
      </c>
      <c r="AB28" s="3"/>
      <c r="AC28" s="119"/>
    </row>
    <row r="29" spans="1:29" x14ac:dyDescent="0.25">
      <c r="A29" s="149"/>
      <c r="B29" s="34" t="s">
        <v>340</v>
      </c>
      <c r="C29" t="s">
        <v>341</v>
      </c>
      <c r="D29" s="35" t="s">
        <v>1102</v>
      </c>
      <c r="E29">
        <v>200</v>
      </c>
      <c r="F29" s="36">
        <v>23710</v>
      </c>
      <c r="G29" s="38">
        <v>18990</v>
      </c>
      <c r="H29" s="38">
        <f t="shared" si="5"/>
        <v>-4720</v>
      </c>
      <c r="I29" t="s">
        <v>1910</v>
      </c>
      <c r="K29" s="39"/>
      <c r="L29" s="39">
        <v>43167</v>
      </c>
      <c r="M29" s="35" t="s">
        <v>342</v>
      </c>
      <c r="O29" s="22">
        <v>28.5</v>
      </c>
      <c r="P29" s="40"/>
      <c r="Q29" s="47">
        <v>21300</v>
      </c>
      <c r="R29" s="22">
        <f>71*E29</f>
        <v>14200</v>
      </c>
      <c r="S29" s="43">
        <f>-38*E29</f>
        <v>-7600</v>
      </c>
      <c r="T29" s="137">
        <f>X29*F29*0.0045</f>
        <v>3958.9800592417059</v>
      </c>
      <c r="U29" s="22">
        <f>E29*5</f>
        <v>1000</v>
      </c>
      <c r="W29" s="22">
        <v>0.3</v>
      </c>
      <c r="X29" s="22">
        <f>((O29*F29)+Q29+R29+S29+U29)/G29</f>
        <v>37.105581885202739</v>
      </c>
      <c r="Y29" s="22">
        <f>((O29*F29)+Q29+R29+S29+T29+U29)/G29+W29</f>
        <v>37.614058981529318</v>
      </c>
      <c r="Z29" s="3">
        <f>Y29*G29</f>
        <v>714290.98005924176</v>
      </c>
      <c r="AA29" s="44">
        <v>43180</v>
      </c>
      <c r="AB29" s="3">
        <v>40</v>
      </c>
      <c r="AC29" s="119"/>
    </row>
    <row r="30" spans="1:29" x14ac:dyDescent="0.25">
      <c r="A30" s="149"/>
      <c r="B30" s="34" t="s">
        <v>340</v>
      </c>
      <c r="C30" t="s">
        <v>341</v>
      </c>
      <c r="D30" s="35" t="s">
        <v>1665</v>
      </c>
      <c r="E30">
        <v>130</v>
      </c>
      <c r="F30" s="36">
        <v>14655</v>
      </c>
      <c r="G30" s="38">
        <v>11780</v>
      </c>
      <c r="H30" s="38">
        <f t="shared" si="5"/>
        <v>-2875</v>
      </c>
      <c r="I30" t="s">
        <v>1911</v>
      </c>
      <c r="K30" s="39"/>
      <c r="L30" s="39">
        <v>43167</v>
      </c>
      <c r="M30" s="35" t="s">
        <v>342</v>
      </c>
      <c r="O30" s="22">
        <v>28.5</v>
      </c>
      <c r="P30" s="40"/>
      <c r="Q30" s="111">
        <v>16900</v>
      </c>
      <c r="R30" s="22">
        <f>71*E30</f>
        <v>9230</v>
      </c>
      <c r="S30" s="43">
        <f>-38*E30</f>
        <v>-4940</v>
      </c>
      <c r="T30" s="137">
        <f>X30*F30*0.0045</f>
        <v>2460.4771524830217</v>
      </c>
      <c r="U30" s="22">
        <f>E30*5</f>
        <v>650</v>
      </c>
      <c r="W30" s="22">
        <v>0.3</v>
      </c>
      <c r="X30" s="22">
        <f>((O30*F30)+Q30+R30+S30+U30)/G30</f>
        <v>37.309634974533104</v>
      </c>
      <c r="Y30" s="22">
        <f>((O30*F30)+Q30+R30+S30+T30+U30)/G30+W30</f>
        <v>37.818504002757471</v>
      </c>
      <c r="Z30" s="3">
        <f>Y30*G30</f>
        <v>445501.97715248301</v>
      </c>
      <c r="AA30" s="44">
        <v>43180</v>
      </c>
      <c r="AB30" s="3"/>
      <c r="AC30" s="119" t="s">
        <v>1916</v>
      </c>
    </row>
    <row r="31" spans="1:29" x14ac:dyDescent="0.25">
      <c r="A31" s="149"/>
      <c r="B31" s="34" t="s">
        <v>328</v>
      </c>
      <c r="C31" s="35" t="s">
        <v>329</v>
      </c>
      <c r="D31" s="35" t="s">
        <v>329</v>
      </c>
      <c r="E31" t="s">
        <v>1021</v>
      </c>
      <c r="F31" s="36">
        <f>42153*0.4536</f>
        <v>19120.6008</v>
      </c>
      <c r="G31" s="38">
        <v>19078.55</v>
      </c>
      <c r="H31" s="38">
        <f t="shared" si="5"/>
        <v>-42.050800000000891</v>
      </c>
      <c r="I31" t="s">
        <v>1801</v>
      </c>
      <c r="J31" s="5" t="s">
        <v>1022</v>
      </c>
      <c r="K31" s="39">
        <v>43167</v>
      </c>
      <c r="L31" s="39">
        <v>43168</v>
      </c>
      <c r="M31" s="35" t="s">
        <v>345</v>
      </c>
      <c r="N31" s="35" t="s">
        <v>1804</v>
      </c>
      <c r="O31" s="22"/>
      <c r="P31" s="40">
        <f>0.6583+0.095</f>
        <v>0.75329999999999997</v>
      </c>
      <c r="Q31" s="111">
        <v>23000</v>
      </c>
      <c r="R31" s="173">
        <v>9500</v>
      </c>
      <c r="S31" s="45">
        <v>18.79</v>
      </c>
      <c r="T31" s="137">
        <f>X31*F31*0.005</f>
        <v>3157.6247628903116</v>
      </c>
      <c r="V31" s="22">
        <v>0.12</v>
      </c>
      <c r="W31" s="22">
        <v>0.3</v>
      </c>
      <c r="X31" s="22">
        <f>IF(O31&gt;0,O31,((P31*2.2046*S31)+(Q31+R31)/G31)+V31)</f>
        <v>33.028509887516833</v>
      </c>
      <c r="Y31" s="22">
        <f>IF(O31&gt;0,O31,((P31*2.2046*S31)+(Q31+R31+T31)/G31)+V31+W31)</f>
        <v>33.494016425638975</v>
      </c>
      <c r="Z31" s="3">
        <f>Y31*F31</f>
        <v>640425.71726328577</v>
      </c>
      <c r="AA31" s="44">
        <v>43179</v>
      </c>
      <c r="AB31">
        <v>34.5</v>
      </c>
      <c r="AC31" s="119"/>
    </row>
    <row r="32" spans="1:29" x14ac:dyDescent="0.25">
      <c r="A32" s="149"/>
      <c r="B32" s="34" t="s">
        <v>340</v>
      </c>
      <c r="C32" t="s">
        <v>341</v>
      </c>
      <c r="D32" s="35" t="s">
        <v>1060</v>
      </c>
      <c r="E32">
        <v>199</v>
      </c>
      <c r="F32" s="36">
        <v>22625</v>
      </c>
      <c r="G32" s="38">
        <v>18260</v>
      </c>
      <c r="H32" s="38">
        <f t="shared" si="5"/>
        <v>-4365</v>
      </c>
      <c r="I32" t="s">
        <v>1912</v>
      </c>
      <c r="J32">
        <v>200</v>
      </c>
      <c r="K32" s="39"/>
      <c r="L32" s="39">
        <v>43168</v>
      </c>
      <c r="M32" s="35" t="s">
        <v>345</v>
      </c>
      <c r="O32" s="22">
        <v>28.5</v>
      </c>
      <c r="P32" s="40"/>
      <c r="Q32" s="111">
        <v>21300</v>
      </c>
      <c r="R32" s="22">
        <f>71*E32</f>
        <v>14129</v>
      </c>
      <c r="S32" s="43">
        <f>-38*E32</f>
        <v>-7562</v>
      </c>
      <c r="T32" s="137">
        <f>X32*F32*0.0045</f>
        <v>3756.2149524233296</v>
      </c>
      <c r="U32" s="22">
        <f>E32*5</f>
        <v>995</v>
      </c>
      <c r="W32" s="22">
        <v>0.3</v>
      </c>
      <c r="X32" s="22">
        <f>((O32*F32)+Q32+R32+S32+U32)/G32</f>
        <v>36.893455640744797</v>
      </c>
      <c r="Y32" s="22">
        <f>((O32*F32)+Q32+R32+S32+T32+U32)/G32+W32</f>
        <v>37.39916292181946</v>
      </c>
      <c r="Z32" s="3">
        <f>Y32*G32</f>
        <v>682908.71495242335</v>
      </c>
      <c r="AA32" s="44">
        <v>43181</v>
      </c>
      <c r="AB32" s="3">
        <v>40</v>
      </c>
      <c r="AC32" s="119"/>
    </row>
    <row r="33" spans="1:29" x14ac:dyDescent="0.25">
      <c r="A33" s="149"/>
      <c r="B33" s="34" t="s">
        <v>340</v>
      </c>
      <c r="C33" t="s">
        <v>341</v>
      </c>
      <c r="D33" s="35" t="s">
        <v>1047</v>
      </c>
      <c r="E33">
        <v>130</v>
      </c>
      <c r="F33" s="36">
        <v>15100</v>
      </c>
      <c r="G33" s="38">
        <v>11970</v>
      </c>
      <c r="H33" s="38">
        <f t="shared" si="5"/>
        <v>-3130</v>
      </c>
      <c r="I33" s="35" t="s">
        <v>1913</v>
      </c>
      <c r="J33">
        <v>129</v>
      </c>
      <c r="K33" s="39"/>
      <c r="L33" s="39">
        <v>43168</v>
      </c>
      <c r="M33" s="35" t="s">
        <v>345</v>
      </c>
      <c r="O33" s="22">
        <v>28.5</v>
      </c>
      <c r="P33" s="40"/>
      <c r="Q33" s="111">
        <v>16900</v>
      </c>
      <c r="R33" s="22">
        <f>71*E33</f>
        <v>9230</v>
      </c>
      <c r="S33" s="43">
        <f>-38*E33</f>
        <v>-4940</v>
      </c>
      <c r="T33" s="137">
        <f>X33*F33*0.0045</f>
        <v>2566.9432330827062</v>
      </c>
      <c r="U33" s="22">
        <f>E33*5</f>
        <v>650</v>
      </c>
      <c r="W33" s="22">
        <v>0.3</v>
      </c>
      <c r="X33" s="22">
        <f>((O33*F33)+Q33+R33+S33+U33)/G33</f>
        <v>37.776942355889723</v>
      </c>
      <c r="Y33" s="22">
        <f>((O33*F33)+Q33+R33+S33+T33+U33)/G33+W33</f>
        <v>38.291390412120528</v>
      </c>
      <c r="Z33" s="3">
        <f>Y33*G33</f>
        <v>458347.94323308271</v>
      </c>
      <c r="AA33" s="44">
        <v>43181</v>
      </c>
      <c r="AB33" s="3"/>
      <c r="AC33" s="119" t="s">
        <v>1917</v>
      </c>
    </row>
    <row r="34" spans="1:29" x14ac:dyDescent="0.25">
      <c r="A34" s="149"/>
      <c r="B34" s="34" t="s">
        <v>328</v>
      </c>
      <c r="C34" s="35" t="s">
        <v>343</v>
      </c>
      <c r="D34" s="35" t="s">
        <v>343</v>
      </c>
      <c r="E34" t="s">
        <v>1040</v>
      </c>
      <c r="F34" s="36">
        <f>41868*0.4536</f>
        <v>18991.324799999999</v>
      </c>
      <c r="G34" s="38">
        <v>18983.12</v>
      </c>
      <c r="H34" s="38">
        <f t="shared" si="5"/>
        <v>-8.2047999999995227</v>
      </c>
      <c r="I34" t="s">
        <v>1802</v>
      </c>
      <c r="J34" s="5" t="s">
        <v>1022</v>
      </c>
      <c r="K34" s="39">
        <v>43168</v>
      </c>
      <c r="L34" s="39">
        <v>43169</v>
      </c>
      <c r="M34" s="35" t="s">
        <v>348</v>
      </c>
      <c r="N34" s="35" t="s">
        <v>1805</v>
      </c>
      <c r="O34" s="22"/>
      <c r="P34" s="40">
        <f>0.6576+0.105</f>
        <v>0.76259999999999994</v>
      </c>
      <c r="Q34" s="111">
        <v>23000</v>
      </c>
      <c r="R34" s="22">
        <v>9400</v>
      </c>
      <c r="S34" s="45">
        <v>18.901</v>
      </c>
      <c r="T34" s="137">
        <f>X34*F34*0.005</f>
        <v>3190.8909782718624</v>
      </c>
      <c r="V34" s="22">
        <v>0.12</v>
      </c>
      <c r="W34" s="22">
        <v>0.3</v>
      </c>
      <c r="X34" s="22">
        <f>IF(O34&gt;0,O34,((P34*2.2046*S34)+(Q34+R34)/G34)+V34)</f>
        <v>33.60366916869183</v>
      </c>
      <c r="Y34" s="22">
        <f>IF(O34&gt;0,O34,((P34*2.2046*S34)+(Q34+R34+T34)/G34)+V34+W34)</f>
        <v>34.071760134680133</v>
      </c>
      <c r="Z34" s="3">
        <f>Y34*F34</f>
        <v>647067.86322540208</v>
      </c>
      <c r="AA34" s="44">
        <v>43164</v>
      </c>
      <c r="AB34" s="3">
        <v>34.5</v>
      </c>
      <c r="AC34" s="119"/>
    </row>
    <row r="35" spans="1:29" x14ac:dyDescent="0.25">
      <c r="A35" s="149"/>
      <c r="B35" s="34" t="s">
        <v>1105</v>
      </c>
      <c r="C35" t="s">
        <v>343</v>
      </c>
      <c r="D35" s="35" t="s">
        <v>1106</v>
      </c>
      <c r="E35" t="s">
        <v>1652</v>
      </c>
      <c r="F35" s="36">
        <v>3666.8</v>
      </c>
      <c r="G35" s="38">
        <v>3666.8</v>
      </c>
      <c r="H35" s="38">
        <f t="shared" si="5"/>
        <v>0</v>
      </c>
      <c r="I35" s="35" t="s">
        <v>2086</v>
      </c>
      <c r="K35" s="39"/>
      <c r="L35" s="39">
        <v>43169</v>
      </c>
      <c r="M35" s="35" t="s">
        <v>348</v>
      </c>
      <c r="O35" s="22">
        <v>19.3</v>
      </c>
      <c r="P35" s="40"/>
      <c r="Q35" s="22"/>
      <c r="R35" s="22"/>
      <c r="S35" s="43"/>
      <c r="T35" s="43"/>
      <c r="U35" s="22"/>
      <c r="W35" s="22"/>
      <c r="X35" s="22">
        <f>IF(O35&gt;0,O35,((P35*2.2046*S35)+(Q35+R35)/G35)+V35)</f>
        <v>19.3</v>
      </c>
      <c r="Y35" s="22">
        <f>IF(O35&gt;0,O35,((P35*2.2046*S35)+(Q35+R35+T35)/G35)+V35+W35)</f>
        <v>19.3</v>
      </c>
      <c r="Z35" s="3">
        <f>Y35*F35</f>
        <v>70769.240000000005</v>
      </c>
      <c r="AA35" s="44">
        <v>43179</v>
      </c>
      <c r="AB35" s="3"/>
      <c r="AC35" s="119"/>
    </row>
    <row r="36" spans="1:29" x14ac:dyDescent="0.25">
      <c r="A36" s="149"/>
      <c r="B36" s="34" t="s">
        <v>1937</v>
      </c>
      <c r="C36" s="35" t="s">
        <v>1938</v>
      </c>
      <c r="D36" s="35" t="s">
        <v>1065</v>
      </c>
      <c r="E36" t="s">
        <v>1939</v>
      </c>
      <c r="F36" s="36">
        <v>9173.14</v>
      </c>
      <c r="G36" s="38">
        <v>9173.14</v>
      </c>
      <c r="H36" s="38">
        <f t="shared" si="5"/>
        <v>0</v>
      </c>
      <c r="I36" t="s">
        <v>1940</v>
      </c>
      <c r="K36" s="39"/>
      <c r="L36" s="39">
        <v>43170</v>
      </c>
      <c r="M36" s="35" t="s">
        <v>348</v>
      </c>
      <c r="N36" s="35"/>
      <c r="O36" s="22">
        <v>36.200000000000003</v>
      </c>
      <c r="P36" s="40"/>
      <c r="Q36" s="22"/>
      <c r="R36" s="22"/>
      <c r="S36" s="45"/>
      <c r="T36" s="43"/>
      <c r="V36" s="22"/>
      <c r="W36" s="22"/>
      <c r="X36" s="22">
        <f>IF(O36&gt;0,O36,((P36*2.2046*S36)+(Q36+R36)/G36)+V36)</f>
        <v>36.200000000000003</v>
      </c>
      <c r="Y36" s="22">
        <f>IF(O36&gt;0,O36,((P36*2.2046*S36)+(Q36+R36+T36)/G36)+V36+W36)</f>
        <v>36.200000000000003</v>
      </c>
      <c r="Z36" s="3">
        <f>Y36*F36</f>
        <v>332067.66800000001</v>
      </c>
      <c r="AA36" s="44">
        <v>43179</v>
      </c>
      <c r="AB36" s="3"/>
      <c r="AC36" s="119"/>
    </row>
    <row r="37" spans="1:29" ht="15.75" thickBot="1" x14ac:dyDescent="0.3">
      <c r="A37" s="150"/>
      <c r="B37" s="49"/>
      <c r="C37" s="23"/>
      <c r="D37" s="23"/>
      <c r="E37" s="23"/>
      <c r="F37" s="50"/>
      <c r="G37" s="50"/>
      <c r="H37" s="50"/>
      <c r="I37" s="26"/>
      <c r="J37" s="23"/>
      <c r="K37" s="27"/>
      <c r="L37" s="27"/>
      <c r="M37" s="23"/>
      <c r="N37" s="23"/>
      <c r="O37" s="28"/>
      <c r="P37" s="29"/>
      <c r="Q37" s="28"/>
      <c r="R37" s="28"/>
      <c r="S37" s="28"/>
      <c r="T37" s="28"/>
      <c r="U37" s="28"/>
      <c r="V37" s="28"/>
      <c r="W37" s="28"/>
      <c r="X37" s="28"/>
      <c r="Y37" s="28"/>
      <c r="Z37" s="32"/>
      <c r="AA37" s="51"/>
      <c r="AB37" s="3"/>
      <c r="AC37" s="119"/>
    </row>
    <row r="38" spans="1:29" ht="15.75" thickTop="1" x14ac:dyDescent="0.25">
      <c r="A38" s="122"/>
      <c r="B38" s="53" t="s">
        <v>340</v>
      </c>
      <c r="C38" s="53" t="s">
        <v>341</v>
      </c>
      <c r="D38" s="54" t="s">
        <v>1927</v>
      </c>
      <c r="E38" s="53">
        <f>250+10</f>
        <v>260</v>
      </c>
      <c r="F38" s="55">
        <f>27940+1116</f>
        <v>29056</v>
      </c>
      <c r="G38" s="56">
        <f>11580+11710</f>
        <v>23290</v>
      </c>
      <c r="H38" s="121">
        <f t="shared" ref="H38:H54" si="6">G38-F38</f>
        <v>-5766</v>
      </c>
      <c r="I38" s="57" t="s">
        <v>1928</v>
      </c>
      <c r="J38" s="53"/>
      <c r="K38" s="58"/>
      <c r="L38" s="58">
        <v>43170</v>
      </c>
      <c r="M38" s="54" t="s">
        <v>349</v>
      </c>
      <c r="N38" s="53"/>
      <c r="O38" s="59">
        <v>28.5</v>
      </c>
      <c r="P38" s="60"/>
      <c r="Q38" s="61">
        <v>21300</v>
      </c>
      <c r="R38" s="22">
        <f>71*E38</f>
        <v>18460</v>
      </c>
      <c r="S38" s="59">
        <f>-38*E38</f>
        <v>-9880</v>
      </c>
      <c r="T38" s="138">
        <f>X38*F38*0.0045</f>
        <v>4824.0470395878065</v>
      </c>
      <c r="U38" s="59">
        <f>E38*5</f>
        <v>1300</v>
      </c>
      <c r="V38" s="53"/>
      <c r="W38" s="59">
        <v>0.3</v>
      </c>
      <c r="X38" s="59">
        <f>((O38*F38)+Q38+R38+S38+U38)/G38</f>
        <v>36.894632889652215</v>
      </c>
      <c r="Y38" s="63">
        <f>((O38*F38)+Q38+R38+S38+T38+U38)/G38+W38</f>
        <v>37.401762431927338</v>
      </c>
      <c r="Z38" s="63">
        <f>Y38*G38</f>
        <v>871087.04703958775</v>
      </c>
      <c r="AA38" s="64">
        <v>43185</v>
      </c>
      <c r="AB38" s="3"/>
      <c r="AC38" s="3" t="s">
        <v>1932</v>
      </c>
    </row>
    <row r="39" spans="1:29" x14ac:dyDescent="0.25">
      <c r="A39" s="123"/>
      <c r="B39" s="34" t="s">
        <v>340</v>
      </c>
      <c r="C39" t="s">
        <v>341</v>
      </c>
      <c r="D39" s="35" t="s">
        <v>1244</v>
      </c>
      <c r="E39">
        <v>200</v>
      </c>
      <c r="F39" s="36">
        <v>21810</v>
      </c>
      <c r="G39" s="38">
        <f>11230+6060</f>
        <v>17290</v>
      </c>
      <c r="H39" s="38">
        <f t="shared" si="6"/>
        <v>-4520</v>
      </c>
      <c r="I39" s="35" t="s">
        <v>1944</v>
      </c>
      <c r="K39" s="39"/>
      <c r="L39" s="39">
        <v>43171</v>
      </c>
      <c r="M39" s="35" t="s">
        <v>350</v>
      </c>
      <c r="O39" s="22">
        <v>28.5</v>
      </c>
      <c r="P39" s="40"/>
      <c r="Q39" s="47">
        <v>21300</v>
      </c>
      <c r="R39" s="22">
        <f>71*E39</f>
        <v>14200</v>
      </c>
      <c r="S39" s="43">
        <f>-38*E39</f>
        <v>-7600</v>
      </c>
      <c r="T39" s="137">
        <f>X39*F39*0.0045</f>
        <v>3692.4147093695774</v>
      </c>
      <c r="U39" s="22">
        <f>E39*5</f>
        <v>1000</v>
      </c>
      <c r="W39" s="22">
        <v>0.3</v>
      </c>
      <c r="X39" s="22">
        <f>((O39*F39)+Q39+R39+S39+U39)/G39</f>
        <v>37.622035858877965</v>
      </c>
      <c r="Y39" s="22">
        <f>((O39*F39)+Q39+R39+S39+T39+U39)/G39+W39</f>
        <v>38.135593678968739</v>
      </c>
      <c r="Z39" s="3">
        <f>Y39*G39</f>
        <v>659364.41470936954</v>
      </c>
      <c r="AA39" s="44">
        <v>43185</v>
      </c>
      <c r="AB39" s="3">
        <v>40.5</v>
      </c>
      <c r="AC39" s="119" t="s">
        <v>1945</v>
      </c>
    </row>
    <row r="40" spans="1:29" x14ac:dyDescent="0.25">
      <c r="A40" s="123"/>
      <c r="B40" s="34" t="s">
        <v>328</v>
      </c>
      <c r="C40" t="s">
        <v>336</v>
      </c>
      <c r="D40" s="35" t="s">
        <v>1129</v>
      </c>
      <c r="E40" t="s">
        <v>1021</v>
      </c>
      <c r="F40" s="36">
        <f>41415*0.4536</f>
        <v>18785.844000000001</v>
      </c>
      <c r="G40" s="38">
        <v>18725.87</v>
      </c>
      <c r="H40" s="38">
        <f t="shared" si="6"/>
        <v>-59.974000000001979</v>
      </c>
      <c r="I40" t="s">
        <v>1818</v>
      </c>
      <c r="J40" s="5" t="s">
        <v>1022</v>
      </c>
      <c r="K40" s="39">
        <v>43171</v>
      </c>
      <c r="L40" s="39">
        <v>43172</v>
      </c>
      <c r="M40" s="35" t="s">
        <v>355</v>
      </c>
      <c r="N40" s="35" t="s">
        <v>1819</v>
      </c>
      <c r="O40" s="22"/>
      <c r="P40" s="40">
        <f>0.6001+0.105</f>
        <v>0.70509999999999995</v>
      </c>
      <c r="Q40" s="111">
        <v>26000</v>
      </c>
      <c r="R40" s="22">
        <v>9400</v>
      </c>
      <c r="S40" s="45">
        <v>18.646999999999998</v>
      </c>
      <c r="T40" s="137">
        <f t="shared" ref="T40:T45" si="7">X40*F40*0.005</f>
        <v>2911.4782887801157</v>
      </c>
      <c r="V40" s="22">
        <v>0.12</v>
      </c>
      <c r="W40" s="22">
        <v>0.3</v>
      </c>
      <c r="X40" s="22">
        <f>IF(O40&gt;0,O40,((P40*2.2046*S40)+(Q40+R40)/G40)+V40)</f>
        <v>30.996512999683329</v>
      </c>
      <c r="Y40" s="22">
        <f>IF(O40&gt;0,O40,((P40*2.2046*S40)+(Q40+R40+T40)/G40)+V40+W40)</f>
        <v>31.451991932773225</v>
      </c>
      <c r="Z40" s="3">
        <f>Y40*F40</f>
        <v>590852.21393833635</v>
      </c>
      <c r="AA40" s="44">
        <v>43172</v>
      </c>
      <c r="AB40" s="3">
        <v>32</v>
      </c>
      <c r="AC40" s="119"/>
    </row>
    <row r="41" spans="1:29" x14ac:dyDescent="0.25">
      <c r="A41" s="123"/>
      <c r="B41" s="34" t="s">
        <v>340</v>
      </c>
      <c r="C41" t="s">
        <v>341</v>
      </c>
      <c r="D41" s="35" t="s">
        <v>1102</v>
      </c>
      <c r="E41">
        <v>199</v>
      </c>
      <c r="F41" s="36">
        <v>23065</v>
      </c>
      <c r="G41" s="38">
        <f>11900+6490</f>
        <v>18390</v>
      </c>
      <c r="H41" s="38">
        <f t="shared" si="6"/>
        <v>-4675</v>
      </c>
      <c r="I41" t="s">
        <v>1946</v>
      </c>
      <c r="K41" s="39"/>
      <c r="L41" s="39">
        <v>43172</v>
      </c>
      <c r="M41" s="35" t="s">
        <v>355</v>
      </c>
      <c r="O41" s="22">
        <v>28.5</v>
      </c>
      <c r="P41" s="40"/>
      <c r="Q41" s="47">
        <v>21300</v>
      </c>
      <c r="R41" s="22">
        <f>71*E41</f>
        <v>14129</v>
      </c>
      <c r="S41" s="43">
        <f>-38*E41</f>
        <v>-7562</v>
      </c>
      <c r="T41" s="137">
        <f t="shared" si="7"/>
        <v>4303.3000115551931</v>
      </c>
      <c r="U41" s="22">
        <f>E41*5</f>
        <v>995</v>
      </c>
      <c r="W41" s="22">
        <v>0.3</v>
      </c>
      <c r="X41" s="22">
        <f>((O41*F41)+Q41+R41+S41+U41)/G41</f>
        <v>37.314545948885261</v>
      </c>
      <c r="Y41" s="22">
        <f>((O41*F41)+Q41+R41+S41+T41+U41)/G41+W41</f>
        <v>37.848548124608762</v>
      </c>
      <c r="Z41" s="3">
        <f>Y41*G41</f>
        <v>696034.80001155508</v>
      </c>
      <c r="AA41" s="44">
        <v>43185</v>
      </c>
      <c r="AB41" s="3"/>
      <c r="AC41" s="119" t="s">
        <v>1952</v>
      </c>
    </row>
    <row r="42" spans="1:29" x14ac:dyDescent="0.25">
      <c r="A42" s="123"/>
      <c r="B42" s="34" t="s">
        <v>328</v>
      </c>
      <c r="C42" t="s">
        <v>329</v>
      </c>
      <c r="D42" s="35" t="s">
        <v>329</v>
      </c>
      <c r="E42" t="s">
        <v>1021</v>
      </c>
      <c r="F42" s="36">
        <f>41448*0.4536</f>
        <v>18800.8128</v>
      </c>
      <c r="G42" s="38">
        <v>18794.82</v>
      </c>
      <c r="H42" s="38">
        <f t="shared" si="6"/>
        <v>-5.9927999999999884</v>
      </c>
      <c r="I42" s="35" t="s">
        <v>1820</v>
      </c>
      <c r="J42" s="5" t="s">
        <v>1089</v>
      </c>
      <c r="K42" s="39">
        <v>43172</v>
      </c>
      <c r="L42" s="39">
        <v>43173</v>
      </c>
      <c r="M42" s="35" t="s">
        <v>355</v>
      </c>
      <c r="N42" s="35" t="s">
        <v>1811</v>
      </c>
      <c r="O42" s="22"/>
      <c r="P42" s="40">
        <f>0.5855+0.095</f>
        <v>0.68049999999999999</v>
      </c>
      <c r="Q42" s="111">
        <v>26000</v>
      </c>
      <c r="R42" s="173">
        <v>9500</v>
      </c>
      <c r="S42" s="45">
        <v>18.468</v>
      </c>
      <c r="T42" s="137">
        <f t="shared" si="7"/>
        <v>2793.3374814021286</v>
      </c>
      <c r="V42" s="22">
        <v>0.12</v>
      </c>
      <c r="W42" s="22">
        <v>0.3</v>
      </c>
      <c r="X42" s="22">
        <f>IF(O42&gt;0,O42,((P42*2.2046*S42)+(Q42+R42)/G42)+V42)</f>
        <v>29.715071482464083</v>
      </c>
      <c r="Y42" s="22">
        <f>IF(O42&gt;0,O42,((P42*2.2046*S42)+(Q42+R42+T42)/G42)+V42+W42)</f>
        <v>30.163694213695461</v>
      </c>
      <c r="Z42" s="3">
        <f>Y42*F42</f>
        <v>567101.9682681316</v>
      </c>
      <c r="AA42" s="44">
        <v>43182</v>
      </c>
      <c r="AB42" s="3"/>
      <c r="AC42" s="119"/>
    </row>
    <row r="43" spans="1:29" x14ac:dyDescent="0.25">
      <c r="A43" s="123"/>
      <c r="B43" s="34" t="s">
        <v>328</v>
      </c>
      <c r="C43" t="s">
        <v>336</v>
      </c>
      <c r="D43" s="35" t="s">
        <v>336</v>
      </c>
      <c r="E43" t="s">
        <v>1021</v>
      </c>
      <c r="F43" s="36">
        <f>41017*0.4536</f>
        <v>18605.3112</v>
      </c>
      <c r="G43" s="38">
        <v>18537.88</v>
      </c>
      <c r="H43" s="38">
        <f t="shared" si="6"/>
        <v>-67.43119999999908</v>
      </c>
      <c r="I43" t="s">
        <v>1706</v>
      </c>
      <c r="J43" s="5" t="s">
        <v>1022</v>
      </c>
      <c r="K43" s="39">
        <v>43172</v>
      </c>
      <c r="L43" s="39">
        <v>43173</v>
      </c>
      <c r="M43" s="35" t="s">
        <v>331</v>
      </c>
      <c r="N43" s="35" t="s">
        <v>1810</v>
      </c>
      <c r="O43" s="22"/>
      <c r="P43" s="40">
        <f>0.5957+0.095</f>
        <v>0.69069999999999998</v>
      </c>
      <c r="Q43" s="111">
        <v>26000</v>
      </c>
      <c r="R43" s="22">
        <v>9400</v>
      </c>
      <c r="S43" s="45">
        <v>18.869</v>
      </c>
      <c r="T43" s="137">
        <f t="shared" si="7"/>
        <v>2861.6600958446456</v>
      </c>
      <c r="V43" s="22">
        <v>0.12</v>
      </c>
      <c r="W43" s="22">
        <v>0.3</v>
      </c>
      <c r="X43" s="22">
        <f>IF(O43&gt;0,O43,((P43*2.2046*S43)+(Q43+R43)/G43)+V43)</f>
        <v>30.761754695558604</v>
      </c>
      <c r="Y43" s="22">
        <f>IF(O43&gt;0,O43,((P43*2.2046*S43)+(Q43+R43+T43)/G43)+V43+W43)</f>
        <v>31.216122945641391</v>
      </c>
      <c r="Z43" s="3">
        <f>Y43*F43</f>
        <v>580785.68186111876</v>
      </c>
      <c r="AA43" s="44">
        <v>43166</v>
      </c>
      <c r="AB43" s="3">
        <v>32.5</v>
      </c>
      <c r="AC43" s="119"/>
    </row>
    <row r="44" spans="1:29" x14ac:dyDescent="0.25">
      <c r="A44" s="123"/>
      <c r="B44" s="34" t="s">
        <v>340</v>
      </c>
      <c r="C44" t="s">
        <v>341</v>
      </c>
      <c r="D44" s="35" t="s">
        <v>1665</v>
      </c>
      <c r="E44">
        <f>129+70</f>
        <v>199</v>
      </c>
      <c r="F44" s="36">
        <v>21335</v>
      </c>
      <c r="G44" s="38">
        <f>10930+5990</f>
        <v>16920</v>
      </c>
      <c r="H44" s="38">
        <f t="shared" si="6"/>
        <v>-4415</v>
      </c>
      <c r="I44" t="s">
        <v>1953</v>
      </c>
      <c r="K44" s="39"/>
      <c r="L44" s="39">
        <v>43173</v>
      </c>
      <c r="M44" s="35" t="s">
        <v>331</v>
      </c>
      <c r="O44" s="22">
        <v>28.5</v>
      </c>
      <c r="P44" s="40"/>
      <c r="Q44" s="111">
        <v>21300</v>
      </c>
      <c r="R44" s="22">
        <f>71*E44</f>
        <v>14129</v>
      </c>
      <c r="S44" s="43">
        <f>-38*E44</f>
        <v>-7562</v>
      </c>
      <c r="T44" s="137">
        <f t="shared" si="7"/>
        <v>4015.5036000295509</v>
      </c>
      <c r="U44" s="22">
        <f>E44*5</f>
        <v>995</v>
      </c>
      <c r="W44" s="22">
        <v>0.3</v>
      </c>
      <c r="X44" s="22">
        <f>((O44*F44)+Q44+R44+S44+U44)/G44</f>
        <v>37.642405437352245</v>
      </c>
      <c r="Y44" s="22">
        <f>((O44*F44)+Q44+R44+S44+T44+U44)/G44+W44</f>
        <v>38.179728345155404</v>
      </c>
      <c r="Z44" s="3">
        <f>Y44*G44</f>
        <v>646001.00360002939</v>
      </c>
      <c r="AA44" s="44">
        <v>43186</v>
      </c>
      <c r="AB44" s="3"/>
      <c r="AC44" s="119" t="s">
        <v>1954</v>
      </c>
    </row>
    <row r="45" spans="1:29" x14ac:dyDescent="0.25">
      <c r="A45" s="123"/>
      <c r="B45" s="34" t="s">
        <v>328</v>
      </c>
      <c r="C45" s="35" t="s">
        <v>343</v>
      </c>
      <c r="D45" s="35" t="s">
        <v>343</v>
      </c>
      <c r="E45" t="s">
        <v>1040</v>
      </c>
      <c r="F45" s="36">
        <f>42220*0.4536</f>
        <v>19150.991999999998</v>
      </c>
      <c r="G45" s="38">
        <v>19072.099999999999</v>
      </c>
      <c r="H45" s="38">
        <f t="shared" si="6"/>
        <v>-78.891999999999825</v>
      </c>
      <c r="I45" t="s">
        <v>1821</v>
      </c>
      <c r="J45" s="5" t="s">
        <v>1022</v>
      </c>
      <c r="K45" s="39">
        <v>43173</v>
      </c>
      <c r="L45" s="39">
        <v>43174</v>
      </c>
      <c r="M45" s="35" t="s">
        <v>342</v>
      </c>
      <c r="N45" s="35" t="s">
        <v>1812</v>
      </c>
      <c r="O45" s="22"/>
      <c r="P45" s="40">
        <f>0.5855+0.105</f>
        <v>0.6905</v>
      </c>
      <c r="Q45" s="111">
        <v>26000</v>
      </c>
      <c r="R45" s="22">
        <v>9400</v>
      </c>
      <c r="S45" s="45">
        <v>18.821999999999999</v>
      </c>
      <c r="T45" s="137">
        <f t="shared" si="7"/>
        <v>2932.8211160847982</v>
      </c>
      <c r="V45" s="22">
        <v>0.12</v>
      </c>
      <c r="W45" s="22">
        <v>0.3</v>
      </c>
      <c r="X45" s="22">
        <f>IF(O45&gt;0,O45,((P45*2.2046*S45)+(Q45+R45)/G45)+V45)</f>
        <v>30.628398947530222</v>
      </c>
      <c r="Y45" s="22">
        <f>IF(O45&gt;0,O45,((P45*2.2046*S45)+(Q45+R45+T45)/G45)+V45+W45)</f>
        <v>31.082174416203561</v>
      </c>
      <c r="Z45" s="3">
        <f>Y45*F45</f>
        <v>595254.47358731902</v>
      </c>
      <c r="AA45" s="44">
        <v>43164</v>
      </c>
      <c r="AB45" s="3">
        <v>32.5</v>
      </c>
      <c r="AC45" s="119"/>
    </row>
    <row r="46" spans="1:29" x14ac:dyDescent="0.25">
      <c r="A46" s="123"/>
      <c r="B46" s="34" t="s">
        <v>340</v>
      </c>
      <c r="C46" t="s">
        <v>341</v>
      </c>
      <c r="D46" s="35" t="s">
        <v>1102</v>
      </c>
      <c r="E46">
        <v>199</v>
      </c>
      <c r="F46" s="36">
        <v>23025</v>
      </c>
      <c r="G46" s="38">
        <v>18410</v>
      </c>
      <c r="H46" s="38">
        <f t="shared" si="6"/>
        <v>-4615</v>
      </c>
      <c r="I46" t="s">
        <v>1955</v>
      </c>
      <c r="J46" s="10">
        <v>200</v>
      </c>
      <c r="K46" s="39"/>
      <c r="L46" s="39">
        <v>43174</v>
      </c>
      <c r="M46" s="35" t="s">
        <v>342</v>
      </c>
      <c r="O46" s="22">
        <v>28.5</v>
      </c>
      <c r="P46" s="40"/>
      <c r="Q46" s="47">
        <v>21300</v>
      </c>
      <c r="R46" s="22">
        <f>71*E46</f>
        <v>14129</v>
      </c>
      <c r="S46" s="43">
        <f>-38*E46</f>
        <v>-7562</v>
      </c>
      <c r="T46" s="137">
        <f>X46*F46*0.0045</f>
        <v>3855.6372423275393</v>
      </c>
      <c r="U46" s="22">
        <f>E46*5</f>
        <v>995</v>
      </c>
      <c r="W46" s="22">
        <v>0.3</v>
      </c>
      <c r="X46" s="22">
        <f>((O46*F46)+Q46+R46+S46+U46)/G46</f>
        <v>37.212085822922326</v>
      </c>
      <c r="Y46" s="22">
        <f>((O46*F46)+Q46+R46+S46+T46+U46)/G46+W46</f>
        <v>37.721517503657118</v>
      </c>
      <c r="Z46" s="3">
        <f>Y46*G46</f>
        <v>694453.13724232756</v>
      </c>
      <c r="AA46" s="44">
        <v>43187</v>
      </c>
      <c r="AB46" s="3">
        <v>40</v>
      </c>
      <c r="AC46" s="119"/>
    </row>
    <row r="47" spans="1:29" x14ac:dyDescent="0.25">
      <c r="A47" s="123"/>
      <c r="B47" s="34" t="s">
        <v>340</v>
      </c>
      <c r="C47" t="s">
        <v>341</v>
      </c>
      <c r="D47" s="35" t="s">
        <v>1244</v>
      </c>
      <c r="E47">
        <v>130</v>
      </c>
      <c r="F47" s="36">
        <v>14150</v>
      </c>
      <c r="G47" s="38">
        <v>10980</v>
      </c>
      <c r="H47" s="38">
        <f t="shared" si="6"/>
        <v>-3170</v>
      </c>
      <c r="I47" t="s">
        <v>1956</v>
      </c>
      <c r="J47" s="159">
        <v>128</v>
      </c>
      <c r="K47" s="39"/>
      <c r="L47" s="39">
        <v>43174</v>
      </c>
      <c r="M47" s="35" t="s">
        <v>342</v>
      </c>
      <c r="O47" s="22">
        <v>28.5</v>
      </c>
      <c r="P47" s="40"/>
      <c r="Q47" s="111">
        <v>16900</v>
      </c>
      <c r="R47" s="22">
        <f>71*E47</f>
        <v>9230</v>
      </c>
      <c r="S47" s="43">
        <f>-38*E47</f>
        <v>-4940</v>
      </c>
      <c r="T47" s="137">
        <f>X47*F47*0.0045</f>
        <v>2465.3185450819669</v>
      </c>
      <c r="U47" s="22">
        <f>E47*5</f>
        <v>650</v>
      </c>
      <c r="W47" s="22">
        <v>0.3</v>
      </c>
      <c r="X47" s="22">
        <f>((O47*F47)+Q47+R47+S47+U47)/G47</f>
        <v>38.717213114754095</v>
      </c>
      <c r="Y47" s="22">
        <f>((O47*F47)+Q47+R47+S47+T47+U47)/G47+W47</f>
        <v>39.241741215399081</v>
      </c>
      <c r="Z47" s="3">
        <f>Y47*G47</f>
        <v>430874.31854508189</v>
      </c>
      <c r="AA47" s="44">
        <v>43187</v>
      </c>
      <c r="AB47" s="3">
        <v>38.28</v>
      </c>
      <c r="AC47" s="119" t="s">
        <v>1960</v>
      </c>
    </row>
    <row r="48" spans="1:29" x14ac:dyDescent="0.25">
      <c r="A48" s="123"/>
      <c r="B48" s="34" t="s">
        <v>1105</v>
      </c>
      <c r="C48" t="s">
        <v>343</v>
      </c>
      <c r="D48" s="35" t="s">
        <v>1106</v>
      </c>
      <c r="E48" t="s">
        <v>1260</v>
      </c>
      <c r="F48" s="36">
        <v>1789.9</v>
      </c>
      <c r="G48" s="38">
        <v>1789.9</v>
      </c>
      <c r="H48" s="38">
        <f t="shared" si="6"/>
        <v>0</v>
      </c>
      <c r="I48" t="s">
        <v>2083</v>
      </c>
      <c r="K48" s="39"/>
      <c r="L48" s="39">
        <v>43174</v>
      </c>
      <c r="M48" s="35" t="s">
        <v>342</v>
      </c>
      <c r="O48" s="22">
        <v>19</v>
      </c>
      <c r="P48" s="40"/>
      <c r="Q48" s="22"/>
      <c r="R48" s="22"/>
      <c r="S48" s="43"/>
      <c r="T48" s="43"/>
      <c r="U48" s="22"/>
      <c r="W48" s="22"/>
      <c r="X48" s="22">
        <f>IF(O48&gt;0,O48,((P48*2.2046*S48)+(Q48+R48)/G48)+V48)</f>
        <v>19</v>
      </c>
      <c r="Y48" s="22">
        <f>IF(O48&gt;0,O48,((P48*2.2046*S48)+(Q48+R48+T48)/G48)+V48+W48)</f>
        <v>19</v>
      </c>
      <c r="Z48" s="3">
        <f>Y48*F48</f>
        <v>34008.1</v>
      </c>
      <c r="AA48" s="44">
        <v>43182</v>
      </c>
      <c r="AB48" s="3"/>
      <c r="AC48" s="119"/>
    </row>
    <row r="49" spans="1:29" x14ac:dyDescent="0.25">
      <c r="A49" s="123"/>
      <c r="B49" s="34" t="s">
        <v>328</v>
      </c>
      <c r="C49" s="35" t="s">
        <v>329</v>
      </c>
      <c r="D49" s="35" t="s">
        <v>329</v>
      </c>
      <c r="E49" t="s">
        <v>1021</v>
      </c>
      <c r="F49" s="36">
        <f>42033*0.4536</f>
        <v>19066.168799999999</v>
      </c>
      <c r="G49" s="38">
        <v>19016.080000000002</v>
      </c>
      <c r="H49" s="38">
        <f t="shared" si="6"/>
        <v>-50.088799999997718</v>
      </c>
      <c r="I49" t="s">
        <v>1822</v>
      </c>
      <c r="J49" s="5" t="s">
        <v>1022</v>
      </c>
      <c r="K49" s="39">
        <v>43174</v>
      </c>
      <c r="L49" s="39">
        <v>43175</v>
      </c>
      <c r="M49" s="35" t="s">
        <v>345</v>
      </c>
      <c r="N49" s="35" t="s">
        <v>1813</v>
      </c>
      <c r="O49" s="22"/>
      <c r="P49" s="40">
        <f>0.5855+0.095</f>
        <v>0.68049999999999999</v>
      </c>
      <c r="Q49" s="111">
        <v>26000</v>
      </c>
      <c r="R49" s="120">
        <v>9500</v>
      </c>
      <c r="S49" s="45">
        <v>18.532</v>
      </c>
      <c r="T49" s="137">
        <f>X49*F49*0.005</f>
        <v>2839.8209063259274</v>
      </c>
      <c r="V49" s="22">
        <v>0.12</v>
      </c>
      <c r="W49" s="22">
        <v>0.3</v>
      </c>
      <c r="X49" s="22">
        <f>IF(O49&gt;0,O49,((P49*2.2046*S49)+(Q49+R49)/G49)+V49)</f>
        <v>29.789109035119079</v>
      </c>
      <c r="Y49" s="22">
        <f>IF(O49&gt;0,O49,((P49*2.2046*S49)+(Q49+R49+T49)/G49)+V49+W49)</f>
        <v>30.238446906348372</v>
      </c>
      <c r="Z49" s="3">
        <f>Y49*F49</f>
        <v>576531.33296627586</v>
      </c>
      <c r="AA49" s="44">
        <v>43186</v>
      </c>
      <c r="AB49" s="3">
        <v>32.5</v>
      </c>
      <c r="AC49" s="119"/>
    </row>
    <row r="50" spans="1:29" x14ac:dyDescent="0.25">
      <c r="A50" s="123"/>
      <c r="B50" s="34" t="s">
        <v>340</v>
      </c>
      <c r="C50" t="s">
        <v>341</v>
      </c>
      <c r="D50" s="35" t="s">
        <v>1244</v>
      </c>
      <c r="E50">
        <v>200</v>
      </c>
      <c r="F50" s="36">
        <v>21210</v>
      </c>
      <c r="G50" s="38">
        <v>18040</v>
      </c>
      <c r="H50" s="38">
        <f t="shared" si="6"/>
        <v>-3170</v>
      </c>
      <c r="I50" t="s">
        <v>1974</v>
      </c>
      <c r="K50" s="39"/>
      <c r="L50" s="39">
        <v>43175</v>
      </c>
      <c r="M50" s="35" t="s">
        <v>345</v>
      </c>
      <c r="O50" s="22">
        <v>28.5</v>
      </c>
      <c r="P50" s="40"/>
      <c r="Q50" s="111">
        <v>21300</v>
      </c>
      <c r="R50" s="22">
        <f>71*E50</f>
        <v>14200</v>
      </c>
      <c r="S50" s="43">
        <f>-38*E50</f>
        <v>-7600</v>
      </c>
      <c r="T50" s="137">
        <f>X50*F50*0.0045</f>
        <v>3351.077124445676</v>
      </c>
      <c r="U50" s="22">
        <f>E50*5</f>
        <v>1000</v>
      </c>
      <c r="W50" s="22">
        <v>0.3</v>
      </c>
      <c r="X50" s="22">
        <f>((O50*F50)+Q50+R50+S50+U50)/G50</f>
        <v>35.110033259423503</v>
      </c>
      <c r="Y50" s="22">
        <f>((O50*F50)+Q50+R50+S50+T50+U50)/G50+W50</f>
        <v>35.59579141488058</v>
      </c>
      <c r="Z50" s="3">
        <f>Y50*G50</f>
        <v>642148.0771244457</v>
      </c>
      <c r="AA50" s="44">
        <v>43188</v>
      </c>
      <c r="AB50" s="3">
        <v>40</v>
      </c>
      <c r="AC50" s="119"/>
    </row>
    <row r="51" spans="1:29" x14ac:dyDescent="0.25">
      <c r="A51" s="123"/>
      <c r="B51" s="34" t="s">
        <v>340</v>
      </c>
      <c r="C51" t="s">
        <v>341</v>
      </c>
      <c r="D51" s="35" t="s">
        <v>1060</v>
      </c>
      <c r="E51">
        <v>130</v>
      </c>
      <c r="F51" s="36">
        <v>15830</v>
      </c>
      <c r="G51" s="38">
        <v>11780</v>
      </c>
      <c r="H51" s="38">
        <f t="shared" si="6"/>
        <v>-4050</v>
      </c>
      <c r="I51" s="35" t="s">
        <v>1975</v>
      </c>
      <c r="K51" s="39"/>
      <c r="L51" s="39">
        <v>43175</v>
      </c>
      <c r="M51" s="35" t="s">
        <v>345</v>
      </c>
      <c r="O51" s="22">
        <v>28.5</v>
      </c>
      <c r="P51" s="40"/>
      <c r="Q51" s="111">
        <v>16900</v>
      </c>
      <c r="R51" s="22">
        <f>71*E51</f>
        <v>9230</v>
      </c>
      <c r="S51" s="43">
        <f>-38*E51</f>
        <v>-4940</v>
      </c>
      <c r="T51" s="137">
        <f>X51*F51*0.0045</f>
        <v>2860.2545691850592</v>
      </c>
      <c r="U51" s="22">
        <f>E51*5</f>
        <v>650</v>
      </c>
      <c r="W51" s="22">
        <v>0.3</v>
      </c>
      <c r="X51" s="22">
        <f>((O51*F51)+Q51+R51+S51+U51)/G51</f>
        <v>40.152376910016976</v>
      </c>
      <c r="Y51" s="22">
        <f>((O51*F51)+Q51+R51+S51+T51+U51)/G51+W51</f>
        <v>40.695182900609936</v>
      </c>
      <c r="Z51" s="3">
        <f>Y51*G51</f>
        <v>479389.25456918502</v>
      </c>
      <c r="AA51" s="44">
        <v>43188</v>
      </c>
      <c r="AB51" s="3">
        <v>27.6</v>
      </c>
      <c r="AC51" s="119" t="s">
        <v>1977</v>
      </c>
    </row>
    <row r="52" spans="1:29" x14ac:dyDescent="0.25">
      <c r="A52" s="123"/>
      <c r="B52" s="34" t="s">
        <v>2076</v>
      </c>
      <c r="C52" t="s">
        <v>1349</v>
      </c>
      <c r="D52" s="35" t="s">
        <v>1065</v>
      </c>
      <c r="E52" t="s">
        <v>2077</v>
      </c>
      <c r="F52" s="36">
        <v>5118.1499999999996</v>
      </c>
      <c r="G52" s="38">
        <v>5114.12</v>
      </c>
      <c r="H52" s="38">
        <f t="shared" si="6"/>
        <v>-4.0299999999997453</v>
      </c>
      <c r="I52" s="35" t="s">
        <v>2117</v>
      </c>
      <c r="K52" s="39"/>
      <c r="L52" s="39">
        <v>43175</v>
      </c>
      <c r="M52" s="35" t="s">
        <v>345</v>
      </c>
      <c r="O52" s="22">
        <v>92</v>
      </c>
      <c r="P52" s="40"/>
      <c r="Q52" s="22"/>
      <c r="R52" s="22"/>
      <c r="S52" s="43"/>
      <c r="T52" s="43"/>
      <c r="U52" s="22"/>
      <c r="W52" s="22"/>
      <c r="X52" s="22">
        <f>IF(O52&gt;0,O52,((P52*2.2046*S52)+(Q52+R52)/G52)+V52)</f>
        <v>92</v>
      </c>
      <c r="Y52" s="22">
        <f>IF(O52&gt;0,O52,((P52*2.2046*S52)+(Q52+R52+T52)/G52)+V52+W52)</f>
        <v>92</v>
      </c>
      <c r="Z52" s="3">
        <f>Y52*F52</f>
        <v>470869.8</v>
      </c>
      <c r="AA52" s="44">
        <v>43186</v>
      </c>
      <c r="AB52" s="3"/>
      <c r="AC52" s="119"/>
    </row>
    <row r="53" spans="1:29" x14ac:dyDescent="0.25">
      <c r="A53" s="123"/>
      <c r="B53" s="34" t="s">
        <v>328</v>
      </c>
      <c r="C53" s="35" t="s">
        <v>343</v>
      </c>
      <c r="D53" s="35" t="s">
        <v>343</v>
      </c>
      <c r="E53" t="s">
        <v>1040</v>
      </c>
      <c r="F53" s="36">
        <f>42702*0.4536</f>
        <v>19369.627199999999</v>
      </c>
      <c r="G53" s="38">
        <v>19312.45</v>
      </c>
      <c r="H53" s="38">
        <f t="shared" si="6"/>
        <v>-57.177199999998265</v>
      </c>
      <c r="I53" t="s">
        <v>1823</v>
      </c>
      <c r="J53" s="5" t="s">
        <v>1022</v>
      </c>
      <c r="K53" s="39">
        <v>43175</v>
      </c>
      <c r="L53" s="39">
        <v>43176</v>
      </c>
      <c r="M53" s="35" t="s">
        <v>348</v>
      </c>
      <c r="N53" s="35" t="s">
        <v>1815</v>
      </c>
      <c r="O53" s="22"/>
      <c r="P53" s="40">
        <f>0.5301+0.105</f>
        <v>0.6351</v>
      </c>
      <c r="Q53" s="111">
        <v>26000</v>
      </c>
      <c r="R53" s="22">
        <v>9400</v>
      </c>
      <c r="S53" s="45">
        <v>18.824000000000002</v>
      </c>
      <c r="T53" s="137">
        <f>X53*F53*0.005</f>
        <v>2741.7007377647974</v>
      </c>
      <c r="V53" s="22">
        <v>0.12</v>
      </c>
      <c r="W53" s="22">
        <v>0.3</v>
      </c>
      <c r="X53" s="22">
        <f>IF(O53&gt;0,O53,((P53*2.2046*S53)+(Q53+R53)/G53)+V53)</f>
        <v>28.309277297446361</v>
      </c>
      <c r="Y53" s="22">
        <f>IF(O53&gt;0,O53,((P53*2.2046*S53)+(Q53+R53+T53)/G53)+V53+W53)</f>
        <v>28.751242751739568</v>
      </c>
      <c r="Z53" s="3">
        <f>Y53*F53</f>
        <v>556900.85363789753</v>
      </c>
      <c r="AA53" s="44">
        <v>43171</v>
      </c>
      <c r="AB53" s="3">
        <v>31</v>
      </c>
      <c r="AC53" s="119"/>
    </row>
    <row r="54" spans="1:29" x14ac:dyDescent="0.25">
      <c r="A54" s="123"/>
      <c r="B54" s="34" t="s">
        <v>328</v>
      </c>
      <c r="C54" t="s">
        <v>329</v>
      </c>
      <c r="D54" s="35" t="s">
        <v>329</v>
      </c>
      <c r="E54" t="s">
        <v>1021</v>
      </c>
      <c r="F54" s="36">
        <f>41786*0.4536</f>
        <v>18954.1296</v>
      </c>
      <c r="G54" s="38">
        <v>18997.990000000002</v>
      </c>
      <c r="H54" s="38">
        <f t="shared" si="6"/>
        <v>43.860400000001391</v>
      </c>
      <c r="I54" s="35" t="s">
        <v>1824</v>
      </c>
      <c r="J54" s="5" t="s">
        <v>1022</v>
      </c>
      <c r="K54" s="39">
        <v>43175</v>
      </c>
      <c r="L54" s="39">
        <v>43176</v>
      </c>
      <c r="M54" s="35" t="s">
        <v>348</v>
      </c>
      <c r="N54" s="35" t="s">
        <v>1814</v>
      </c>
      <c r="O54" s="22"/>
      <c r="P54" s="40">
        <f>0.5748+0.095</f>
        <v>0.66979999999999995</v>
      </c>
      <c r="Q54" s="111">
        <v>26000</v>
      </c>
      <c r="R54" s="120">
        <v>9500</v>
      </c>
      <c r="S54" s="45">
        <v>18.46</v>
      </c>
      <c r="T54" s="137">
        <f>X54*F54*0.005</f>
        <v>2771.7962889319206</v>
      </c>
      <c r="V54" s="22">
        <v>0.12</v>
      </c>
      <c r="W54" s="22">
        <v>0.3</v>
      </c>
      <c r="X54" s="22">
        <f>IF(O54&gt;0,O54,((P54*2.2046*S54)+(Q54+R54)/G54)+V54)</f>
        <v>29.247413069623843</v>
      </c>
      <c r="Y54" s="22">
        <f>IF(O54&gt;0,O54,((P54*2.2046*S54)+(Q54+R54+T54)/G54)+V54+W54)</f>
        <v>29.693312519456796</v>
      </c>
      <c r="Z54" s="3">
        <f>Y54*F54</f>
        <v>562810.89374708664</v>
      </c>
      <c r="AA54" s="44">
        <v>43187</v>
      </c>
      <c r="AB54" s="3">
        <v>31</v>
      </c>
      <c r="AC54" s="119"/>
    </row>
    <row r="55" spans="1:29" ht="15.75" thickBot="1" x14ac:dyDescent="0.3">
      <c r="A55" s="124"/>
      <c r="B55" s="49"/>
      <c r="C55" s="23"/>
      <c r="D55" s="23"/>
      <c r="E55" s="23"/>
      <c r="F55" s="50"/>
      <c r="G55" s="50"/>
      <c r="H55" s="50"/>
      <c r="I55" s="26"/>
      <c r="J55" s="23"/>
      <c r="K55" s="27"/>
      <c r="L55" s="27"/>
      <c r="M55" s="23"/>
      <c r="N55" s="23"/>
      <c r="O55" s="28"/>
      <c r="P55" s="29"/>
      <c r="Q55" s="28"/>
      <c r="R55" s="28"/>
      <c r="S55" s="28"/>
      <c r="T55" s="28"/>
      <c r="U55" s="28"/>
      <c r="V55" s="28"/>
      <c r="W55" s="28"/>
      <c r="X55" s="28"/>
      <c r="Y55" s="28"/>
      <c r="Z55" s="32"/>
      <c r="AA55" s="51"/>
      <c r="AB55" s="3"/>
      <c r="AC55" s="119"/>
    </row>
    <row r="56" spans="1:29" ht="15.75" thickTop="1" x14ac:dyDescent="0.25">
      <c r="A56" s="151"/>
      <c r="B56" s="53" t="s">
        <v>340</v>
      </c>
      <c r="C56" s="53" t="s">
        <v>341</v>
      </c>
      <c r="D56" s="54" t="s">
        <v>1978</v>
      </c>
      <c r="E56" s="53">
        <f>250+10</f>
        <v>260</v>
      </c>
      <c r="F56" s="55">
        <f>27580+1075</f>
        <v>28655</v>
      </c>
      <c r="G56" s="56">
        <f>11280+11500</f>
        <v>22780</v>
      </c>
      <c r="H56" s="121">
        <f t="shared" ref="H56:H69" si="8">G56-F56</f>
        <v>-5875</v>
      </c>
      <c r="I56" s="57" t="s">
        <v>1981</v>
      </c>
      <c r="J56" s="53"/>
      <c r="K56" s="58"/>
      <c r="L56" s="58">
        <v>43177</v>
      </c>
      <c r="M56" s="54" t="s">
        <v>349</v>
      </c>
      <c r="N56" s="53"/>
      <c r="O56" s="59">
        <v>28.5</v>
      </c>
      <c r="P56" s="60"/>
      <c r="Q56" s="61">
        <v>21300</v>
      </c>
      <c r="R56" s="22">
        <f>71*E56</f>
        <v>18460</v>
      </c>
      <c r="S56" s="59">
        <f>-38*E56</f>
        <v>-9880</v>
      </c>
      <c r="T56" s="138">
        <f>X56*F56*0.0045</f>
        <v>4799.2895305640905</v>
      </c>
      <c r="U56" s="59">
        <f>E56*5</f>
        <v>1300</v>
      </c>
      <c r="V56" s="53"/>
      <c r="W56" s="59">
        <v>0.3</v>
      </c>
      <c r="X56" s="59">
        <f>((O56*F56)+Q56+R56+S56+U56)/G56</f>
        <v>37.218942054433711</v>
      </c>
      <c r="Y56" s="63">
        <f>((O56*F56)+Q56+R56+S56+T56+U56)/G56+W56</f>
        <v>37.729622016267079</v>
      </c>
      <c r="Z56" s="63">
        <f>Y56*G56</f>
        <v>859480.7895305641</v>
      </c>
      <c r="AA56" s="64">
        <v>43192</v>
      </c>
      <c r="AB56" s="3">
        <v>40</v>
      </c>
      <c r="AC56" s="3" t="s">
        <v>1983</v>
      </c>
    </row>
    <row r="57" spans="1:29" x14ac:dyDescent="0.25">
      <c r="A57" s="152"/>
      <c r="B57" s="34" t="s">
        <v>340</v>
      </c>
      <c r="C57" t="s">
        <v>341</v>
      </c>
      <c r="D57" s="35" t="s">
        <v>1665</v>
      </c>
      <c r="E57">
        <v>199</v>
      </c>
      <c r="F57" s="36">
        <v>20260</v>
      </c>
      <c r="G57" s="38">
        <f>10390+5680</f>
        <v>16070</v>
      </c>
      <c r="H57" s="38">
        <f t="shared" si="8"/>
        <v>-4190</v>
      </c>
      <c r="I57" s="35" t="s">
        <v>1982</v>
      </c>
      <c r="K57" s="39"/>
      <c r="L57" s="39">
        <v>43178</v>
      </c>
      <c r="M57" s="35" t="s">
        <v>350</v>
      </c>
      <c r="O57" s="22">
        <v>28.5</v>
      </c>
      <c r="P57" s="40"/>
      <c r="Q57" s="47">
        <v>21300</v>
      </c>
      <c r="R57" s="22">
        <f>71*E57</f>
        <v>14129</v>
      </c>
      <c r="S57" s="43">
        <f>-38*E57</f>
        <v>-7562</v>
      </c>
      <c r="T57" s="137">
        <f>X57*F57*0.0045</f>
        <v>3439.5655407591785</v>
      </c>
      <c r="U57" s="22">
        <f>E57*5</f>
        <v>995</v>
      </c>
      <c r="W57" s="22">
        <v>0.3</v>
      </c>
      <c r="X57" s="22">
        <f>((O57*F57)+Q57+R57+S57+U57)/G57</f>
        <v>37.726944617299317</v>
      </c>
      <c r="Y57" s="22">
        <f>((O57*F57)+Q57+R57+S57+T57+U57)/G57+W57</f>
        <v>38.240981054185383</v>
      </c>
      <c r="Z57" s="3">
        <f>Y57*G57</f>
        <v>614532.56554075913</v>
      </c>
      <c r="AA57" s="44">
        <v>43192</v>
      </c>
      <c r="AB57" s="3">
        <v>40</v>
      </c>
      <c r="AC57" s="119" t="s">
        <v>1984</v>
      </c>
    </row>
    <row r="58" spans="1:29" x14ac:dyDescent="0.25">
      <c r="A58" s="152"/>
      <c r="B58" s="34" t="s">
        <v>340</v>
      </c>
      <c r="C58" t="s">
        <v>341</v>
      </c>
      <c r="D58" s="35" t="s">
        <v>1047</v>
      </c>
      <c r="E58">
        <v>200</v>
      </c>
      <c r="F58" s="36">
        <v>23940</v>
      </c>
      <c r="G58" s="38">
        <f>12380+6760</f>
        <v>19140</v>
      </c>
      <c r="H58" s="38">
        <f t="shared" si="8"/>
        <v>-4800</v>
      </c>
      <c r="I58" t="s">
        <v>1985</v>
      </c>
      <c r="K58" s="39"/>
      <c r="L58" s="39">
        <v>43179</v>
      </c>
      <c r="M58" s="35" t="s">
        <v>355</v>
      </c>
      <c r="O58" s="22">
        <v>28.5</v>
      </c>
      <c r="P58" s="40"/>
      <c r="Q58" s="47">
        <v>21300</v>
      </c>
      <c r="R58" s="22">
        <f>71*E58</f>
        <v>14200</v>
      </c>
      <c r="S58" s="43">
        <f>-38*E58</f>
        <v>-7600</v>
      </c>
      <c r="T58" s="137">
        <f>X58*F58*0.005</f>
        <v>4447.7242946708475</v>
      </c>
      <c r="U58" s="22">
        <f>E58*5</f>
        <v>1000</v>
      </c>
      <c r="W58" s="22">
        <v>0.3</v>
      </c>
      <c r="X58" s="22">
        <f>((O58*F58)+Q58+R58+S58+U58)/G58</f>
        <v>37.157262277951936</v>
      </c>
      <c r="Y58" s="22">
        <f>((O58*F58)+Q58+R58+S58+T58+U58)/G58+W58</f>
        <v>37.689640767746646</v>
      </c>
      <c r="Z58" s="3">
        <f>Y58*G58</f>
        <v>721379.72429467074</v>
      </c>
      <c r="AA58" s="44">
        <v>43192</v>
      </c>
      <c r="AB58" s="3">
        <v>40</v>
      </c>
      <c r="AC58" s="119" t="s">
        <v>1989</v>
      </c>
    </row>
    <row r="59" spans="1:29" x14ac:dyDescent="0.25">
      <c r="A59" s="152"/>
      <c r="B59" s="34" t="s">
        <v>1105</v>
      </c>
      <c r="C59" t="s">
        <v>343</v>
      </c>
      <c r="D59" s="35" t="s">
        <v>1106</v>
      </c>
      <c r="E59" t="s">
        <v>1260</v>
      </c>
      <c r="F59" s="36">
        <f>906.3+940.7</f>
        <v>1847</v>
      </c>
      <c r="G59" s="38">
        <v>1847</v>
      </c>
      <c r="H59" s="38">
        <f t="shared" si="8"/>
        <v>0</v>
      </c>
      <c r="I59" t="s">
        <v>2088</v>
      </c>
      <c r="K59" s="39"/>
      <c r="L59" s="39">
        <v>43179</v>
      </c>
      <c r="M59" s="35" t="s">
        <v>355</v>
      </c>
      <c r="O59" s="22">
        <v>19</v>
      </c>
      <c r="P59" s="40"/>
      <c r="Q59" s="22"/>
      <c r="R59" s="22"/>
      <c r="S59" s="43"/>
      <c r="T59" s="43"/>
      <c r="U59" s="22"/>
      <c r="W59" s="22"/>
      <c r="X59" s="22">
        <f>IF(O59&gt;0,O59,((P59*2.2046*S59)+(Q59+R59)/G59)+V59)</f>
        <v>19</v>
      </c>
      <c r="Y59" s="22">
        <f>IF(O59&gt;0,O59,((P59*2.2046*S59)+(Q59+R59+T59)/G59)+V59+W59)</f>
        <v>19</v>
      </c>
      <c r="Z59" s="3">
        <f>Y59*F59</f>
        <v>35093</v>
      </c>
      <c r="AA59" s="44">
        <v>43186</v>
      </c>
      <c r="AB59" s="3"/>
      <c r="AC59" s="119"/>
    </row>
    <row r="60" spans="1:29" x14ac:dyDescent="0.25">
      <c r="A60" s="152"/>
      <c r="B60" s="34" t="s">
        <v>328</v>
      </c>
      <c r="C60" t="s">
        <v>336</v>
      </c>
      <c r="D60" s="35" t="s">
        <v>336</v>
      </c>
      <c r="E60" t="s">
        <v>1021</v>
      </c>
      <c r="F60" s="36">
        <f>41501*0.4536</f>
        <v>18824.853599999999</v>
      </c>
      <c r="G60" s="38">
        <v>18841.96</v>
      </c>
      <c r="H60" s="38">
        <f t="shared" si="8"/>
        <v>17.106400000000576</v>
      </c>
      <c r="I60" t="s">
        <v>1707</v>
      </c>
      <c r="J60" s="5" t="s">
        <v>1022</v>
      </c>
      <c r="K60" s="39">
        <v>43179</v>
      </c>
      <c r="L60" s="39">
        <v>43180</v>
      </c>
      <c r="M60" s="35" t="s">
        <v>331</v>
      </c>
      <c r="N60" s="35" t="s">
        <v>1816</v>
      </c>
      <c r="O60" s="22"/>
      <c r="P60" s="40">
        <f>0.543+0.095</f>
        <v>0.63800000000000001</v>
      </c>
      <c r="Q60" s="111">
        <v>26000</v>
      </c>
      <c r="R60" s="22">
        <v>9400</v>
      </c>
      <c r="S60" s="45">
        <v>18.681000000000001</v>
      </c>
      <c r="T60" s="137">
        <f>X60*F60*0.005</f>
        <v>2661.2942170974211</v>
      </c>
      <c r="V60" s="22">
        <v>0.12</v>
      </c>
      <c r="W60" s="22">
        <v>0.3</v>
      </c>
      <c r="X60" s="22">
        <f>IF(O60&gt;0,O60,((P60*2.2046*S60)+(Q60+R60)/G60)+V60)</f>
        <v>28.274262033011734</v>
      </c>
      <c r="Y60" s="22">
        <f>IF(O60&gt;0,O60,((P60*2.2046*S60)+(Q60+R60+T60)/G60)+V60+W60)</f>
        <v>28.715504993781071</v>
      </c>
      <c r="Z60" s="3">
        <f>Y60*F60</f>
        <v>540565.17755799752</v>
      </c>
      <c r="AA60" s="44">
        <v>43173</v>
      </c>
      <c r="AB60" s="3">
        <v>30</v>
      </c>
      <c r="AC60" s="119"/>
    </row>
    <row r="61" spans="1:29" x14ac:dyDescent="0.25">
      <c r="A61" s="152"/>
      <c r="B61" s="34" t="s">
        <v>328</v>
      </c>
      <c r="C61" t="s">
        <v>336</v>
      </c>
      <c r="D61" s="35" t="s">
        <v>336</v>
      </c>
      <c r="E61" t="s">
        <v>1021</v>
      </c>
      <c r="F61" s="36">
        <f>41556*0.4536</f>
        <v>18849.801599999999</v>
      </c>
      <c r="G61" s="38">
        <v>18804.2</v>
      </c>
      <c r="H61" s="38">
        <f t="shared" si="8"/>
        <v>-45.601599999998143</v>
      </c>
      <c r="I61" t="s">
        <v>1708</v>
      </c>
      <c r="J61" s="5" t="s">
        <v>1022</v>
      </c>
      <c r="K61" s="39">
        <v>43179</v>
      </c>
      <c r="L61" s="39">
        <v>43180</v>
      </c>
      <c r="M61" s="35" t="s">
        <v>331</v>
      </c>
      <c r="N61" s="35" t="s">
        <v>1816</v>
      </c>
      <c r="O61" s="22"/>
      <c r="P61" s="40">
        <f>0.543+0.095</f>
        <v>0.63800000000000001</v>
      </c>
      <c r="Q61" s="111">
        <v>26000</v>
      </c>
      <c r="R61" s="22">
        <v>9400</v>
      </c>
      <c r="S61" s="45">
        <v>18.681000000000001</v>
      </c>
      <c r="T61" s="137">
        <f>X61*F61*0.005</f>
        <v>2665.1767234432132</v>
      </c>
      <c r="V61" s="22">
        <v>0.12</v>
      </c>
      <c r="W61" s="22">
        <v>0.3</v>
      </c>
      <c r="X61" s="22">
        <f>IF(O61&gt;0,O61,((P61*2.2046*S61)+(Q61+R61)/G61)+V61)</f>
        <v>28.27803475070224</v>
      </c>
      <c r="Y61" s="22">
        <f>IF(O61&gt;0,O61,((P61*2.2046*S61)+(Q61+R61+T61)/G61)+V61+W61)</f>
        <v>28.719767806266596</v>
      </c>
      <c r="Z61" s="3">
        <f>Y61*F61</f>
        <v>541361.92514619255</v>
      </c>
      <c r="AA61" s="44">
        <v>43173</v>
      </c>
      <c r="AB61" s="3">
        <v>30</v>
      </c>
      <c r="AC61" s="119"/>
    </row>
    <row r="62" spans="1:29" x14ac:dyDescent="0.25">
      <c r="A62" s="152"/>
      <c r="B62" s="34" t="s">
        <v>340</v>
      </c>
      <c r="C62" t="s">
        <v>341</v>
      </c>
      <c r="D62" s="35" t="s">
        <v>1665</v>
      </c>
      <c r="E62">
        <f>128+70</f>
        <v>198</v>
      </c>
      <c r="F62" s="36">
        <v>21835</v>
      </c>
      <c r="G62" s="38">
        <f>11400+6270</f>
        <v>17670</v>
      </c>
      <c r="H62" s="38">
        <f t="shared" si="8"/>
        <v>-4165</v>
      </c>
      <c r="I62" t="s">
        <v>1996</v>
      </c>
      <c r="K62" s="39"/>
      <c r="L62" s="39">
        <v>43180</v>
      </c>
      <c r="M62" s="35" t="s">
        <v>331</v>
      </c>
      <c r="O62" s="22">
        <v>28.5</v>
      </c>
      <c r="P62" s="40"/>
      <c r="Q62" s="47">
        <v>21300</v>
      </c>
      <c r="R62" s="22">
        <f>71*E62</f>
        <v>14058</v>
      </c>
      <c r="S62" s="43">
        <f>-38*E62</f>
        <v>-7524</v>
      </c>
      <c r="T62" s="137">
        <f>X62*F62*0.005</f>
        <v>4022.9875360780989</v>
      </c>
      <c r="U62" s="22">
        <f>E62*5</f>
        <v>990</v>
      </c>
      <c r="W62" s="22">
        <v>0.3</v>
      </c>
      <c r="X62" s="22">
        <f>((O62*F62)+Q62+R62+S62+U62)/G62</f>
        <v>36.848981324278441</v>
      </c>
      <c r="Y62" s="22">
        <f>((O62*F62)+Q62+R62+S62+T62+U62)/G62+W62</f>
        <v>37.376654642675611</v>
      </c>
      <c r="Z62" s="3">
        <f>Y62*G62</f>
        <v>660445.48753607809</v>
      </c>
      <c r="AA62" s="44">
        <v>43193</v>
      </c>
      <c r="AB62" s="3"/>
      <c r="AC62" s="119" t="s">
        <v>2013</v>
      </c>
    </row>
    <row r="63" spans="1:29" x14ac:dyDescent="0.25">
      <c r="A63" s="152"/>
      <c r="B63" s="34" t="s">
        <v>328</v>
      </c>
      <c r="C63" s="35" t="s">
        <v>343</v>
      </c>
      <c r="D63" s="35" t="s">
        <v>343</v>
      </c>
      <c r="E63" t="s">
        <v>1040</v>
      </c>
      <c r="F63" s="36">
        <f>42436*0.4536</f>
        <v>19248.9696</v>
      </c>
      <c r="G63" s="38">
        <v>19153.39</v>
      </c>
      <c r="H63" s="38">
        <f t="shared" si="8"/>
        <v>-95.579600000000937</v>
      </c>
      <c r="I63" t="s">
        <v>1825</v>
      </c>
      <c r="J63" s="5" t="s">
        <v>1089</v>
      </c>
      <c r="K63" s="39">
        <v>43180</v>
      </c>
      <c r="L63" s="39">
        <v>43181</v>
      </c>
      <c r="M63" s="35" t="s">
        <v>342</v>
      </c>
      <c r="N63" s="35" t="s">
        <v>1817</v>
      </c>
      <c r="O63" s="22"/>
      <c r="P63" s="40">
        <f>0.527+0.105</f>
        <v>0.63200000000000001</v>
      </c>
      <c r="Q63" s="111">
        <v>26000</v>
      </c>
      <c r="R63" s="22">
        <v>9400</v>
      </c>
      <c r="S63" s="45">
        <v>18.658000000000001</v>
      </c>
      <c r="T63" s="137">
        <f>X63*F63*0.005</f>
        <v>2691.4450695979904</v>
      </c>
      <c r="V63" s="22">
        <v>0.12</v>
      </c>
      <c r="W63" s="22">
        <v>0.3</v>
      </c>
      <c r="X63" s="22">
        <f>IF(O63&gt;0,O63,((P63*2.2046*S63)+(Q63+R63)/G63)+V63)</f>
        <v>27.964562524925906</v>
      </c>
      <c r="Y63" s="22">
        <f>IF(O63&gt;0,O63,((P63*2.2046*S63)+(Q63+R63+T63)/G63)+V63+W63)</f>
        <v>28.405083083928673</v>
      </c>
      <c r="Z63" s="3">
        <f>Y63*F63</f>
        <v>546768.58076801733</v>
      </c>
      <c r="AA63" s="44">
        <v>43174</v>
      </c>
      <c r="AB63" s="3">
        <v>30</v>
      </c>
      <c r="AC63" s="119"/>
    </row>
    <row r="64" spans="1:29" x14ac:dyDescent="0.25">
      <c r="A64" s="152"/>
      <c r="B64" s="34" t="s">
        <v>340</v>
      </c>
      <c r="C64" t="s">
        <v>341</v>
      </c>
      <c r="D64" s="35" t="s">
        <v>1244</v>
      </c>
      <c r="E64">
        <f>210</f>
        <v>210</v>
      </c>
      <c r="F64" s="36">
        <f>21340</f>
        <v>21340</v>
      </c>
      <c r="G64" s="38">
        <f>16160</f>
        <v>16160</v>
      </c>
      <c r="H64" s="38">
        <f t="shared" si="8"/>
        <v>-5180</v>
      </c>
      <c r="I64" t="s">
        <v>2029</v>
      </c>
      <c r="J64">
        <v>200</v>
      </c>
      <c r="K64" s="39"/>
      <c r="L64" s="39">
        <v>43181</v>
      </c>
      <c r="M64" s="35" t="s">
        <v>342</v>
      </c>
      <c r="O64" s="22">
        <v>28.5</v>
      </c>
      <c r="P64" s="40"/>
      <c r="Q64" s="47">
        <f>21300</f>
        <v>21300</v>
      </c>
      <c r="R64" s="22">
        <f>71*E64</f>
        <v>14910</v>
      </c>
      <c r="S64" s="43">
        <f>-38*E64</f>
        <v>-7980</v>
      </c>
      <c r="T64" s="137">
        <f>X64*F64*0.0045</f>
        <v>3788.133917079208</v>
      </c>
      <c r="U64" s="22">
        <f>E64*5</f>
        <v>1050</v>
      </c>
      <c r="W64" s="22">
        <v>0.3</v>
      </c>
      <c r="X64" s="22">
        <f>((O64*F64)+Q64+R64+S64+U64)/G64</f>
        <v>39.447400990099013</v>
      </c>
      <c r="Y64" s="22">
        <f>((O64*F64)+Q64+R64+S64+T64+U64)/G64+W64</f>
        <v>39.981815217641035</v>
      </c>
      <c r="Z64" s="3">
        <f>Y64*G64</f>
        <v>646106.13391707907</v>
      </c>
      <c r="AA64" s="44">
        <v>43194</v>
      </c>
      <c r="AB64" s="3"/>
      <c r="AC64" s="119"/>
    </row>
    <row r="65" spans="1:30" x14ac:dyDescent="0.25">
      <c r="A65" s="152"/>
      <c r="B65" s="34" t="s">
        <v>340</v>
      </c>
      <c r="C65" t="s">
        <v>341</v>
      </c>
      <c r="D65" s="35" t="s">
        <v>1102</v>
      </c>
      <c r="E65">
        <v>119</v>
      </c>
      <c r="F65" s="36">
        <v>13640</v>
      </c>
      <c r="G65" s="38">
        <v>11720</v>
      </c>
      <c r="H65" s="38">
        <f t="shared" si="8"/>
        <v>-1920</v>
      </c>
      <c r="I65" t="s">
        <v>2030</v>
      </c>
      <c r="J65">
        <v>129</v>
      </c>
      <c r="K65" s="39"/>
      <c r="L65" s="39">
        <v>43181</v>
      </c>
      <c r="M65" s="35" t="s">
        <v>342</v>
      </c>
      <c r="O65" s="22">
        <v>28.5</v>
      </c>
      <c r="P65" s="40"/>
      <c r="Q65" s="111">
        <v>16900</v>
      </c>
      <c r="R65" s="22">
        <f>71*E65</f>
        <v>8449</v>
      </c>
      <c r="S65" s="43">
        <f>-38*E65</f>
        <v>-4522</v>
      </c>
      <c r="T65" s="137">
        <f>X65*F65*0.0045</f>
        <v>2148.1009863481227</v>
      </c>
      <c r="U65" s="22">
        <f>E65*5</f>
        <v>595</v>
      </c>
      <c r="W65" s="22">
        <v>0.3</v>
      </c>
      <c r="X65" s="22">
        <f>((O65*F65)+Q65+R65+S65+U65)/G65</f>
        <v>34.996757679180888</v>
      </c>
      <c r="Y65" s="22">
        <f>((O65*F65)+Q65+R65+S65+T65+U65)/G65+W65</f>
        <v>35.480042746275437</v>
      </c>
      <c r="Z65" s="3">
        <f>Y65*G65</f>
        <v>415826.10098634812</v>
      </c>
      <c r="AA65" s="44">
        <v>43194</v>
      </c>
      <c r="AB65" s="3">
        <v>38.090000000000003</v>
      </c>
      <c r="AC65" s="119" t="s">
        <v>2041</v>
      </c>
    </row>
    <row r="66" spans="1:30" x14ac:dyDescent="0.25">
      <c r="A66" s="152"/>
      <c r="B66" s="34" t="s">
        <v>328</v>
      </c>
      <c r="C66" s="35" t="s">
        <v>329</v>
      </c>
      <c r="D66" s="35" t="s">
        <v>329</v>
      </c>
      <c r="E66" t="s">
        <v>1021</v>
      </c>
      <c r="F66" s="36">
        <f>42053*0.4536</f>
        <v>19075.2408</v>
      </c>
      <c r="G66" s="38">
        <v>19032.439999999999</v>
      </c>
      <c r="H66" s="38">
        <f t="shared" si="8"/>
        <v>-42.800800000000891</v>
      </c>
      <c r="I66" t="s">
        <v>1826</v>
      </c>
      <c r="J66" s="5" t="s">
        <v>1022</v>
      </c>
      <c r="K66" s="39">
        <v>43181</v>
      </c>
      <c r="L66" s="39">
        <v>43182</v>
      </c>
      <c r="M66" s="35" t="s">
        <v>345</v>
      </c>
      <c r="N66" s="35" t="s">
        <v>1828</v>
      </c>
      <c r="O66" s="22"/>
      <c r="P66" s="40">
        <f>0.527+0.095</f>
        <v>0.622</v>
      </c>
      <c r="Q66" s="111">
        <v>26000</v>
      </c>
      <c r="R66" s="120">
        <v>9500</v>
      </c>
      <c r="S66" s="45">
        <v>18.329999999999998</v>
      </c>
      <c r="T66" s="137">
        <f>X66*F66*0.005</f>
        <v>2586.6459726277467</v>
      </c>
      <c r="V66" s="22">
        <v>0.12</v>
      </c>
      <c r="W66" s="22">
        <v>0.3</v>
      </c>
      <c r="X66" s="22">
        <f>IF(O66&gt;0,O66,((P66*2.2046*S66)+(Q66+R66)/G66)+V66)</f>
        <v>27.120454202892649</v>
      </c>
      <c r="Y66" s="22">
        <f>IF(O66&gt;0,O66,((P66*2.2046*S66)+(Q66+R66+T66)/G66)+V66+W66)</f>
        <v>27.55636142091765</v>
      </c>
      <c r="Z66" s="3">
        <f>Y66*F66</f>
        <v>525644.2296758343</v>
      </c>
      <c r="AA66" s="44">
        <v>43193</v>
      </c>
      <c r="AB66" s="3">
        <v>30</v>
      </c>
      <c r="AC66" s="119"/>
    </row>
    <row r="67" spans="1:30" x14ac:dyDescent="0.25">
      <c r="A67" s="152"/>
      <c r="B67" s="34" t="s">
        <v>340</v>
      </c>
      <c r="C67" t="s">
        <v>341</v>
      </c>
      <c r="D67" s="35" t="s">
        <v>1665</v>
      </c>
      <c r="E67">
        <v>200</v>
      </c>
      <c r="F67" s="36">
        <v>22300</v>
      </c>
      <c r="G67" s="38">
        <v>18070</v>
      </c>
      <c r="H67" s="38">
        <f t="shared" si="8"/>
        <v>-4230</v>
      </c>
      <c r="I67" t="s">
        <v>2038</v>
      </c>
      <c r="K67" s="39"/>
      <c r="L67" s="39">
        <v>43182</v>
      </c>
      <c r="M67" s="35" t="s">
        <v>345</v>
      </c>
      <c r="O67" s="22">
        <v>28.5</v>
      </c>
      <c r="P67" s="40"/>
      <c r="Q67" s="111">
        <v>21300</v>
      </c>
      <c r="R67" s="120">
        <f>71*E67</f>
        <v>14200</v>
      </c>
      <c r="S67" s="43">
        <f>-38*E67</f>
        <v>-7600</v>
      </c>
      <c r="T67" s="137">
        <f>X67*F67*0.0045</f>
        <v>3689.9589097952407</v>
      </c>
      <c r="U67" s="22">
        <f>E67*5</f>
        <v>1000</v>
      </c>
      <c r="W67" s="22">
        <v>0.3</v>
      </c>
      <c r="X67" s="22">
        <f>((O67*F67)+Q67+R67+S67+U67)/G67</f>
        <v>36.770890979524076</v>
      </c>
      <c r="Y67" s="22">
        <f>((O67*F67)+Q67+R67+S67+T67+U67)/G67+W67</f>
        <v>37.275094571654414</v>
      </c>
      <c r="Z67" s="3">
        <f>Y67*G67</f>
        <v>673560.95890979527</v>
      </c>
      <c r="AA67" s="44">
        <v>43195</v>
      </c>
      <c r="AB67" s="3"/>
      <c r="AC67" s="119"/>
    </row>
    <row r="68" spans="1:30" x14ac:dyDescent="0.25">
      <c r="A68" s="152"/>
      <c r="B68" s="34" t="s">
        <v>340</v>
      </c>
      <c r="C68" t="s">
        <v>341</v>
      </c>
      <c r="D68" s="35" t="s">
        <v>1060</v>
      </c>
      <c r="E68">
        <v>130</v>
      </c>
      <c r="F68" s="36">
        <v>15110</v>
      </c>
      <c r="G68" s="38">
        <v>12230</v>
      </c>
      <c r="H68" s="38">
        <f t="shared" si="8"/>
        <v>-2880</v>
      </c>
      <c r="I68" s="35" t="s">
        <v>2039</v>
      </c>
      <c r="K68" s="39"/>
      <c r="L68" s="39">
        <v>43182</v>
      </c>
      <c r="M68" s="35" t="s">
        <v>345</v>
      </c>
      <c r="O68" s="22">
        <v>28.5</v>
      </c>
      <c r="P68" s="40"/>
      <c r="Q68" s="111">
        <v>16900</v>
      </c>
      <c r="R68" s="120">
        <f>71*E68</f>
        <v>9230</v>
      </c>
      <c r="S68" s="43">
        <f>-38*E68</f>
        <v>-4940</v>
      </c>
      <c r="T68" s="137">
        <f>X68*F68*0.0045</f>
        <v>2515.6204108748975</v>
      </c>
      <c r="U68" s="22">
        <f>E68*5</f>
        <v>650</v>
      </c>
      <c r="W68" s="22">
        <v>0.3</v>
      </c>
      <c r="X68" s="22">
        <f>((O68*F68)+Q68+R68+S68+U68)/G68</f>
        <v>36.997138184791496</v>
      </c>
      <c r="Y68" s="22">
        <f>((O68*F68)+Q68+R68+S68+T68+U68)/G68+W68</f>
        <v>37.502830777667612</v>
      </c>
      <c r="Z68" s="3">
        <f>Y68*G68</f>
        <v>458659.62041087489</v>
      </c>
      <c r="AA68" s="44">
        <v>43195</v>
      </c>
      <c r="AB68" s="3"/>
      <c r="AC68" s="119" t="s">
        <v>2040</v>
      </c>
    </row>
    <row r="69" spans="1:30" x14ac:dyDescent="0.25">
      <c r="A69" s="152"/>
      <c r="B69" s="34" t="s">
        <v>328</v>
      </c>
      <c r="C69" s="35" t="s">
        <v>343</v>
      </c>
      <c r="D69" s="35" t="s">
        <v>343</v>
      </c>
      <c r="E69" t="s">
        <v>1040</v>
      </c>
      <c r="F69" s="36">
        <f>42528*0.4536</f>
        <v>19290.700799999999</v>
      </c>
      <c r="G69" s="38">
        <v>19236.12</v>
      </c>
      <c r="H69" s="38">
        <f t="shared" si="8"/>
        <v>-54.580799999999726</v>
      </c>
      <c r="I69" t="s">
        <v>1827</v>
      </c>
      <c r="J69" s="5" t="s">
        <v>1022</v>
      </c>
      <c r="K69" s="39">
        <v>43182</v>
      </c>
      <c r="L69" s="39">
        <v>43183</v>
      </c>
      <c r="M69" s="35" t="s">
        <v>348</v>
      </c>
      <c r="N69" s="35" t="s">
        <v>1829</v>
      </c>
      <c r="O69" s="22"/>
      <c r="P69" s="40">
        <f>0.5083+0.105</f>
        <v>0.61329999999999996</v>
      </c>
      <c r="Q69" s="111">
        <v>26000</v>
      </c>
      <c r="R69" s="22">
        <v>9400</v>
      </c>
      <c r="S69" s="45">
        <v>18.812999999999999</v>
      </c>
      <c r="T69" s="137">
        <f>X69*F69*0.005</f>
        <v>2642.5358000674587</v>
      </c>
      <c r="V69" s="22">
        <v>0.12</v>
      </c>
      <c r="W69" s="22">
        <v>0.3</v>
      </c>
      <c r="X69" s="22">
        <f>IF(O69&gt;0,O69,((P69*2.2046*S69)+(Q69+R69)/G69)+V69)</f>
        <v>27.396991197618483</v>
      </c>
      <c r="Y69" s="22">
        <f>IF(O69&gt;0,O69,((P69*2.2046*S69)+(Q69+R69+T69)/G69)+V69+W69)</f>
        <v>27.834364836380743</v>
      </c>
      <c r="Z69" s="3">
        <f>Y69*F69</f>
        <v>536944.40401666181</v>
      </c>
      <c r="AA69" s="44">
        <v>43179</v>
      </c>
      <c r="AB69" s="3">
        <v>30</v>
      </c>
      <c r="AC69" s="119"/>
    </row>
    <row r="70" spans="1:30" ht="15.75" thickBot="1" x14ac:dyDescent="0.3">
      <c r="A70" s="153"/>
      <c r="B70" s="49"/>
      <c r="C70" s="23"/>
      <c r="D70" s="23"/>
      <c r="E70" s="23"/>
      <c r="F70" s="50"/>
      <c r="G70" s="50"/>
      <c r="H70" s="50"/>
      <c r="I70" s="26"/>
      <c r="J70" s="23"/>
      <c r="K70" s="27"/>
      <c r="L70" s="27"/>
      <c r="M70" s="23"/>
      <c r="N70" s="23"/>
      <c r="O70" s="28"/>
      <c r="P70" s="29"/>
      <c r="Q70" s="28"/>
      <c r="R70" s="28"/>
      <c r="S70" s="28"/>
      <c r="T70" s="28"/>
      <c r="U70" s="28"/>
      <c r="V70" s="28"/>
      <c r="W70" s="28"/>
      <c r="X70" s="28"/>
      <c r="Y70" s="28"/>
      <c r="Z70" s="32"/>
      <c r="AA70" s="51"/>
      <c r="AB70" s="3"/>
      <c r="AC70" s="119"/>
    </row>
    <row r="71" spans="1:30" ht="15.75" thickTop="1" x14ac:dyDescent="0.25">
      <c r="A71" s="154"/>
      <c r="B71" s="53" t="s">
        <v>340</v>
      </c>
      <c r="C71" s="53" t="s">
        <v>331</v>
      </c>
      <c r="D71" s="54" t="s">
        <v>2048</v>
      </c>
      <c r="E71" s="53">
        <v>252</v>
      </c>
      <c r="F71" s="55">
        <v>22985.1</v>
      </c>
      <c r="G71" s="56">
        <f>11480+11380</f>
        <v>22860</v>
      </c>
      <c r="H71" s="121">
        <f>G71-F71</f>
        <v>-125.09999999999854</v>
      </c>
      <c r="I71" s="57" t="s">
        <v>2056</v>
      </c>
      <c r="J71" s="53"/>
      <c r="K71" s="58"/>
      <c r="L71" s="58">
        <v>43184</v>
      </c>
      <c r="M71" s="54" t="s">
        <v>349</v>
      </c>
      <c r="N71" s="53"/>
      <c r="O71" s="59">
        <v>37.799999999999997</v>
      </c>
      <c r="P71" s="60"/>
      <c r="Q71" s="59"/>
      <c r="R71" s="22"/>
      <c r="S71" s="59"/>
      <c r="T71" s="62"/>
      <c r="U71" s="59">
        <f>E71*5</f>
        <v>1260</v>
      </c>
      <c r="V71" s="53"/>
      <c r="W71" s="59"/>
      <c r="X71" s="59">
        <f>((O71*F71)+Q71+R71+S71+U71)/G71</f>
        <v>38.061976377952753</v>
      </c>
      <c r="Y71" s="63">
        <f>((O71*F71)+Q71+R71+S71+T71+U71)/G71+W71</f>
        <v>38.061976377952753</v>
      </c>
      <c r="Z71" s="63">
        <f>Y71*G71</f>
        <v>870096.77999999991</v>
      </c>
      <c r="AA71" s="64">
        <v>43185</v>
      </c>
      <c r="AB71" s="3">
        <v>40</v>
      </c>
      <c r="AC71" t="s">
        <v>2055</v>
      </c>
      <c r="AD71" s="3" t="s">
        <v>2014</v>
      </c>
    </row>
    <row r="72" spans="1:30" x14ac:dyDescent="0.25">
      <c r="A72" s="155"/>
      <c r="B72" s="34" t="s">
        <v>340</v>
      </c>
      <c r="C72" t="s">
        <v>331</v>
      </c>
      <c r="D72" s="35" t="s">
        <v>2048</v>
      </c>
      <c r="E72">
        <v>199</v>
      </c>
      <c r="F72" s="36">
        <v>18370</v>
      </c>
      <c r="G72" s="38">
        <v>18320</v>
      </c>
      <c r="H72" s="38">
        <f>G72-F72</f>
        <v>-50</v>
      </c>
      <c r="I72" s="35" t="s">
        <v>2058</v>
      </c>
      <c r="K72" s="39"/>
      <c r="L72" s="39">
        <v>43185</v>
      </c>
      <c r="M72" s="35" t="s">
        <v>350</v>
      </c>
      <c r="O72" s="22">
        <v>37.799999999999997</v>
      </c>
      <c r="P72" s="40"/>
      <c r="Q72" s="22"/>
      <c r="R72" s="22"/>
      <c r="S72" s="43"/>
      <c r="T72" s="43"/>
      <c r="U72" s="22">
        <f>E72*5</f>
        <v>995</v>
      </c>
      <c r="W72" s="22"/>
      <c r="X72" s="22">
        <f>((O72*F72)+Q72+R72+S72+U72)/G72</f>
        <v>37.957478165938866</v>
      </c>
      <c r="Y72" s="22">
        <f>((O72*F72)+Q72+R72+S72+T72+U72)/G72+W72</f>
        <v>37.957478165938866</v>
      </c>
      <c r="Z72" s="3">
        <f>Y72*G72</f>
        <v>695381</v>
      </c>
      <c r="AA72" s="44">
        <v>43186</v>
      </c>
      <c r="AB72" s="3">
        <v>40</v>
      </c>
      <c r="AC72" s="119"/>
    </row>
    <row r="73" spans="1:30" x14ac:dyDescent="0.25">
      <c r="A73" s="155"/>
      <c r="B73" s="34" t="s">
        <v>1063</v>
      </c>
      <c r="C73" t="s">
        <v>2079</v>
      </c>
      <c r="D73" s="35" t="s">
        <v>1065</v>
      </c>
      <c r="E73" t="s">
        <v>2080</v>
      </c>
      <c r="F73" s="36">
        <v>9501.7999999999993</v>
      </c>
      <c r="G73" s="38">
        <v>9501.7999999999993</v>
      </c>
      <c r="H73" s="38">
        <f>G73-F73</f>
        <v>0</v>
      </c>
      <c r="I73" s="35" t="s">
        <v>2118</v>
      </c>
      <c r="K73" s="39"/>
      <c r="L73" s="39">
        <v>43185</v>
      </c>
      <c r="M73" s="35" t="s">
        <v>350</v>
      </c>
      <c r="O73" s="22">
        <v>88.5</v>
      </c>
      <c r="P73" s="40"/>
      <c r="Q73" s="22"/>
      <c r="R73" s="22"/>
      <c r="S73" s="43"/>
      <c r="T73" s="43"/>
      <c r="U73" s="22"/>
      <c r="W73" s="22"/>
      <c r="X73" s="22">
        <f>IF(O73&gt;0,O73,((P73*2.2046*S73)+(Q73+R73)/G73)+V73)</f>
        <v>88.5</v>
      </c>
      <c r="Y73" s="22">
        <f>IF(O73&gt;0,O73,((P73*2.2046*S73)+(Q73+R73+T73)/G73)+V73+W73)</f>
        <v>88.5</v>
      </c>
      <c r="Z73" s="3">
        <f>Y73*F73</f>
        <v>840909.29999999993</v>
      </c>
      <c r="AA73" s="44">
        <v>43194</v>
      </c>
      <c r="AB73" s="3"/>
      <c r="AC73" s="119"/>
    </row>
    <row r="74" spans="1:30" x14ac:dyDescent="0.25">
      <c r="A74" s="155"/>
      <c r="B74" s="34" t="s">
        <v>1105</v>
      </c>
      <c r="C74" t="s">
        <v>343</v>
      </c>
      <c r="D74" s="35" t="s">
        <v>1106</v>
      </c>
      <c r="E74" t="s">
        <v>2092</v>
      </c>
      <c r="F74" s="36">
        <v>2760.5</v>
      </c>
      <c r="G74" s="38">
        <v>2760.5</v>
      </c>
      <c r="H74" s="38">
        <f>G74-F74</f>
        <v>0</v>
      </c>
      <c r="I74" s="35" t="s">
        <v>2093</v>
      </c>
      <c r="K74" s="39"/>
      <c r="L74" s="39">
        <v>43185</v>
      </c>
      <c r="M74" s="35" t="s">
        <v>350</v>
      </c>
      <c r="O74" s="22">
        <v>19</v>
      </c>
      <c r="P74" s="40"/>
      <c r="Q74" s="22"/>
      <c r="R74" s="22"/>
      <c r="S74" s="43"/>
      <c r="T74" s="43"/>
      <c r="U74" s="22"/>
      <c r="W74" s="22"/>
      <c r="X74" s="22">
        <f>IF(O74&gt;0,O74,((P74*2.2046*S74)+(Q74+R74)/G74)+V74)</f>
        <v>19</v>
      </c>
      <c r="Y74" s="22">
        <f>IF(O74&gt;0,O74,((P74*2.2046*S74)+(Q74+R74+T74)/G74)+V74+W74)</f>
        <v>19</v>
      </c>
      <c r="Z74" s="3">
        <f>Y74*F74</f>
        <v>52449.5</v>
      </c>
      <c r="AA74" s="44">
        <v>43193</v>
      </c>
      <c r="AB74" s="3"/>
      <c r="AC74" s="119"/>
    </row>
    <row r="75" spans="1:30" x14ac:dyDescent="0.25">
      <c r="A75" s="155"/>
      <c r="B75" s="34" t="s">
        <v>328</v>
      </c>
      <c r="C75" t="s">
        <v>329</v>
      </c>
      <c r="D75" s="35" t="s">
        <v>329</v>
      </c>
      <c r="E75" t="s">
        <v>1168</v>
      </c>
      <c r="F75" s="36">
        <f>40714*0.4536</f>
        <v>18467.8704</v>
      </c>
      <c r="G75" s="38">
        <v>18284.63</v>
      </c>
      <c r="H75" s="38">
        <f>G75-F75</f>
        <v>-183.24039999999877</v>
      </c>
      <c r="I75" s="35" t="s">
        <v>1831</v>
      </c>
      <c r="J75" s="5" t="s">
        <v>1022</v>
      </c>
      <c r="K75" s="39">
        <v>43185</v>
      </c>
      <c r="L75" s="39">
        <v>43186</v>
      </c>
      <c r="M75" s="35" t="s">
        <v>355</v>
      </c>
      <c r="N75" s="35" t="s">
        <v>1834</v>
      </c>
      <c r="O75" s="22"/>
      <c r="P75" s="40">
        <f>0.5208+0.095</f>
        <v>0.61580000000000001</v>
      </c>
      <c r="Q75" s="111">
        <v>26000</v>
      </c>
      <c r="R75" s="120">
        <v>9500</v>
      </c>
      <c r="S75" s="45">
        <v>18.225000000000001</v>
      </c>
      <c r="T75" s="137">
        <f>X75*F75*0.005</f>
        <v>2475.0314847074596</v>
      </c>
      <c r="V75" s="22">
        <v>0.12</v>
      </c>
      <c r="W75" s="22">
        <v>0.3</v>
      </c>
      <c r="X75" s="22">
        <f>IF(O75&gt;0,O75,((P75*2.2046*S75)+(Q75+R75)/G75)+V75)</f>
        <v>26.803647969150354</v>
      </c>
      <c r="Y75" s="22">
        <f>IF(O75&gt;0,O75,((P75*2.2046*S75)+(Q75+R75+T75)/G75)+V75+W75)</f>
        <v>27.239009279973022</v>
      </c>
      <c r="Z75" s="3">
        <f>Y75*F75</f>
        <v>503046.49320693908</v>
      </c>
      <c r="AA75" s="44">
        <v>43196</v>
      </c>
      <c r="AB75" s="3">
        <v>30</v>
      </c>
      <c r="AC75" s="119"/>
    </row>
    <row r="76" spans="1:30" x14ac:dyDescent="0.25">
      <c r="A76" s="155"/>
      <c r="B76" s="34" t="s">
        <v>328</v>
      </c>
      <c r="C76" t="s">
        <v>336</v>
      </c>
      <c r="D76" s="35" t="s">
        <v>1129</v>
      </c>
      <c r="E76" t="s">
        <v>1021</v>
      </c>
      <c r="F76" s="36">
        <f>41470*0.4536</f>
        <v>18810.792000000001</v>
      </c>
      <c r="G76" s="38">
        <v>18748.560000000001</v>
      </c>
      <c r="H76" s="38">
        <f t="shared" ref="H76:H81" si="9">G76-F76</f>
        <v>-62.231999999999971</v>
      </c>
      <c r="I76" t="s">
        <v>1832</v>
      </c>
      <c r="J76" s="5" t="s">
        <v>1022</v>
      </c>
      <c r="K76" s="39">
        <v>43185</v>
      </c>
      <c r="L76" s="39">
        <v>43186</v>
      </c>
      <c r="M76" s="35" t="s">
        <v>355</v>
      </c>
      <c r="N76" s="35" t="s">
        <v>1835</v>
      </c>
      <c r="O76" s="22"/>
      <c r="P76" s="40">
        <f>0.522+0.105</f>
        <v>0.627</v>
      </c>
      <c r="Q76" s="111">
        <v>26000</v>
      </c>
      <c r="R76" s="22">
        <v>9400</v>
      </c>
      <c r="S76" s="45">
        <v>18.46</v>
      </c>
      <c r="T76" s="137">
        <f>X76*F76*0.005</f>
        <v>2588.8457211124428</v>
      </c>
      <c r="V76" s="22">
        <v>0.12</v>
      </c>
      <c r="W76" s="22">
        <v>0.3</v>
      </c>
      <c r="X76" s="22">
        <f>IF(O76&gt;0,O76,((P76*2.2046*S76)+(Q76+R76)/G76)+V76)</f>
        <v>27.525111341536739</v>
      </c>
      <c r="Y76" s="22">
        <f>IF(O76&gt;0,O76,((P76*2.2046*S76)+(Q76+R76+T76)/G76)+V76+W76)</f>
        <v>27.963193718055919</v>
      </c>
      <c r="Z76" s="3">
        <f>Y76*F76</f>
        <v>526009.82068605663</v>
      </c>
      <c r="AA76" s="44">
        <v>43185</v>
      </c>
      <c r="AB76" s="3">
        <v>30</v>
      </c>
      <c r="AC76" s="119"/>
    </row>
    <row r="77" spans="1:30" x14ac:dyDescent="0.25">
      <c r="A77" s="155"/>
      <c r="B77" s="34" t="s">
        <v>340</v>
      </c>
      <c r="C77" t="s">
        <v>2057</v>
      </c>
      <c r="D77" s="35" t="s">
        <v>2048</v>
      </c>
      <c r="E77">
        <f>108+130</f>
        <v>238</v>
      </c>
      <c r="F77" s="36">
        <v>20630</v>
      </c>
      <c r="G77" s="36">
        <f>8820+11700</f>
        <v>20520</v>
      </c>
      <c r="H77" s="38">
        <f t="shared" si="9"/>
        <v>-110</v>
      </c>
      <c r="I77" t="s">
        <v>2067</v>
      </c>
      <c r="K77" s="39"/>
      <c r="L77" s="39">
        <v>43186</v>
      </c>
      <c r="M77" s="35" t="s">
        <v>355</v>
      </c>
      <c r="O77" s="22">
        <v>37.799999999999997</v>
      </c>
      <c r="P77" s="40"/>
      <c r="Q77" s="22"/>
      <c r="R77" s="22"/>
      <c r="S77" s="43"/>
      <c r="T77" s="43"/>
      <c r="U77" s="22">
        <f>E77*5</f>
        <v>1190</v>
      </c>
      <c r="W77" s="22"/>
      <c r="X77" s="22">
        <f>((O77*F77)+Q77+R77+S77+U77)/G77</f>
        <v>38.060623781676405</v>
      </c>
      <c r="Y77" s="22">
        <f>((O77*F77)+Q77+R77+S77+T77+U77)/G77+W77</f>
        <v>38.060623781676405</v>
      </c>
      <c r="Z77" s="3">
        <f>Y77*G77</f>
        <v>781003.99999999988</v>
      </c>
      <c r="AA77" s="44">
        <v>43187</v>
      </c>
      <c r="AB77" s="3">
        <v>40</v>
      </c>
      <c r="AC77" s="119" t="s">
        <v>2071</v>
      </c>
    </row>
    <row r="78" spans="1:30" x14ac:dyDescent="0.25">
      <c r="A78" s="155"/>
      <c r="B78" s="34" t="s">
        <v>328</v>
      </c>
      <c r="C78" t="s">
        <v>336</v>
      </c>
      <c r="D78" s="35" t="s">
        <v>336</v>
      </c>
      <c r="E78" t="s">
        <v>1021</v>
      </c>
      <c r="F78" s="36">
        <f>41393*0.4536</f>
        <v>18775.864799999999</v>
      </c>
      <c r="G78" s="38">
        <v>18643.27</v>
      </c>
      <c r="H78" s="38">
        <f t="shared" si="9"/>
        <v>-132.59479999999894</v>
      </c>
      <c r="I78" t="s">
        <v>1709</v>
      </c>
      <c r="J78" s="5" t="s">
        <v>1022</v>
      </c>
      <c r="K78" s="39">
        <v>43186</v>
      </c>
      <c r="L78" s="39">
        <v>43187</v>
      </c>
      <c r="M78" s="35" t="s">
        <v>331</v>
      </c>
      <c r="N78" s="35" t="s">
        <v>1834</v>
      </c>
      <c r="O78" s="22"/>
      <c r="P78" s="40">
        <f>0.5208+0.095</f>
        <v>0.61580000000000001</v>
      </c>
      <c r="Q78" s="111">
        <v>26000</v>
      </c>
      <c r="R78" s="22">
        <v>9400</v>
      </c>
      <c r="S78" s="45">
        <v>18.82</v>
      </c>
      <c r="T78" s="137">
        <f>X78*F78*0.005</f>
        <v>2588.131178860086</v>
      </c>
      <c r="V78" s="22">
        <v>0.12</v>
      </c>
      <c r="W78" s="22">
        <v>0.3</v>
      </c>
      <c r="X78" s="22">
        <f>IF(O78&gt;0,O78,((P78*2.2046*S78)+(Q78+R78)/G78)+V78)</f>
        <v>27.568702762070227</v>
      </c>
      <c r="Y78" s="22">
        <f>IF(O78&gt;0,O78,((P78*2.2046*S78)+(Q78+R78+T78)/G78)+V78+W78)</f>
        <v>28.007526647518439</v>
      </c>
      <c r="Z78" s="3">
        <f>Y78*F78</f>
        <v>525865.53371620341</v>
      </c>
      <c r="AA78" s="44">
        <v>43180</v>
      </c>
      <c r="AB78" s="3">
        <v>30</v>
      </c>
      <c r="AC78" s="119"/>
    </row>
    <row r="79" spans="1:30" x14ac:dyDescent="0.25">
      <c r="A79" s="155"/>
      <c r="B79" s="34" t="s">
        <v>328</v>
      </c>
      <c r="C79" s="35" t="s">
        <v>329</v>
      </c>
      <c r="D79" s="35" t="s">
        <v>329</v>
      </c>
      <c r="E79" t="s">
        <v>1021</v>
      </c>
      <c r="F79" s="36">
        <f>41007*0.4536</f>
        <v>18600.7752</v>
      </c>
      <c r="G79" s="38">
        <v>18531.080000000002</v>
      </c>
      <c r="H79" s="38">
        <f>G79-F79</f>
        <v>-69.695199999998295</v>
      </c>
      <c r="I79" t="s">
        <v>1833</v>
      </c>
      <c r="J79" s="5" t="s">
        <v>1022</v>
      </c>
      <c r="K79" s="39">
        <v>43185</v>
      </c>
      <c r="L79" s="39">
        <v>43186</v>
      </c>
      <c r="M79" s="35" t="s">
        <v>355</v>
      </c>
      <c r="N79" s="35" t="s">
        <v>1834</v>
      </c>
      <c r="O79" s="22"/>
      <c r="P79" s="40">
        <f>0.5208+0.095</f>
        <v>0.61580000000000001</v>
      </c>
      <c r="Q79" s="111">
        <v>26000</v>
      </c>
      <c r="R79" s="120">
        <v>9500</v>
      </c>
      <c r="S79" s="45">
        <v>18.209</v>
      </c>
      <c r="T79" s="137">
        <f>X79*F79*0.005</f>
        <v>2488.4215323134435</v>
      </c>
      <c r="V79" s="22">
        <v>0.12</v>
      </c>
      <c r="W79" s="22">
        <v>0.3</v>
      </c>
      <c r="X79" s="22">
        <f>IF(O79&gt;0,O79,((P79*2.2046*S79)+(Q79+R79)/G79)+V79)</f>
        <v>26.756105652128344</v>
      </c>
      <c r="Y79" s="22">
        <f>IF(O79&gt;0,O79,((P79*2.2046*S79)+(Q79+R79+T79)/G79)+V79+W79)</f>
        <v>27.190389327570543</v>
      </c>
      <c r="Z79" s="3">
        <f>Y79*F79</f>
        <v>505762.31948261883</v>
      </c>
      <c r="AA79" s="44">
        <v>43196</v>
      </c>
      <c r="AB79" s="3">
        <v>30</v>
      </c>
      <c r="AC79" s="119"/>
    </row>
    <row r="80" spans="1:30" x14ac:dyDescent="0.25">
      <c r="A80" s="155"/>
      <c r="B80" s="34" t="s">
        <v>340</v>
      </c>
      <c r="C80" t="s">
        <v>331</v>
      </c>
      <c r="D80" s="35" t="s">
        <v>2048</v>
      </c>
      <c r="E80">
        <v>245</v>
      </c>
      <c r="F80" s="36">
        <v>23820</v>
      </c>
      <c r="G80" s="38">
        <v>23730</v>
      </c>
      <c r="H80" s="38">
        <f t="shared" si="9"/>
        <v>-90</v>
      </c>
      <c r="I80" t="s">
        <v>2148</v>
      </c>
      <c r="K80" s="39"/>
      <c r="L80" s="39">
        <v>43187</v>
      </c>
      <c r="M80" s="35" t="s">
        <v>331</v>
      </c>
      <c r="O80" s="22">
        <v>37.799999999999997</v>
      </c>
      <c r="P80" s="40"/>
      <c r="Q80" s="22"/>
      <c r="R80" s="22"/>
      <c r="S80" s="43"/>
      <c r="T80" s="43"/>
      <c r="U80" s="22">
        <f>E80*5</f>
        <v>1225</v>
      </c>
      <c r="W80" s="22"/>
      <c r="X80" s="22">
        <f>((O80*F80)+Q80+R80+S80+U80)/G80</f>
        <v>37.994985250737457</v>
      </c>
      <c r="Y80" s="22">
        <f>((O80*F80)+Q80+R80+S80+T80+U80)/G80+W80</f>
        <v>37.994985250737457</v>
      </c>
      <c r="Z80" s="3">
        <f>Y80*G80</f>
        <v>901620.99999999988</v>
      </c>
      <c r="AA80" s="44">
        <v>43194</v>
      </c>
      <c r="AB80" s="3">
        <v>40</v>
      </c>
      <c r="AC80" s="119"/>
    </row>
    <row r="81" spans="1:29" x14ac:dyDescent="0.25">
      <c r="A81" s="155"/>
      <c r="B81" s="34" t="s">
        <v>1105</v>
      </c>
      <c r="C81" t="s">
        <v>343</v>
      </c>
      <c r="D81" s="35" t="s">
        <v>1106</v>
      </c>
      <c r="E81" t="s">
        <v>1260</v>
      </c>
      <c r="F81" s="36">
        <v>1827.1</v>
      </c>
      <c r="G81" s="38">
        <v>1827.1</v>
      </c>
      <c r="H81" s="38">
        <f t="shared" si="9"/>
        <v>0</v>
      </c>
      <c r="I81" t="s">
        <v>2140</v>
      </c>
      <c r="K81" s="39"/>
      <c r="L81" s="39">
        <v>43187</v>
      </c>
      <c r="M81" s="35" t="s">
        <v>331</v>
      </c>
      <c r="O81" s="22">
        <v>19</v>
      </c>
      <c r="P81" s="40"/>
      <c r="Q81" s="22"/>
      <c r="R81" s="22"/>
      <c r="S81" s="43"/>
      <c r="T81" s="43"/>
      <c r="U81" s="22"/>
      <c r="W81" s="22"/>
      <c r="X81" s="22">
        <f>IF(O81&gt;0,O81,((P81*2.2046*S81)+(Q81+R81)/G81)+V81)</f>
        <v>19</v>
      </c>
      <c r="Y81" s="22">
        <f>IF(O81&gt;0,O81,((P81*2.2046*S81)+(Q81+R81+T81)/G81)+V81+W81)</f>
        <v>19</v>
      </c>
      <c r="Z81" s="3">
        <f>Y81*F81</f>
        <v>34714.9</v>
      </c>
      <c r="AA81" s="44">
        <v>43194</v>
      </c>
      <c r="AB81" s="3"/>
      <c r="AC81" s="119"/>
    </row>
    <row r="82" spans="1:29" x14ac:dyDescent="0.25">
      <c r="A82" s="155"/>
      <c r="B82" s="34" t="s">
        <v>328</v>
      </c>
      <c r="C82" s="35" t="s">
        <v>343</v>
      </c>
      <c r="D82" s="35" t="s">
        <v>343</v>
      </c>
      <c r="E82" t="s">
        <v>1040</v>
      </c>
      <c r="F82" s="36">
        <f>42900*0.4536</f>
        <v>19459.439999999999</v>
      </c>
      <c r="G82" s="38">
        <v>19364.53</v>
      </c>
      <c r="H82" s="38">
        <f>G82-F82</f>
        <v>-94.909999999999854</v>
      </c>
      <c r="I82" t="s">
        <v>1837</v>
      </c>
      <c r="J82" s="5" t="s">
        <v>2064</v>
      </c>
      <c r="K82" s="39">
        <v>43187</v>
      </c>
      <c r="L82" s="39">
        <v>43188</v>
      </c>
      <c r="M82" s="35" t="s">
        <v>342</v>
      </c>
      <c r="N82" s="35" t="s">
        <v>1836</v>
      </c>
      <c r="O82" s="22"/>
      <c r="P82" s="40">
        <f>0.5145+0.105</f>
        <v>0.61949999999999994</v>
      </c>
      <c r="Q82" s="111">
        <v>23000</v>
      </c>
      <c r="R82" s="22">
        <v>9400</v>
      </c>
      <c r="S82" s="45">
        <v>18.638999999999999</v>
      </c>
      <c r="T82" s="137">
        <f>X82*F82*0.005</f>
        <v>2651.2874881997477</v>
      </c>
      <c r="V82" s="22">
        <v>0.12</v>
      </c>
      <c r="W82" s="22">
        <v>0.3</v>
      </c>
      <c r="X82" s="22">
        <f>IF(O82&gt;0,O82,((P82*2.2046*S82)+(Q82+R82)/G82)+V82)</f>
        <v>27.24937087809051</v>
      </c>
      <c r="Y82" s="22">
        <f>IF(O82&gt;0,O82,((P82*2.2046*S82)+(Q82+R82+T82)/G82)+V82+W82)</f>
        <v>27.686285509542952</v>
      </c>
      <c r="Z82" s="3">
        <f>Y82*F82</f>
        <v>538759.61169582047</v>
      </c>
      <c r="AA82" s="44">
        <v>43181</v>
      </c>
      <c r="AB82" s="3">
        <v>30</v>
      </c>
      <c r="AC82" s="119"/>
    </row>
    <row r="83" spans="1:29" x14ac:dyDescent="0.25">
      <c r="A83" s="155"/>
      <c r="B83" s="34" t="s">
        <v>328</v>
      </c>
      <c r="C83" s="35" t="s">
        <v>343</v>
      </c>
      <c r="D83" s="35" t="s">
        <v>343</v>
      </c>
      <c r="E83" t="s">
        <v>1040</v>
      </c>
      <c r="F83" s="36">
        <f>42746*0.4536</f>
        <v>19389.585599999999</v>
      </c>
      <c r="G83" s="38">
        <v>19308.09</v>
      </c>
      <c r="H83" s="38">
        <f>G83-F83</f>
        <v>-81.495599999998376</v>
      </c>
      <c r="I83" t="s">
        <v>1838</v>
      </c>
      <c r="J83" s="5" t="s">
        <v>1022</v>
      </c>
      <c r="K83" s="39">
        <v>43187</v>
      </c>
      <c r="L83" s="39">
        <v>43188</v>
      </c>
      <c r="M83" s="35" t="s">
        <v>342</v>
      </c>
      <c r="N83" s="35" t="s">
        <v>1836</v>
      </c>
      <c r="O83" s="22"/>
      <c r="P83" s="40">
        <f>0.5145+0.105</f>
        <v>0.61949999999999994</v>
      </c>
      <c r="Q83" s="111">
        <v>26000</v>
      </c>
      <c r="R83" s="22">
        <v>9400</v>
      </c>
      <c r="S83" s="45">
        <v>18.638999999999999</v>
      </c>
      <c r="T83" s="137">
        <f>X83*F83*0.005</f>
        <v>2657.3075172436911</v>
      </c>
      <c r="V83" s="22">
        <v>0.12</v>
      </c>
      <c r="W83" s="22">
        <v>0.3</v>
      </c>
      <c r="X83" s="22">
        <f>IF(O83&gt;0,O83,((P83*2.2046*S83)+(Q83+R83)/G83)+V83)</f>
        <v>27.409637029516414</v>
      </c>
      <c r="Y83" s="22">
        <f>IF(O83&gt;0,O83,((P83*2.2046*S83)+(Q83+R83+T83)/G83)+V83+W83)</f>
        <v>27.847263667741309</v>
      </c>
      <c r="Z83" s="3">
        <f>Y83*F83</f>
        <v>539946.90261144005</v>
      </c>
      <c r="AA83" s="44">
        <v>43181</v>
      </c>
      <c r="AB83" s="3">
        <v>30</v>
      </c>
      <c r="AC83" s="119"/>
    </row>
    <row r="84" spans="1:29" x14ac:dyDescent="0.25">
      <c r="A84" s="155"/>
      <c r="B84" s="34" t="s">
        <v>340</v>
      </c>
      <c r="C84" t="s">
        <v>331</v>
      </c>
      <c r="D84" s="35" t="s">
        <v>2048</v>
      </c>
      <c r="E84">
        <v>250</v>
      </c>
      <c r="F84" s="36">
        <v>24040</v>
      </c>
      <c r="G84" s="38">
        <v>23960</v>
      </c>
      <c r="H84" s="38">
        <f>G84-F84</f>
        <v>-80</v>
      </c>
      <c r="I84" t="s">
        <v>2139</v>
      </c>
      <c r="K84" s="39"/>
      <c r="L84" s="39">
        <v>43188</v>
      </c>
      <c r="M84" s="35" t="s">
        <v>342</v>
      </c>
      <c r="O84" s="22">
        <v>37.6</v>
      </c>
      <c r="P84" s="40"/>
      <c r="Q84" s="22"/>
      <c r="R84" s="22"/>
      <c r="S84" s="43"/>
      <c r="T84" s="43"/>
      <c r="U84" s="22">
        <f>E84*5</f>
        <v>1250</v>
      </c>
      <c r="W84" s="22"/>
      <c r="X84" s="22">
        <f>((O84*F84)+Q84+R84+S84+U84)/G84</f>
        <v>37.77771285475793</v>
      </c>
      <c r="Y84" s="22">
        <f>((O84*F84)+Q84+R84+S84+T84+U84)/G84+W84</f>
        <v>37.77771285475793</v>
      </c>
      <c r="Z84" s="3">
        <f>Y84*G84</f>
        <v>905154</v>
      </c>
      <c r="AA84" s="44">
        <v>43196</v>
      </c>
      <c r="AB84" s="3">
        <v>40</v>
      </c>
      <c r="AC84" s="119"/>
    </row>
    <row r="85" spans="1:29" x14ac:dyDescent="0.25">
      <c r="A85" s="155"/>
      <c r="B85" s="34" t="s">
        <v>340</v>
      </c>
      <c r="C85" t="s">
        <v>331</v>
      </c>
      <c r="D85" s="35" t="s">
        <v>2048</v>
      </c>
      <c r="E85">
        <v>250</v>
      </c>
      <c r="F85" s="36">
        <v>24110</v>
      </c>
      <c r="G85" s="38">
        <v>24110</v>
      </c>
      <c r="H85" s="38">
        <f>G85-F85</f>
        <v>0</v>
      </c>
      <c r="I85" t="s">
        <v>2142</v>
      </c>
      <c r="K85" s="39"/>
      <c r="L85" s="39">
        <v>43188</v>
      </c>
      <c r="M85" s="35" t="s">
        <v>342</v>
      </c>
      <c r="O85" s="22">
        <v>37.6</v>
      </c>
      <c r="P85" s="40"/>
      <c r="Q85" s="22"/>
      <c r="R85" s="22"/>
      <c r="S85" s="43"/>
      <c r="T85" s="43"/>
      <c r="U85" s="22">
        <f>E85*5</f>
        <v>1250</v>
      </c>
      <c r="W85" s="22"/>
      <c r="X85" s="22">
        <f>((O85*F85)+Q85+R85+S85+U85)/G85</f>
        <v>37.651845707175447</v>
      </c>
      <c r="Y85" s="22">
        <f>((O85*F85)+Q85+R85+S85+T85+U85)/G85+W85</f>
        <v>37.651845707175447</v>
      </c>
      <c r="Z85" s="3">
        <f>Y85*G85</f>
        <v>907786</v>
      </c>
      <c r="AA85" s="44">
        <v>43199</v>
      </c>
      <c r="AB85" s="3">
        <v>40</v>
      </c>
      <c r="AC85" s="119" t="s">
        <v>2125</v>
      </c>
    </row>
    <row r="86" spans="1:29" ht="15.75" thickBot="1" x14ac:dyDescent="0.3">
      <c r="A86" s="156"/>
      <c r="B86" s="49"/>
      <c r="C86" s="23"/>
      <c r="D86" s="23"/>
      <c r="E86" s="23"/>
      <c r="F86" s="50"/>
      <c r="G86" s="50"/>
      <c r="H86" s="50"/>
      <c r="I86" s="26"/>
      <c r="J86" s="23"/>
      <c r="K86" s="27"/>
      <c r="L86" s="27"/>
      <c r="M86" s="23"/>
      <c r="N86" s="23"/>
      <c r="O86" s="28"/>
      <c r="P86" s="29"/>
      <c r="Q86" s="28"/>
      <c r="R86" s="28"/>
      <c r="S86" s="28"/>
      <c r="T86" s="28"/>
      <c r="U86" s="28"/>
      <c r="V86" s="28"/>
      <c r="W86" s="28"/>
      <c r="X86" s="28"/>
      <c r="Y86" s="28"/>
      <c r="Z86" s="32"/>
      <c r="AA86" s="51"/>
      <c r="AB86" s="3"/>
      <c r="AC86" s="119"/>
    </row>
  </sheetData>
  <pageMargins left="0.7" right="0.7" top="0.75" bottom="0.75" header="0.3" footer="0.3"/>
  <pageSetup orientation="portrait" horizontalDpi="4294967293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I84"/>
  <sheetViews>
    <sheetView topLeftCell="A10" zoomScale="80" zoomScaleNormal="80" workbookViewId="0">
      <selection activeCell="O27" sqref="O27"/>
    </sheetView>
  </sheetViews>
  <sheetFormatPr baseColWidth="10" defaultRowHeight="15" x14ac:dyDescent="0.25"/>
  <cols>
    <col min="1" max="1" width="3.140625" customWidth="1"/>
    <col min="2" max="2" width="16.5703125" customWidth="1"/>
    <col min="3" max="3" width="14" customWidth="1"/>
    <col min="4" max="4" width="20.5703125" customWidth="1"/>
    <col min="13" max="13" width="5" customWidth="1"/>
    <col min="22" max="22" width="7" customWidth="1"/>
    <col min="23" max="23" width="9.28515625" customWidth="1"/>
    <col min="24" max="24" width="0" hidden="1" customWidth="1"/>
    <col min="25" max="25" width="11.28515625" customWidth="1"/>
    <col min="26" max="26" width="15.140625" customWidth="1"/>
  </cols>
  <sheetData>
    <row r="1" spans="1:31" x14ac:dyDescent="0.25">
      <c r="A1" s="21" t="s">
        <v>1830</v>
      </c>
      <c r="S1" s="22"/>
      <c r="W1" s="22"/>
      <c r="Z1" s="3"/>
    </row>
    <row r="2" spans="1:31" ht="30.75" thickBot="1" x14ac:dyDescent="0.3">
      <c r="A2" s="23"/>
      <c r="B2" s="23" t="s">
        <v>303</v>
      </c>
      <c r="C2" s="23" t="s">
        <v>304</v>
      </c>
      <c r="D2" s="23" t="s">
        <v>305</v>
      </c>
      <c r="E2" s="23" t="s">
        <v>306</v>
      </c>
      <c r="F2" s="24" t="s">
        <v>307</v>
      </c>
      <c r="G2" s="24" t="s">
        <v>308</v>
      </c>
      <c r="H2" s="25" t="s">
        <v>309</v>
      </c>
      <c r="I2" s="26" t="s">
        <v>310</v>
      </c>
      <c r="J2" s="23" t="s">
        <v>311</v>
      </c>
      <c r="K2" s="27" t="s">
        <v>312</v>
      </c>
      <c r="L2" s="27" t="s">
        <v>313</v>
      </c>
      <c r="M2" s="23" t="s">
        <v>314</v>
      </c>
      <c r="N2" s="23" t="s">
        <v>315</v>
      </c>
      <c r="O2" s="28" t="s">
        <v>316</v>
      </c>
      <c r="P2" s="29" t="s">
        <v>317</v>
      </c>
      <c r="Q2" s="28" t="s">
        <v>318</v>
      </c>
      <c r="R2" s="30" t="s">
        <v>319</v>
      </c>
      <c r="S2" s="30" t="s">
        <v>320</v>
      </c>
      <c r="T2" s="31" t="s">
        <v>321</v>
      </c>
      <c r="U2" s="28" t="s">
        <v>322</v>
      </c>
      <c r="V2" s="28" t="s">
        <v>323</v>
      </c>
      <c r="W2" s="31" t="s">
        <v>324</v>
      </c>
      <c r="X2" s="28" t="s">
        <v>325</v>
      </c>
      <c r="Y2" s="28" t="s">
        <v>326</v>
      </c>
      <c r="Z2" s="32" t="s">
        <v>327</v>
      </c>
      <c r="AA2" s="28"/>
    </row>
    <row r="3" spans="1:31" ht="15.75" thickTop="1" x14ac:dyDescent="0.25">
      <c r="A3" s="122"/>
      <c r="B3" s="53" t="s">
        <v>340</v>
      </c>
      <c r="C3" s="53" t="s">
        <v>341</v>
      </c>
      <c r="D3" s="54" t="s">
        <v>2119</v>
      </c>
      <c r="E3" s="53">
        <f>250+10</f>
        <v>260</v>
      </c>
      <c r="F3" s="55">
        <f>26280+1150</f>
        <v>27430</v>
      </c>
      <c r="G3" s="56">
        <f>10720+5000+5890</f>
        <v>21610</v>
      </c>
      <c r="H3" s="121">
        <f>G3-F3</f>
        <v>-5820</v>
      </c>
      <c r="I3" s="57" t="s">
        <v>2120</v>
      </c>
      <c r="J3" s="53"/>
      <c r="K3" s="58"/>
      <c r="L3" s="58">
        <v>43191</v>
      </c>
      <c r="M3" s="54" t="s">
        <v>349</v>
      </c>
      <c r="N3" s="53"/>
      <c r="O3" s="59">
        <v>28.5</v>
      </c>
      <c r="P3" s="60"/>
      <c r="Q3" s="61">
        <v>21300</v>
      </c>
      <c r="R3" s="22">
        <f>71*E3</f>
        <v>18460</v>
      </c>
      <c r="S3" s="59">
        <f>-38*E3</f>
        <v>-9880</v>
      </c>
      <c r="T3" s="138">
        <f>X3*F3*0.0045</f>
        <v>4643.4350636279496</v>
      </c>
      <c r="U3" s="59">
        <f>E3*5</f>
        <v>1300</v>
      </c>
      <c r="V3" s="53"/>
      <c r="W3" s="59">
        <v>0.3</v>
      </c>
      <c r="X3" s="59">
        <f>((O3*F3)+Q3+R3+S3+U3)/G3</f>
        <v>37.618463674224898</v>
      </c>
      <c r="Y3" s="63">
        <f>((O3*F3)+Q3+R3+S3+T3+U3)/G3+W3</f>
        <v>38.133338040889768</v>
      </c>
      <c r="Z3" s="63">
        <f>Y3*G3</f>
        <v>824061.4350636279</v>
      </c>
      <c r="AA3" s="64">
        <v>43206</v>
      </c>
      <c r="AB3" s="3">
        <v>40</v>
      </c>
      <c r="AC3" s="3" t="s">
        <v>2126</v>
      </c>
    </row>
    <row r="4" spans="1:31" x14ac:dyDescent="0.25">
      <c r="A4" s="123"/>
      <c r="B4" s="34" t="s">
        <v>340</v>
      </c>
      <c r="C4" t="s">
        <v>341</v>
      </c>
      <c r="D4" s="35" t="s">
        <v>2127</v>
      </c>
      <c r="E4">
        <v>200</v>
      </c>
      <c r="F4" s="36">
        <v>20990</v>
      </c>
      <c r="G4" s="38">
        <f>10760+5860</f>
        <v>16620</v>
      </c>
      <c r="H4" s="38">
        <f>G4-F4</f>
        <v>-4370</v>
      </c>
      <c r="I4" s="35" t="s">
        <v>2176</v>
      </c>
      <c r="K4" s="39"/>
      <c r="L4" s="39">
        <v>43192</v>
      </c>
      <c r="M4" s="35" t="s">
        <v>350</v>
      </c>
      <c r="O4" s="22">
        <v>28.5</v>
      </c>
      <c r="P4" s="40"/>
      <c r="Q4" s="47">
        <v>21300</v>
      </c>
      <c r="R4" s="22">
        <f>71*E4</f>
        <v>14200</v>
      </c>
      <c r="S4" s="43">
        <f>-38*E4</f>
        <v>-7600</v>
      </c>
      <c r="T4" s="137">
        <f>X4*F4*0.0045</f>
        <v>3564.0281182310464</v>
      </c>
      <c r="U4" s="22">
        <f>E4*5</f>
        <v>1000</v>
      </c>
      <c r="W4" s="22">
        <v>0.3</v>
      </c>
      <c r="X4" s="22">
        <f>((O4*F4)+Q4+R4+S4+U4)/G4</f>
        <v>37.732551143200965</v>
      </c>
      <c r="Y4" s="22">
        <f>((O4*F4)+Q4+R4+S4+T4+U4)/G4+W4</f>
        <v>38.24699326824495</v>
      </c>
      <c r="Z4" s="3">
        <f>Y4*G4</f>
        <v>635665.0281182311</v>
      </c>
      <c r="AA4" s="44">
        <v>43206</v>
      </c>
      <c r="AB4" s="3"/>
      <c r="AC4" s="119" t="s">
        <v>2128</v>
      </c>
    </row>
    <row r="5" spans="1:31" x14ac:dyDescent="0.25">
      <c r="A5" s="123"/>
      <c r="B5" s="34" t="s">
        <v>328</v>
      </c>
      <c r="C5" t="s">
        <v>2091</v>
      </c>
      <c r="D5" s="35" t="s">
        <v>1129</v>
      </c>
      <c r="E5" t="s">
        <v>1040</v>
      </c>
      <c r="F5" s="36">
        <f>41435*0.4536</f>
        <v>18794.916000000001</v>
      </c>
      <c r="G5" s="38">
        <v>18606.41</v>
      </c>
      <c r="H5" s="38">
        <f t="shared" ref="H5:H10" si="0">G5-F5</f>
        <v>-188.50600000000122</v>
      </c>
      <c r="I5" t="s">
        <v>2022</v>
      </c>
      <c r="J5" s="5" t="s">
        <v>1022</v>
      </c>
      <c r="K5" s="39">
        <v>43192</v>
      </c>
      <c r="L5" s="39">
        <v>43193</v>
      </c>
      <c r="M5" s="35" t="s">
        <v>355</v>
      </c>
      <c r="N5" s="35" t="s">
        <v>2090</v>
      </c>
      <c r="O5" s="22"/>
      <c r="P5" s="40">
        <f>0.5323+0.1</f>
        <v>0.63229999999999997</v>
      </c>
      <c r="Q5" s="111">
        <v>26000</v>
      </c>
      <c r="R5" s="22">
        <v>9400</v>
      </c>
      <c r="S5" s="45">
        <v>18.236999999999998</v>
      </c>
      <c r="T5" s="137">
        <f t="shared" ref="T5:T10" si="1">X5*F5*0.005</f>
        <v>2579.0736261323796</v>
      </c>
      <c r="V5" s="22">
        <v>0.12</v>
      </c>
      <c r="W5" s="22">
        <v>0.3</v>
      </c>
      <c r="X5" s="22">
        <f>IF(O5&gt;0,O5,((P5*2.2046*S5)+(Q5+R5)/G5)+V5)</f>
        <v>27.444375129235791</v>
      </c>
      <c r="Y5" s="22">
        <f>IF(O5&gt;0,O5,((P5*2.2046*S5)+(Q5+R5+T5)/G5)+V5+W5)</f>
        <v>27.882987232598683</v>
      </c>
      <c r="Z5" s="3">
        <f>Y5*F5</f>
        <v>524058.40286576474</v>
      </c>
      <c r="AA5" s="44">
        <v>43193</v>
      </c>
      <c r="AB5" s="3"/>
      <c r="AC5" s="119"/>
    </row>
    <row r="6" spans="1:31" x14ac:dyDescent="0.25">
      <c r="A6" s="123"/>
      <c r="B6" s="34" t="s">
        <v>328</v>
      </c>
      <c r="C6" t="s">
        <v>329</v>
      </c>
      <c r="D6" s="35" t="s">
        <v>329</v>
      </c>
      <c r="E6" t="s">
        <v>1021</v>
      </c>
      <c r="F6" s="36">
        <f>42059*0.4536</f>
        <v>19077.9624</v>
      </c>
      <c r="G6" s="38">
        <v>19081</v>
      </c>
      <c r="H6" s="38">
        <f>G6-F6</f>
        <v>3.0375999999996566</v>
      </c>
      <c r="I6" s="35" t="s">
        <v>2023</v>
      </c>
      <c r="J6" s="5" t="s">
        <v>1022</v>
      </c>
      <c r="K6" s="39">
        <v>43192</v>
      </c>
      <c r="L6" s="39">
        <v>43193</v>
      </c>
      <c r="M6" s="35" t="s">
        <v>355</v>
      </c>
      <c r="N6" s="35" t="s">
        <v>2016</v>
      </c>
      <c r="O6" s="22"/>
      <c r="P6" s="40">
        <f>0.5323+0.095</f>
        <v>0.62729999999999997</v>
      </c>
      <c r="Q6" s="111">
        <v>26000</v>
      </c>
      <c r="R6" s="120">
        <v>9500</v>
      </c>
      <c r="S6" s="45">
        <v>18.22</v>
      </c>
      <c r="T6" s="137">
        <f>X6*F6*0.005</f>
        <v>2592.4812223634849</v>
      </c>
      <c r="V6" s="22">
        <v>0.12</v>
      </c>
      <c r="W6" s="22">
        <v>0.3</v>
      </c>
      <c r="X6" s="22">
        <f>IF(O6&gt;0,O6,((P6*2.2046*S6)+(Q6+R6)/G6)+V6)</f>
        <v>27.177757959764978</v>
      </c>
      <c r="Y6" s="22">
        <f>IF(O6&gt;0,O6,((P6*2.2046*S6)+(Q6+R6+T6)/G6)+V6+W6)</f>
        <v>27.613625116746451</v>
      </c>
      <c r="Z6" s="3">
        <f>Y6*F6</f>
        <v>526811.70170498441</v>
      </c>
      <c r="AA6" s="44">
        <v>43203</v>
      </c>
      <c r="AB6" s="3"/>
      <c r="AC6" s="119"/>
    </row>
    <row r="7" spans="1:31" x14ac:dyDescent="0.25">
      <c r="A7" s="123"/>
      <c r="B7" s="34" t="s">
        <v>328</v>
      </c>
      <c r="C7" t="s">
        <v>336</v>
      </c>
      <c r="D7" s="35" t="s">
        <v>336</v>
      </c>
      <c r="E7" t="s">
        <v>1021</v>
      </c>
      <c r="F7" s="36">
        <f>41269*0.4536</f>
        <v>18719.618399999999</v>
      </c>
      <c r="G7" s="38">
        <v>18686.12</v>
      </c>
      <c r="H7" s="38">
        <f>G7-F7</f>
        <v>-33.498400000000402</v>
      </c>
      <c r="I7" s="35" t="s">
        <v>2024</v>
      </c>
      <c r="J7" s="5" t="s">
        <v>1022</v>
      </c>
      <c r="K7" s="39">
        <v>43192</v>
      </c>
      <c r="L7" s="39">
        <v>43193</v>
      </c>
      <c r="M7" s="35" t="s">
        <v>355</v>
      </c>
      <c r="N7" s="35" t="s">
        <v>2017</v>
      </c>
      <c r="O7" s="22"/>
      <c r="P7" s="40">
        <f>0.5248+0.095</f>
        <v>0.61980000000000002</v>
      </c>
      <c r="Q7" s="111">
        <v>26000</v>
      </c>
      <c r="R7" s="22">
        <v>9400</v>
      </c>
      <c r="S7" s="45">
        <v>18.46</v>
      </c>
      <c r="T7" s="137">
        <f>X7*F7*0.005</f>
        <v>2549.4625327268432</v>
      </c>
      <c r="V7" s="22">
        <v>0.12</v>
      </c>
      <c r="W7" s="22">
        <v>0.3</v>
      </c>
      <c r="X7" s="22">
        <f>IF(O7&gt;0,O7,((P7*2.2046*S7)+(Q7+R7)/G7)+V7)</f>
        <v>27.23840281623308</v>
      </c>
      <c r="Y7" s="22">
        <f>IF(O7&gt;0,O7,((P7*2.2046*S7)+(Q7+R7+T7)/G7)+V7+W7)</f>
        <v>27.674838980226827</v>
      </c>
      <c r="Z7" s="3">
        <f>Y7*F7</f>
        <v>518062.42499129131</v>
      </c>
      <c r="AA7" s="44">
        <v>43186</v>
      </c>
      <c r="AB7" s="3"/>
      <c r="AC7" s="119"/>
    </row>
    <row r="8" spans="1:31" x14ac:dyDescent="0.25">
      <c r="A8" s="123"/>
      <c r="B8" s="34" t="s">
        <v>340</v>
      </c>
      <c r="C8" t="s">
        <v>341</v>
      </c>
      <c r="D8" s="35" t="s">
        <v>1665</v>
      </c>
      <c r="E8">
        <v>199</v>
      </c>
      <c r="F8" s="36">
        <v>21765</v>
      </c>
      <c r="G8" s="38">
        <f>11360+6000</f>
        <v>17360</v>
      </c>
      <c r="H8" s="38">
        <f>G8-F8</f>
        <v>-4405</v>
      </c>
      <c r="I8" s="35" t="s">
        <v>2141</v>
      </c>
      <c r="K8" s="39"/>
      <c r="L8" s="39">
        <v>43193</v>
      </c>
      <c r="M8" s="35" t="s">
        <v>355</v>
      </c>
      <c r="O8" s="22">
        <v>28.5</v>
      </c>
      <c r="P8" s="40"/>
      <c r="Q8" s="47">
        <v>21300</v>
      </c>
      <c r="R8" s="22">
        <f>71*E8</f>
        <v>14129</v>
      </c>
      <c r="S8" s="43">
        <f>-38*E8</f>
        <v>-7562</v>
      </c>
      <c r="T8" s="137">
        <f t="shared" si="1"/>
        <v>4069.4312622407838</v>
      </c>
      <c r="U8" s="22">
        <f>E8*5</f>
        <v>995</v>
      </c>
      <c r="W8" s="22">
        <v>0.3</v>
      </c>
      <c r="X8" s="22">
        <f>((O8*F8)+Q8+R8+S8+U8)/G8</f>
        <v>37.394268433179725</v>
      </c>
      <c r="Y8" s="22">
        <f>((O8*F8)+Q8+R8+S8+T8+U8)/G8+W8</f>
        <v>37.928682676396356</v>
      </c>
      <c r="Z8" s="3">
        <f>Y8*G8</f>
        <v>658441.93126224075</v>
      </c>
      <c r="AA8" s="44">
        <v>43206</v>
      </c>
      <c r="AB8" s="3"/>
      <c r="AC8" s="119" t="s">
        <v>2146</v>
      </c>
    </row>
    <row r="9" spans="1:31" x14ac:dyDescent="0.25">
      <c r="A9" s="123"/>
      <c r="B9" s="34" t="s">
        <v>328</v>
      </c>
      <c r="C9" t="s">
        <v>336</v>
      </c>
      <c r="D9" s="35" t="s">
        <v>336</v>
      </c>
      <c r="E9" t="s">
        <v>1021</v>
      </c>
      <c r="F9" s="36">
        <f>41428*0.4536</f>
        <v>18791.7408</v>
      </c>
      <c r="G9" s="38">
        <v>18713.29</v>
      </c>
      <c r="H9" s="38">
        <f t="shared" si="0"/>
        <v>-78.450799999998708</v>
      </c>
      <c r="I9" s="35" t="s">
        <v>2025</v>
      </c>
      <c r="J9" s="5" t="s">
        <v>1089</v>
      </c>
      <c r="K9" s="39">
        <v>43193</v>
      </c>
      <c r="L9" s="39">
        <v>43194</v>
      </c>
      <c r="M9" s="35" t="s">
        <v>331</v>
      </c>
      <c r="N9" s="35" t="s">
        <v>2018</v>
      </c>
      <c r="O9" s="22"/>
      <c r="P9" s="40">
        <v>0.62624000000000002</v>
      </c>
      <c r="Q9" s="111">
        <v>26000</v>
      </c>
      <c r="R9" s="22">
        <v>9400</v>
      </c>
      <c r="S9" s="45">
        <v>18.46</v>
      </c>
      <c r="T9" s="137">
        <f t="shared" si="1"/>
        <v>2583.6520489829568</v>
      </c>
      <c r="V9" s="22">
        <v>0.12</v>
      </c>
      <c r="W9" s="22">
        <v>0.3</v>
      </c>
      <c r="X9" s="22">
        <f>IF(O9&gt;0,O9,((P9*2.2046*S9)+(Q9+R9)/G9)+V9)</f>
        <v>27.497740379464542</v>
      </c>
      <c r="Y9" s="22">
        <f>IF(O9&gt;0,O9,((P9*2.2046*S9)+(Q9+R9+T9)/G9)+V9+W9)</f>
        <v>27.935805468445846</v>
      </c>
      <c r="Z9" s="3">
        <f>Y9*F9</f>
        <v>524962.41540225688</v>
      </c>
      <c r="AA9" s="44">
        <v>43186</v>
      </c>
      <c r="AB9" s="3"/>
      <c r="AC9" s="119" t="s">
        <v>326</v>
      </c>
      <c r="AD9" s="40">
        <f>0.5323+0.095</f>
        <v>0.62729999999999997</v>
      </c>
      <c r="AE9" t="s">
        <v>2129</v>
      </c>
    </row>
    <row r="10" spans="1:31" x14ac:dyDescent="0.25">
      <c r="A10" s="123"/>
      <c r="B10" s="34" t="s">
        <v>340</v>
      </c>
      <c r="C10" t="s">
        <v>341</v>
      </c>
      <c r="D10" s="35" t="s">
        <v>1665</v>
      </c>
      <c r="E10">
        <v>201</v>
      </c>
      <c r="F10" s="36">
        <v>21380</v>
      </c>
      <c r="G10" s="38">
        <f>10940+5840</f>
        <v>16780</v>
      </c>
      <c r="H10" s="38">
        <f t="shared" si="0"/>
        <v>-4600</v>
      </c>
      <c r="I10" s="35" t="s">
        <v>2161</v>
      </c>
      <c r="K10" s="39"/>
      <c r="L10" s="39">
        <v>43194</v>
      </c>
      <c r="M10" s="35" t="s">
        <v>331</v>
      </c>
      <c r="O10" s="22">
        <v>28.5</v>
      </c>
      <c r="P10" s="40"/>
      <c r="Q10" s="47">
        <v>21300</v>
      </c>
      <c r="R10" s="22">
        <f>71*E10</f>
        <v>14271</v>
      </c>
      <c r="S10" s="43">
        <f>-38*E10</f>
        <v>-7638</v>
      </c>
      <c r="T10" s="137">
        <f t="shared" si="1"/>
        <v>4066.2007866507747</v>
      </c>
      <c r="U10" s="22">
        <f>E10*5</f>
        <v>1005</v>
      </c>
      <c r="W10" s="22">
        <v>0.2</v>
      </c>
      <c r="X10" s="22">
        <f>((O10*F10)+Q10+R10+S10+U10)/G10</f>
        <v>38.037425506555422</v>
      </c>
      <c r="Y10" s="22">
        <f>((O10*F10)+Q10+R10+S10+T10+U10)/G10+W10</f>
        <v>38.479749748906485</v>
      </c>
      <c r="Z10" s="3">
        <f>Y10*G10</f>
        <v>645690.20078665088</v>
      </c>
      <c r="AA10" s="44">
        <v>43207</v>
      </c>
      <c r="AB10" s="3"/>
      <c r="AC10" s="119" t="s">
        <v>2153</v>
      </c>
    </row>
    <row r="11" spans="1:31" x14ac:dyDescent="0.25">
      <c r="A11" s="123"/>
      <c r="B11" s="34" t="s">
        <v>328</v>
      </c>
      <c r="C11" s="35" t="s">
        <v>343</v>
      </c>
      <c r="D11" s="35" t="s">
        <v>343</v>
      </c>
      <c r="E11" t="s">
        <v>1040</v>
      </c>
      <c r="F11" s="36">
        <f>42544*0.4536</f>
        <v>19297.9584</v>
      </c>
      <c r="G11" s="38">
        <v>19216.03</v>
      </c>
      <c r="H11" s="38">
        <f t="shared" ref="H11:H17" si="2">G11-F11</f>
        <v>-81.928400000000693</v>
      </c>
      <c r="I11" s="35" t="s">
        <v>2026</v>
      </c>
      <c r="J11" s="5" t="s">
        <v>1022</v>
      </c>
      <c r="K11" s="39">
        <v>43194</v>
      </c>
      <c r="L11" s="39">
        <v>43195</v>
      </c>
      <c r="M11" s="35" t="s">
        <v>342</v>
      </c>
      <c r="N11" s="35" t="s">
        <v>2019</v>
      </c>
      <c r="O11" s="22"/>
      <c r="P11" s="40">
        <f>0.5273+0.105</f>
        <v>0.63229999999999997</v>
      </c>
      <c r="Q11" s="111">
        <v>26000</v>
      </c>
      <c r="R11" s="22">
        <v>9400</v>
      </c>
      <c r="S11" s="45">
        <v>18.46</v>
      </c>
      <c r="T11" s="137">
        <f>X11*F11*0.005</f>
        <v>2672.2724321585974</v>
      </c>
      <c r="V11" s="22">
        <v>0.12</v>
      </c>
      <c r="W11" s="22">
        <v>0.3</v>
      </c>
      <c r="X11" s="22">
        <f>IF(O11&gt;0,O11,((P11*2.2046*S11)+(Q11+R11)/G11)+V11)</f>
        <v>27.694871931723075</v>
      </c>
      <c r="Y11" s="22">
        <f>IF(O11&gt;0,O11,((P11*2.2046*S11)+(Q11+R11+T11)/G11)+V11+W11)</f>
        <v>28.133936682983276</v>
      </c>
      <c r="Z11" s="3">
        <f>Y11*F11</f>
        <v>542927.53973644518</v>
      </c>
      <c r="AA11" s="44">
        <v>43187</v>
      </c>
      <c r="AB11" s="3"/>
      <c r="AC11" s="119"/>
    </row>
    <row r="12" spans="1:31" x14ac:dyDescent="0.25">
      <c r="A12" s="123"/>
      <c r="B12" s="34" t="s">
        <v>340</v>
      </c>
      <c r="C12" t="s">
        <v>341</v>
      </c>
      <c r="D12" s="35" t="s">
        <v>1048</v>
      </c>
      <c r="E12">
        <v>250</v>
      </c>
      <c r="F12" s="36">
        <v>27230</v>
      </c>
      <c r="G12" s="38">
        <v>21200</v>
      </c>
      <c r="H12" s="38">
        <f t="shared" si="2"/>
        <v>-6030</v>
      </c>
      <c r="I12" s="35" t="s">
        <v>2151</v>
      </c>
      <c r="K12" s="39"/>
      <c r="L12" s="39">
        <v>43195</v>
      </c>
      <c r="M12" s="35" t="s">
        <v>342</v>
      </c>
      <c r="O12" s="22">
        <v>28.5</v>
      </c>
      <c r="P12" s="40"/>
      <c r="Q12" s="47">
        <v>21300</v>
      </c>
      <c r="R12" s="22">
        <f>71*E12</f>
        <v>17750</v>
      </c>
      <c r="S12" s="43">
        <f>-38*E12</f>
        <v>-9500</v>
      </c>
      <c r="T12" s="137">
        <f>X12*F12*0.0045</f>
        <v>4663.5838408018863</v>
      </c>
      <c r="U12" s="22">
        <f>E12*5</f>
        <v>1250</v>
      </c>
      <c r="W12" s="22">
        <v>0.3</v>
      </c>
      <c r="X12" s="22">
        <f>((O12*F12)+Q12+R12+S12+U12)/G12</f>
        <v>38.05919811320755</v>
      </c>
      <c r="Y12" s="22">
        <f>((O12*F12)+Q12+R12+S12+T12+U12)/G12+W12</f>
        <v>38.579178483056687</v>
      </c>
      <c r="Z12" s="3">
        <f>Y12*G12</f>
        <v>817878.58384080173</v>
      </c>
      <c r="AA12" s="44">
        <v>43208</v>
      </c>
      <c r="AB12" s="3"/>
      <c r="AC12" s="119"/>
    </row>
    <row r="13" spans="1:31" x14ac:dyDescent="0.25">
      <c r="A13" s="123"/>
      <c r="B13" s="34" t="s">
        <v>340</v>
      </c>
      <c r="C13" t="s">
        <v>341</v>
      </c>
      <c r="D13" s="35" t="s">
        <v>2127</v>
      </c>
      <c r="E13">
        <v>129</v>
      </c>
      <c r="F13" s="36">
        <v>13910</v>
      </c>
      <c r="G13" s="38">
        <v>10980</v>
      </c>
      <c r="H13" s="38">
        <f t="shared" si="2"/>
        <v>-2930</v>
      </c>
      <c r="I13" s="35" t="s">
        <v>2152</v>
      </c>
      <c r="K13" s="39"/>
      <c r="L13" s="39">
        <v>43195</v>
      </c>
      <c r="M13" s="35" t="s">
        <v>342</v>
      </c>
      <c r="O13" s="22">
        <v>28.5</v>
      </c>
      <c r="P13" s="40"/>
      <c r="Q13" s="111">
        <v>16900</v>
      </c>
      <c r="R13" s="22">
        <f>71*E13</f>
        <v>9159</v>
      </c>
      <c r="S13" s="43">
        <f>-38*E13</f>
        <v>-4902</v>
      </c>
      <c r="T13" s="137">
        <f>X13*F13*0.0045</f>
        <v>2384.2937172131146</v>
      </c>
      <c r="U13" s="22">
        <f>E13*5</f>
        <v>645</v>
      </c>
      <c r="W13" s="22">
        <v>0.3</v>
      </c>
      <c r="X13" s="22">
        <f>((O13*F13)+Q13+R13+S13+U13)/G13</f>
        <v>38.0908014571949</v>
      </c>
      <c r="Y13" s="22">
        <f>((O13*F13)+Q13+R13+S13+T13+U13)/G13+W13</f>
        <v>38.607950247469311</v>
      </c>
      <c r="Z13" s="3">
        <f>Y13*G13</f>
        <v>423915.29371721303</v>
      </c>
      <c r="AA13" s="44">
        <v>43208</v>
      </c>
      <c r="AB13" s="3">
        <v>38.590000000000003</v>
      </c>
      <c r="AC13" s="119" t="s">
        <v>2167</v>
      </c>
    </row>
    <row r="14" spans="1:31" x14ac:dyDescent="0.25">
      <c r="A14" s="123"/>
      <c r="B14" s="34" t="s">
        <v>328</v>
      </c>
      <c r="C14" s="35" t="s">
        <v>343</v>
      </c>
      <c r="D14" s="35" t="s">
        <v>343</v>
      </c>
      <c r="E14" t="s">
        <v>1040</v>
      </c>
      <c r="F14" s="36">
        <f>42132*0.4536</f>
        <v>19111.075199999999</v>
      </c>
      <c r="G14" s="38">
        <v>19058.099999999999</v>
      </c>
      <c r="H14" s="38">
        <f t="shared" si="2"/>
        <v>-52.975200000000768</v>
      </c>
      <c r="I14" t="s">
        <v>2027</v>
      </c>
      <c r="J14" s="5" t="s">
        <v>1022</v>
      </c>
      <c r="K14" s="39">
        <v>43195</v>
      </c>
      <c r="L14" s="39">
        <v>43196</v>
      </c>
      <c r="M14" s="35" t="s">
        <v>345</v>
      </c>
      <c r="N14" s="35" t="s">
        <v>2020</v>
      </c>
      <c r="O14" s="22"/>
      <c r="P14" s="40">
        <f>0.5241+0.105</f>
        <v>0.62909999999999999</v>
      </c>
      <c r="Q14" s="111">
        <v>26000</v>
      </c>
      <c r="R14" s="22">
        <v>9400</v>
      </c>
      <c r="S14" s="45">
        <v>18.46</v>
      </c>
      <c r="T14" s="137">
        <f>X14*F14*0.005</f>
        <v>2635.4084578077563</v>
      </c>
      <c r="V14" s="22">
        <v>0.12</v>
      </c>
      <c r="W14" s="22">
        <v>0.3</v>
      </c>
      <c r="X14" s="22">
        <f>IF(O14&gt;0,O14,((P14*2.2046*S14)+(Q14+R14)/G14)+V14)</f>
        <v>27.579907778372998</v>
      </c>
      <c r="Y14" s="22">
        <f>IF(O14&gt;0,O14,((P14*2.2046*S14)+(Q14+R14+T14)/G14)+V14+W14)</f>
        <v>28.018190632267551</v>
      </c>
      <c r="Z14" s="3">
        <f>Y14*F14</f>
        <v>535457.74814120075</v>
      </c>
      <c r="AA14" s="44">
        <v>43187</v>
      </c>
      <c r="AB14" s="3"/>
      <c r="AC14" s="119"/>
    </row>
    <row r="15" spans="1:31" x14ac:dyDescent="0.25">
      <c r="A15" s="123"/>
      <c r="B15" s="34" t="s">
        <v>340</v>
      </c>
      <c r="C15" t="s">
        <v>341</v>
      </c>
      <c r="D15" s="35" t="s">
        <v>1047</v>
      </c>
      <c r="E15">
        <v>249</v>
      </c>
      <c r="F15" s="36">
        <v>30010</v>
      </c>
      <c r="G15" s="38">
        <v>23470</v>
      </c>
      <c r="H15" s="38">
        <f t="shared" si="2"/>
        <v>-6540</v>
      </c>
      <c r="I15" s="35" t="s">
        <v>2166</v>
      </c>
      <c r="K15" s="39"/>
      <c r="L15" s="39">
        <v>43196</v>
      </c>
      <c r="M15" s="35" t="s">
        <v>345</v>
      </c>
      <c r="O15" s="22">
        <v>28.5</v>
      </c>
      <c r="P15" s="40"/>
      <c r="Q15" s="47">
        <v>21300</v>
      </c>
      <c r="R15" s="22">
        <f>71*E15</f>
        <v>17679</v>
      </c>
      <c r="S15" s="43">
        <f>-38*E15</f>
        <v>-9462</v>
      </c>
      <c r="T15" s="137">
        <f>X15*F15*0.0045</f>
        <v>5098.262339795484</v>
      </c>
      <c r="U15" s="22">
        <f>E15*5</f>
        <v>1245</v>
      </c>
      <c r="W15" s="22">
        <v>0.3</v>
      </c>
      <c r="X15" s="22">
        <f>((O15*F15)+Q15+R15+S15+U15)/G15</f>
        <v>37.752322113336177</v>
      </c>
      <c r="Y15" s="22">
        <f>((O15*F15)+Q15+R15+S15+T15+U15)/G15+W15</f>
        <v>38.269546754997677</v>
      </c>
      <c r="Z15" s="3">
        <f>Y15*G15</f>
        <v>898186.26233979547</v>
      </c>
      <c r="AA15" s="44">
        <v>43209</v>
      </c>
      <c r="AB15" s="3"/>
      <c r="AC15" s="119"/>
    </row>
    <row r="16" spans="1:31" x14ac:dyDescent="0.25">
      <c r="A16" s="123"/>
      <c r="B16" s="34" t="s">
        <v>340</v>
      </c>
      <c r="C16" t="s">
        <v>341</v>
      </c>
      <c r="D16" s="35" t="s">
        <v>1102</v>
      </c>
      <c r="E16">
        <v>129</v>
      </c>
      <c r="F16" s="36">
        <v>15335</v>
      </c>
      <c r="G16" s="38">
        <v>12190</v>
      </c>
      <c r="H16" s="38">
        <f t="shared" si="2"/>
        <v>-3145</v>
      </c>
      <c r="I16" s="35" t="s">
        <v>2173</v>
      </c>
      <c r="K16" s="39"/>
      <c r="L16" s="39">
        <v>43196</v>
      </c>
      <c r="M16" s="35" t="s">
        <v>345</v>
      </c>
      <c r="O16" s="22">
        <v>28.5</v>
      </c>
      <c r="P16" s="40"/>
      <c r="Q16" s="111">
        <v>16900</v>
      </c>
      <c r="R16" s="22">
        <f>71*E16</f>
        <v>9159</v>
      </c>
      <c r="S16" s="43">
        <f>-38*E16</f>
        <v>-4902</v>
      </c>
      <c r="T16" s="137">
        <f>X16*F16*0.0045</f>
        <v>2597.5436317678423</v>
      </c>
      <c r="U16" s="22">
        <f>E16*5</f>
        <v>645</v>
      </c>
      <c r="W16" s="22">
        <v>0.3</v>
      </c>
      <c r="X16" s="22">
        <f>((O16*F16)+Q16+R16+S16+U16)/G16</f>
        <v>37.64146841673503</v>
      </c>
      <c r="Y16" s="22">
        <f>((O16*F16)+Q16+R16+S16+T16+U16)/G16+W16</f>
        <v>38.154556491531402</v>
      </c>
      <c r="Z16" s="3">
        <f>Y16*G16</f>
        <v>465104.0436317678</v>
      </c>
      <c r="AA16" s="44">
        <v>43209</v>
      </c>
      <c r="AB16" s="3"/>
      <c r="AC16" s="119" t="s">
        <v>2175</v>
      </c>
    </row>
    <row r="17" spans="1:35" x14ac:dyDescent="0.25">
      <c r="A17" s="123"/>
      <c r="B17" s="34" t="s">
        <v>328</v>
      </c>
      <c r="C17" t="s">
        <v>329</v>
      </c>
      <c r="D17" s="35" t="s">
        <v>329</v>
      </c>
      <c r="E17" t="s">
        <v>1021</v>
      </c>
      <c r="F17" s="36">
        <f>41060*0.4536</f>
        <v>18624.815999999999</v>
      </c>
      <c r="G17" s="38">
        <v>18567.75</v>
      </c>
      <c r="H17" s="38">
        <f t="shared" si="2"/>
        <v>-57.065999999998894</v>
      </c>
      <c r="I17" s="35" t="s">
        <v>2028</v>
      </c>
      <c r="J17" s="5" t="s">
        <v>1022</v>
      </c>
      <c r="K17" s="39">
        <v>43196</v>
      </c>
      <c r="L17" s="39">
        <v>43197</v>
      </c>
      <c r="M17" s="35" t="s">
        <v>348</v>
      </c>
      <c r="N17" s="35" t="s">
        <v>2021</v>
      </c>
      <c r="O17" s="22"/>
      <c r="P17" s="40">
        <f>0.5241+0.095</f>
        <v>0.61909999999999998</v>
      </c>
      <c r="Q17" s="111">
        <v>26000</v>
      </c>
      <c r="R17" s="120">
        <v>9500</v>
      </c>
      <c r="S17" s="45">
        <v>18.186</v>
      </c>
      <c r="T17" s="137">
        <f>X17*F17*0.005</f>
        <v>2500.6985489026802</v>
      </c>
      <c r="V17" s="22">
        <v>0.12</v>
      </c>
      <c r="W17" s="22">
        <v>0.3</v>
      </c>
      <c r="X17" s="22">
        <f>IF(O17&gt;0,O17,((P17*2.2046*S17)+(Q17+R17)/G17)+V17)</f>
        <v>26.85340407016832</v>
      </c>
      <c r="Y17" s="22">
        <f>IF(O17&gt;0,O17,((P17*2.2046*S17)+(Q17+R17+T17)/G17)+V17+W17)</f>
        <v>27.288083745891157</v>
      </c>
      <c r="Z17" s="3">
        <f>Y17*F17</f>
        <v>508235.53875981353</v>
      </c>
      <c r="AA17" s="44">
        <v>43209</v>
      </c>
      <c r="AB17" s="3"/>
      <c r="AC17" s="119"/>
    </row>
    <row r="18" spans="1:35" ht="15.75" thickBot="1" x14ac:dyDescent="0.3">
      <c r="A18" s="124"/>
      <c r="B18" s="49"/>
      <c r="C18" s="23"/>
      <c r="D18" s="23"/>
      <c r="E18" s="23"/>
      <c r="F18" s="50"/>
      <c r="G18" s="50"/>
      <c r="H18" s="50"/>
      <c r="I18" s="26"/>
      <c r="J18" s="23"/>
      <c r="K18" s="27"/>
      <c r="L18" s="27"/>
      <c r="M18" s="23"/>
      <c r="N18" s="23"/>
      <c r="O18" s="28"/>
      <c r="P18" s="29"/>
      <c r="Q18" s="28"/>
      <c r="R18" s="28"/>
      <c r="S18" s="28"/>
      <c r="T18" s="28"/>
      <c r="U18" s="28"/>
      <c r="V18" s="28"/>
      <c r="W18" s="28"/>
      <c r="X18" s="28"/>
      <c r="Y18" s="28"/>
      <c r="Z18" s="32"/>
      <c r="AA18" s="51"/>
      <c r="AB18" s="3"/>
      <c r="AC18" s="119"/>
    </row>
    <row r="19" spans="1:35" ht="15.75" thickTop="1" x14ac:dyDescent="0.25">
      <c r="A19" s="162"/>
      <c r="B19" s="53" t="s">
        <v>340</v>
      </c>
      <c r="C19" s="53" t="s">
        <v>341</v>
      </c>
      <c r="D19" s="54" t="s">
        <v>1047</v>
      </c>
      <c r="E19" s="53">
        <f>249+10</f>
        <v>259</v>
      </c>
      <c r="F19" s="55">
        <f>26500+1190</f>
        <v>27690</v>
      </c>
      <c r="G19" s="56">
        <f>10920+10880</f>
        <v>21800</v>
      </c>
      <c r="H19" s="121">
        <f t="shared" ref="H19:H40" si="3">G19-F19</f>
        <v>-5890</v>
      </c>
      <c r="I19" s="57" t="s">
        <v>2205</v>
      </c>
      <c r="J19" s="53"/>
      <c r="K19" s="58"/>
      <c r="L19" s="58">
        <v>43198</v>
      </c>
      <c r="M19" s="54" t="s">
        <v>349</v>
      </c>
      <c r="N19" s="53"/>
      <c r="O19" s="59">
        <v>28</v>
      </c>
      <c r="P19" s="60"/>
      <c r="Q19" s="61">
        <v>21300</v>
      </c>
      <c r="R19" s="22">
        <f>71*E19</f>
        <v>18389</v>
      </c>
      <c r="S19" s="43">
        <f>-38*E19</f>
        <v>-9842</v>
      </c>
      <c r="T19" s="137">
        <f>X19*F19*0.0045</f>
        <v>4609.5962160550453</v>
      </c>
      <c r="U19" s="59">
        <f>E19*5</f>
        <v>1295</v>
      </c>
      <c r="V19" s="53"/>
      <c r="W19" s="59">
        <v>0.3</v>
      </c>
      <c r="X19" s="59">
        <f>((O19*F19)+Q19+R19+S19+U19)/G19</f>
        <v>36.993669724770641</v>
      </c>
      <c r="Y19" s="63">
        <f>((O19*F19)+Q19+R19+S19+T19+U19)/G19+W19</f>
        <v>37.505119092479589</v>
      </c>
      <c r="Z19" s="63">
        <f>Y19*G19</f>
        <v>817611.59621605498</v>
      </c>
      <c r="AA19" s="64">
        <v>43213</v>
      </c>
      <c r="AB19" s="3"/>
      <c r="AC19" s="3" t="s">
        <v>2206</v>
      </c>
    </row>
    <row r="20" spans="1:35" x14ac:dyDescent="0.25">
      <c r="A20" s="163"/>
      <c r="B20" s="34" t="s">
        <v>340</v>
      </c>
      <c r="C20" t="s">
        <v>44</v>
      </c>
      <c r="D20" s="35" t="s">
        <v>2048</v>
      </c>
      <c r="E20">
        <v>249</v>
      </c>
      <c r="F20" s="36">
        <v>24922</v>
      </c>
      <c r="G20" s="38">
        <f>17700+6890</f>
        <v>24590</v>
      </c>
      <c r="H20" s="38">
        <f t="shared" si="3"/>
        <v>-332</v>
      </c>
      <c r="I20" s="35" t="s">
        <v>2290</v>
      </c>
      <c r="K20" s="39"/>
      <c r="L20" s="39">
        <v>43199</v>
      </c>
      <c r="M20" s="35" t="s">
        <v>350</v>
      </c>
      <c r="O20" s="22">
        <v>36.299999999999997</v>
      </c>
      <c r="P20" s="40"/>
      <c r="Q20" s="47">
        <v>21300</v>
      </c>
      <c r="R20" s="22"/>
      <c r="S20" s="43"/>
      <c r="T20" s="137">
        <f>X20*F20*0.0045</f>
        <v>4228.7953650426998</v>
      </c>
      <c r="U20" s="22">
        <f>E20*5</f>
        <v>1245</v>
      </c>
      <c r="W20" s="22">
        <v>0.1</v>
      </c>
      <c r="X20" s="22">
        <f>((O20*F20)+Q20+R20+S20+U20)/G20</f>
        <v>37.706937779585196</v>
      </c>
      <c r="Y20" s="22">
        <f>((O20*F20)+Q20+R20+S20+T20+U20)/G20+W20</f>
        <v>37.978909937577988</v>
      </c>
      <c r="Z20" s="3">
        <f>Y20*G20</f>
        <v>933901.39536504273</v>
      </c>
      <c r="AA20" s="44">
        <v>43208</v>
      </c>
      <c r="AB20" s="3"/>
      <c r="AC20" s="119" t="s">
        <v>2207</v>
      </c>
      <c r="AE20" s="5"/>
      <c r="AF20" s="38">
        <f>F20</f>
        <v>24922</v>
      </c>
      <c r="AG20">
        <v>35.9</v>
      </c>
      <c r="AH20">
        <f>(O20-AG20)/2</f>
        <v>0.19999999999999929</v>
      </c>
      <c r="AI20">
        <f>AH20*AF20</f>
        <v>4984.3999999999824</v>
      </c>
    </row>
    <row r="21" spans="1:35" x14ac:dyDescent="0.25">
      <c r="A21" s="163"/>
      <c r="B21" s="34" t="s">
        <v>328</v>
      </c>
      <c r="C21" s="35" t="s">
        <v>343</v>
      </c>
      <c r="D21" s="35" t="s">
        <v>1440</v>
      </c>
      <c r="E21" t="s">
        <v>1040</v>
      </c>
      <c r="F21" s="36">
        <v>19083.98</v>
      </c>
      <c r="G21" s="38">
        <v>18999.259999999998</v>
      </c>
      <c r="H21" s="38">
        <f t="shared" si="3"/>
        <v>-84.720000000001164</v>
      </c>
      <c r="I21" s="35" t="s">
        <v>2168</v>
      </c>
      <c r="K21" s="39"/>
      <c r="L21" s="39">
        <v>43199</v>
      </c>
      <c r="M21" s="35" t="s">
        <v>350</v>
      </c>
      <c r="O21" s="22">
        <v>27.5</v>
      </c>
      <c r="P21" s="40"/>
      <c r="Q21" s="22"/>
      <c r="R21" s="22"/>
      <c r="S21" s="43"/>
      <c r="T21" s="43"/>
      <c r="U21" s="22"/>
      <c r="W21" s="22"/>
      <c r="X21" s="22">
        <f t="shared" ref="X21:X22" si="4">IF(O21&gt;0,O21,((P21*2.2046*S21)+(Q21+R21)/G21)+V21)</f>
        <v>27.5</v>
      </c>
      <c r="Y21" s="22">
        <f t="shared" ref="Y21:Y22" si="5">IF(O21&gt;0,O21,((P21*2.2046*S21)+(Q21+R21+T21)/G21)+V21+W21)</f>
        <v>27.5</v>
      </c>
      <c r="Z21" s="3">
        <f t="shared" ref="Z21:Z22" si="6">Y21*F21</f>
        <v>524809.44999999995</v>
      </c>
      <c r="AA21" s="44">
        <v>43212</v>
      </c>
      <c r="AB21" s="3"/>
      <c r="AC21" s="119"/>
    </row>
    <row r="22" spans="1:35" x14ac:dyDescent="0.25">
      <c r="A22" s="163"/>
      <c r="B22" s="34" t="s">
        <v>2158</v>
      </c>
      <c r="C22" t="s">
        <v>1349</v>
      </c>
      <c r="D22" s="35" t="s">
        <v>1440</v>
      </c>
      <c r="E22" t="s">
        <v>2349</v>
      </c>
      <c r="F22" s="36">
        <v>8415.48</v>
      </c>
      <c r="G22" s="38">
        <v>8415.48</v>
      </c>
      <c r="H22" s="38">
        <f t="shared" si="3"/>
        <v>0</v>
      </c>
      <c r="I22" s="35" t="s">
        <v>2350</v>
      </c>
      <c r="K22" s="39"/>
      <c r="L22" s="39">
        <v>43199</v>
      </c>
      <c r="M22" s="35" t="s">
        <v>350</v>
      </c>
      <c r="O22" s="22">
        <v>87</v>
      </c>
      <c r="P22" s="40"/>
      <c r="Q22" s="22"/>
      <c r="R22" s="22"/>
      <c r="S22" s="43"/>
      <c r="T22" s="43"/>
      <c r="U22" s="22"/>
      <c r="W22" s="22"/>
      <c r="X22" s="22">
        <f t="shared" si="4"/>
        <v>87</v>
      </c>
      <c r="Y22" s="22">
        <f t="shared" si="5"/>
        <v>87</v>
      </c>
      <c r="Z22" s="3">
        <f t="shared" si="6"/>
        <v>732146.76</v>
      </c>
      <c r="AA22" s="44">
        <v>43220</v>
      </c>
      <c r="AB22" s="3"/>
      <c r="AC22" s="119"/>
    </row>
    <row r="23" spans="1:35" x14ac:dyDescent="0.25">
      <c r="A23" s="163"/>
      <c r="B23" s="34" t="s">
        <v>351</v>
      </c>
      <c r="C23" t="s">
        <v>1938</v>
      </c>
      <c r="D23" s="35" t="s">
        <v>1065</v>
      </c>
      <c r="E23" t="s">
        <v>2316</v>
      </c>
      <c r="F23" s="36">
        <v>18670.18</v>
      </c>
      <c r="G23" s="38">
        <v>18670.18</v>
      </c>
      <c r="H23" s="38">
        <f t="shared" si="3"/>
        <v>0</v>
      </c>
      <c r="I23" s="35" t="s">
        <v>2318</v>
      </c>
      <c r="K23" s="39"/>
      <c r="L23" s="39">
        <v>43199</v>
      </c>
      <c r="M23" s="35" t="s">
        <v>350</v>
      </c>
      <c r="O23" s="22">
        <v>35.5</v>
      </c>
      <c r="P23" s="40"/>
      <c r="Q23" s="22"/>
      <c r="R23" s="22"/>
      <c r="S23" s="43"/>
      <c r="T23" s="43"/>
      <c r="U23" s="22"/>
      <c r="W23" s="22"/>
      <c r="X23" s="22">
        <f t="shared" ref="X23" si="7">IF(O23&gt;0,O23,((P23*2.2046*S23)+(Q23+R23)/G23)+V23)</f>
        <v>35.5</v>
      </c>
      <c r="Y23" s="22">
        <f t="shared" ref="Y23" si="8">IF(O23&gt;0,O23,((P23*2.2046*S23)+(Q23+R23+T23)/G23)+V23+W23)</f>
        <v>35.5</v>
      </c>
      <c r="Z23" s="3">
        <f t="shared" ref="Z23" si="9">Y23*F23</f>
        <v>662791.39</v>
      </c>
      <c r="AA23" s="44">
        <v>43207</v>
      </c>
      <c r="AB23" s="3"/>
      <c r="AC23" s="119"/>
    </row>
    <row r="24" spans="1:35" x14ac:dyDescent="0.25">
      <c r="A24" s="163"/>
      <c r="B24" s="34" t="s">
        <v>328</v>
      </c>
      <c r="C24" t="s">
        <v>329</v>
      </c>
      <c r="D24" s="35" t="s">
        <v>329</v>
      </c>
      <c r="E24" t="s">
        <v>1021</v>
      </c>
      <c r="F24" s="36">
        <f>41909*0.4536</f>
        <v>19009.922399999999</v>
      </c>
      <c r="G24" s="38">
        <v>19013.95</v>
      </c>
      <c r="H24" s="38">
        <f t="shared" si="3"/>
        <v>4.0276000000012573</v>
      </c>
      <c r="I24" s="35" t="s">
        <v>2154</v>
      </c>
      <c r="J24" s="5" t="s">
        <v>1022</v>
      </c>
      <c r="K24" s="39">
        <v>43199</v>
      </c>
      <c r="L24" s="39">
        <v>43200</v>
      </c>
      <c r="M24" s="35" t="s">
        <v>355</v>
      </c>
      <c r="N24" s="35" t="s">
        <v>2132</v>
      </c>
      <c r="O24" s="22"/>
      <c r="P24" s="40">
        <f>0.5393+0.095</f>
        <v>0.63429999999999997</v>
      </c>
      <c r="Q24" s="111">
        <v>26000</v>
      </c>
      <c r="R24" s="120">
        <v>9500</v>
      </c>
      <c r="S24" s="45">
        <v>18.632999999999999</v>
      </c>
      <c r="T24" s="137">
        <f t="shared" ref="T24:T32" si="10">X24*F24*0.005</f>
        <v>2665.4784953236181</v>
      </c>
      <c r="V24" s="22">
        <v>0.12</v>
      </c>
      <c r="W24" s="22">
        <v>0.3</v>
      </c>
      <c r="X24" s="22">
        <f>IF(O24&gt;0,O24,((P24*2.2046*S24)+(Q24+R24)/G24)+V24)</f>
        <v>28.043023419428771</v>
      </c>
      <c r="Y24" s="22">
        <f>IF(O24&gt;0,O24,((P24*2.2046*S24)+(Q24+R24+T24)/G24)+V24+W24)</f>
        <v>28.483208835679662</v>
      </c>
      <c r="Z24" s="3">
        <f>Y24*F24</f>
        <v>541463.58966926474</v>
      </c>
      <c r="AA24" s="44">
        <v>43210</v>
      </c>
      <c r="AB24" s="3"/>
      <c r="AC24" s="119"/>
    </row>
    <row r="25" spans="1:35" x14ac:dyDescent="0.25">
      <c r="A25" s="163"/>
      <c r="B25" s="34" t="s">
        <v>328</v>
      </c>
      <c r="C25" t="s">
        <v>336</v>
      </c>
      <c r="D25" s="35" t="s">
        <v>336</v>
      </c>
      <c r="E25" t="s">
        <v>1021</v>
      </c>
      <c r="F25" s="36">
        <f>41381*0.4536</f>
        <v>18770.421600000001</v>
      </c>
      <c r="G25" s="38">
        <v>18721.73</v>
      </c>
      <c r="H25" s="38">
        <f t="shared" si="3"/>
        <v>-48.691600000001927</v>
      </c>
      <c r="I25" s="35">
        <v>43772</v>
      </c>
      <c r="J25" s="5" t="s">
        <v>1022</v>
      </c>
      <c r="K25" s="39">
        <v>43199</v>
      </c>
      <c r="L25" s="39">
        <v>43200</v>
      </c>
      <c r="M25" s="35" t="s">
        <v>355</v>
      </c>
      <c r="N25" s="35" t="s">
        <v>2133</v>
      </c>
      <c r="O25" s="22"/>
      <c r="P25" s="40">
        <f>0.5463+0.095</f>
        <v>0.64129999999999998</v>
      </c>
      <c r="Q25" s="111">
        <v>26000</v>
      </c>
      <c r="R25" s="22">
        <v>9400</v>
      </c>
      <c r="S25" s="45">
        <v>18.3</v>
      </c>
      <c r="T25" s="137">
        <f t="shared" si="10"/>
        <v>2616.9321546383644</v>
      </c>
      <c r="V25" s="22">
        <v>0.12</v>
      </c>
      <c r="W25" s="22">
        <v>0.3</v>
      </c>
      <c r="X25" s="22">
        <f>IF(O25&gt;0,O25,((P25*2.2046*S25)+(Q25+R25)/G25)+V25)</f>
        <v>27.883573532928683</v>
      </c>
      <c r="Y25" s="22">
        <f>IF(O25&gt;0,O25,((P25*2.2046*S25)+(Q25+R25+T25)/G25)+V25+W25)</f>
        <v>28.323353999511543</v>
      </c>
      <c r="Z25" s="3">
        <f>Y25*F25</f>
        <v>531641.29569687787</v>
      </c>
      <c r="AA25" s="44">
        <v>43193</v>
      </c>
      <c r="AB25" s="3"/>
      <c r="AC25" s="119"/>
    </row>
    <row r="26" spans="1:35" x14ac:dyDescent="0.25">
      <c r="A26" s="163"/>
      <c r="B26" s="34" t="s">
        <v>340</v>
      </c>
      <c r="C26" t="s">
        <v>341</v>
      </c>
      <c r="D26" s="35" t="s">
        <v>1244</v>
      </c>
      <c r="E26">
        <v>200</v>
      </c>
      <c r="F26" s="36">
        <v>23390</v>
      </c>
      <c r="G26" s="38">
        <f>11840+6430</f>
        <v>18270</v>
      </c>
      <c r="H26" s="38">
        <f t="shared" si="3"/>
        <v>-5120</v>
      </c>
      <c r="I26" t="s">
        <v>2223</v>
      </c>
      <c r="K26" s="39"/>
      <c r="L26" s="39">
        <v>43200</v>
      </c>
      <c r="M26" s="35" t="s">
        <v>355</v>
      </c>
      <c r="O26" s="22">
        <v>28</v>
      </c>
      <c r="P26" s="40"/>
      <c r="Q26" s="47">
        <v>21300</v>
      </c>
      <c r="R26" s="22">
        <f>71*E26</f>
        <v>14200</v>
      </c>
      <c r="S26" s="43">
        <f>-38*E26</f>
        <v>-7600</v>
      </c>
      <c r="T26" s="137">
        <f t="shared" si="10"/>
        <v>4377.2714285714292</v>
      </c>
      <c r="U26" s="22">
        <f>E26*5</f>
        <v>1000</v>
      </c>
      <c r="W26" s="22">
        <v>0.3</v>
      </c>
      <c r="X26" s="22">
        <f>((O26*F26)+Q26+R26+S26+U26)/G26</f>
        <v>37.428571428571431</v>
      </c>
      <c r="Y26" s="22">
        <f>((O26*F26)+Q26+R26+S26+T26+U26)/G26+W26</f>
        <v>37.968159355696301</v>
      </c>
      <c r="Z26" s="3">
        <f>Y26*G26</f>
        <v>693678.27142857143</v>
      </c>
      <c r="AA26" s="44">
        <v>43213</v>
      </c>
      <c r="AB26" s="3"/>
      <c r="AC26" s="119" t="s">
        <v>2225</v>
      </c>
    </row>
    <row r="27" spans="1:35" x14ac:dyDescent="0.25">
      <c r="A27" s="163"/>
      <c r="B27" s="34" t="s">
        <v>2213</v>
      </c>
      <c r="C27" t="s">
        <v>2214</v>
      </c>
      <c r="D27" s="35" t="s">
        <v>1014</v>
      </c>
      <c r="E27" t="s">
        <v>1207</v>
      </c>
      <c r="F27" s="36">
        <v>1003.34</v>
      </c>
      <c r="G27" s="38">
        <v>1003.34</v>
      </c>
      <c r="H27" s="38">
        <f t="shared" si="3"/>
        <v>0</v>
      </c>
      <c r="I27" s="35" t="s">
        <v>2358</v>
      </c>
      <c r="K27" s="39"/>
      <c r="L27" s="39">
        <v>43200</v>
      </c>
      <c r="M27" s="35" t="s">
        <v>355</v>
      </c>
      <c r="O27" s="22">
        <v>54</v>
      </c>
      <c r="P27" s="40"/>
      <c r="Q27" s="22"/>
      <c r="R27" s="22"/>
      <c r="S27" s="43"/>
      <c r="T27" s="43"/>
      <c r="U27" s="22"/>
      <c r="W27" s="22"/>
      <c r="X27" s="22">
        <f>IF(O27&gt;0,O27,((P27*2.2046*S27)+(Q27+R27)/G27)+V27)</f>
        <v>54</v>
      </c>
      <c r="Y27" s="22">
        <f>IF(O27&gt;0,O27,((P27*2.2046*S27)+(Q27+R27+T27)/G27)+V27+W27)</f>
        <v>54</v>
      </c>
      <c r="Z27" s="3">
        <f>Y27*F27</f>
        <v>54180.36</v>
      </c>
      <c r="AA27" s="44">
        <v>43200</v>
      </c>
      <c r="AB27" s="3"/>
      <c r="AC27" s="119"/>
    </row>
    <row r="28" spans="1:35" x14ac:dyDescent="0.25">
      <c r="A28" s="163"/>
      <c r="B28" s="34" t="s">
        <v>328</v>
      </c>
      <c r="C28" t="s">
        <v>336</v>
      </c>
      <c r="D28" s="35" t="s">
        <v>336</v>
      </c>
      <c r="E28" t="s">
        <v>1021</v>
      </c>
      <c r="F28" s="36">
        <f>42024*0.4536</f>
        <v>19062.0864</v>
      </c>
      <c r="G28" s="38">
        <v>19038.150000000001</v>
      </c>
      <c r="H28" s="38">
        <f t="shared" si="3"/>
        <v>-23.936399999998685</v>
      </c>
      <c r="I28">
        <v>43791</v>
      </c>
      <c r="J28" s="5" t="s">
        <v>1089</v>
      </c>
      <c r="K28" s="39">
        <v>43200</v>
      </c>
      <c r="L28" s="39">
        <v>43201</v>
      </c>
      <c r="M28" s="35" t="s">
        <v>331</v>
      </c>
      <c r="N28" s="35" t="s">
        <v>2134</v>
      </c>
      <c r="O28" s="22"/>
      <c r="P28" s="40">
        <f>0.5393+0.095</f>
        <v>0.63429999999999997</v>
      </c>
      <c r="Q28" s="111">
        <v>26000</v>
      </c>
      <c r="R28" s="22">
        <v>9400</v>
      </c>
      <c r="S28" s="45">
        <v>18.341000000000001</v>
      </c>
      <c r="T28" s="137">
        <f t="shared" si="10"/>
        <v>2633.1480937610813</v>
      </c>
      <c r="V28" s="22">
        <v>0.12</v>
      </c>
      <c r="W28" s="22">
        <v>0.3</v>
      </c>
      <c r="X28" s="22">
        <f>IF(O28&gt;0,O28,((P28*2.2046*S28)+(Q28+R28)/G28)+V28)</f>
        <v>27.627071229318119</v>
      </c>
      <c r="Y28" s="22">
        <f>IF(O28&gt;0,O28,((P28*2.2046*S28)+(Q28+R28+T28)/G28)+V28+W28)</f>
        <v>28.065380261118012</v>
      </c>
      <c r="Z28" s="3">
        <f>Y28*F28</f>
        <v>534984.70338628616</v>
      </c>
      <c r="AA28" s="44">
        <v>43194</v>
      </c>
      <c r="AB28" s="3"/>
      <c r="AC28" s="119"/>
    </row>
    <row r="29" spans="1:35" x14ac:dyDescent="0.25">
      <c r="A29" s="163"/>
      <c r="B29" s="34" t="s">
        <v>340</v>
      </c>
      <c r="C29" t="s">
        <v>341</v>
      </c>
      <c r="D29" s="35" t="s">
        <v>1244</v>
      </c>
      <c r="E29">
        <f>250+20</f>
        <v>270</v>
      </c>
      <c r="F29" s="36">
        <f>27920+2195</f>
        <v>30115</v>
      </c>
      <c r="G29" s="38">
        <f>11490+12170</f>
        <v>23660</v>
      </c>
      <c r="H29" s="38">
        <f t="shared" si="3"/>
        <v>-6455</v>
      </c>
      <c r="I29" t="s">
        <v>2224</v>
      </c>
      <c r="J29" s="10">
        <v>269</v>
      </c>
      <c r="K29" s="39"/>
      <c r="L29" s="39">
        <v>43201</v>
      </c>
      <c r="M29" s="35" t="s">
        <v>331</v>
      </c>
      <c r="O29" s="22">
        <v>28</v>
      </c>
      <c r="P29" s="40"/>
      <c r="Q29" s="111">
        <v>21300</v>
      </c>
      <c r="R29" s="22">
        <f>71*E29</f>
        <v>19170</v>
      </c>
      <c r="S29" s="43">
        <f>-38*E29</f>
        <v>-10260</v>
      </c>
      <c r="T29" s="137">
        <f t="shared" si="10"/>
        <v>5567.2019653423495</v>
      </c>
      <c r="U29" s="22">
        <f>E29*5</f>
        <v>1350</v>
      </c>
      <c r="W29" s="22">
        <v>0.3</v>
      </c>
      <c r="X29" s="22">
        <f>((O29*F29)+Q29+R29+S29+U29)/G29</f>
        <v>36.972950126796277</v>
      </c>
      <c r="Y29" s="22">
        <f>((O29*F29)+Q29+R29+S29+T29+U29)/G29+W29</f>
        <v>37.508250294393164</v>
      </c>
      <c r="Z29" s="3">
        <f>Y29*G29</f>
        <v>887445.20196534228</v>
      </c>
      <c r="AA29" s="44">
        <v>43213</v>
      </c>
      <c r="AB29" s="3"/>
      <c r="AC29" s="119" t="s">
        <v>2226</v>
      </c>
    </row>
    <row r="30" spans="1:35" x14ac:dyDescent="0.25">
      <c r="A30" s="163"/>
      <c r="B30" s="34" t="s">
        <v>1063</v>
      </c>
      <c r="C30" t="s">
        <v>2159</v>
      </c>
      <c r="D30" s="35" t="s">
        <v>1440</v>
      </c>
      <c r="E30" t="s">
        <v>2354</v>
      </c>
      <c r="F30" s="36">
        <v>18087.89</v>
      </c>
      <c r="G30" s="38">
        <v>18088.060000000001</v>
      </c>
      <c r="H30" s="38">
        <f t="shared" si="3"/>
        <v>0.17000000000189175</v>
      </c>
      <c r="I30" t="s">
        <v>2355</v>
      </c>
      <c r="K30" s="39"/>
      <c r="L30" s="39">
        <v>43201</v>
      </c>
      <c r="M30" s="35" t="s">
        <v>331</v>
      </c>
      <c r="O30" s="22">
        <v>83.5</v>
      </c>
      <c r="P30" s="40"/>
      <c r="Q30" s="22"/>
      <c r="R30" s="22"/>
      <c r="S30" s="43"/>
      <c r="T30" s="43"/>
      <c r="U30" s="22"/>
      <c r="W30" s="22"/>
      <c r="X30" s="22">
        <f>IF(O30&gt;0,O30,((P30*2.2046*S30)+(Q30+R30)/G30)+V30)</f>
        <v>83.5</v>
      </c>
      <c r="Y30" s="22">
        <f>IF(O30&gt;0,O30,((P30*2.2046*S30)+(Q30+R30+T30)/G30)+V30+W30)</f>
        <v>83.5</v>
      </c>
      <c r="Z30" s="3">
        <f>Y30*F30</f>
        <v>1510338.8149999999</v>
      </c>
      <c r="AA30" s="44">
        <v>43222</v>
      </c>
      <c r="AB30" s="3"/>
      <c r="AC30" s="119"/>
    </row>
    <row r="31" spans="1:35" x14ac:dyDescent="0.25">
      <c r="A31" s="163"/>
      <c r="B31" s="34" t="s">
        <v>2193</v>
      </c>
      <c r="C31" t="s">
        <v>2194</v>
      </c>
      <c r="D31" s="35" t="s">
        <v>2195</v>
      </c>
      <c r="E31" t="s">
        <v>2221</v>
      </c>
      <c r="F31" s="36">
        <v>7157.5</v>
      </c>
      <c r="G31" s="38">
        <v>7120</v>
      </c>
      <c r="H31" s="38">
        <f t="shared" si="3"/>
        <v>-37.5</v>
      </c>
      <c r="I31" t="s">
        <v>2222</v>
      </c>
      <c r="K31" s="39"/>
      <c r="L31" s="39">
        <v>43201</v>
      </c>
      <c r="M31" s="35" t="s">
        <v>331</v>
      </c>
      <c r="O31" s="22">
        <v>72</v>
      </c>
      <c r="P31" s="40"/>
      <c r="Q31" s="111">
        <v>4253</v>
      </c>
      <c r="R31" s="22">
        <v>7197</v>
      </c>
      <c r="S31" s="43"/>
      <c r="T31" s="43"/>
      <c r="U31" s="22"/>
      <c r="W31" s="22"/>
      <c r="X31" s="22">
        <f>((O31*F31)+Q31+R31+S31+U31)/G31</f>
        <v>73.987359550561791</v>
      </c>
      <c r="Y31" s="22">
        <f>((O31*F31)+Q31+R31+S31+T31+U31)/G31+W31</f>
        <v>73.987359550561791</v>
      </c>
      <c r="Z31" s="3">
        <f>Y31*G31</f>
        <v>526790</v>
      </c>
      <c r="AA31" s="44">
        <v>43199</v>
      </c>
      <c r="AB31" s="3"/>
      <c r="AC31" s="119"/>
    </row>
    <row r="32" spans="1:35" x14ac:dyDescent="0.25">
      <c r="A32" s="163"/>
      <c r="B32" s="34" t="s">
        <v>328</v>
      </c>
      <c r="C32" s="35" t="s">
        <v>343</v>
      </c>
      <c r="D32" s="35" t="s">
        <v>343</v>
      </c>
      <c r="E32" t="s">
        <v>1040</v>
      </c>
      <c r="F32" s="36">
        <f>42798*0.4536</f>
        <v>19413.1728</v>
      </c>
      <c r="G32" s="38">
        <v>19356.52</v>
      </c>
      <c r="H32" s="38">
        <f t="shared" si="3"/>
        <v>-56.652799999999843</v>
      </c>
      <c r="I32" t="s">
        <v>2155</v>
      </c>
      <c r="J32" s="5" t="s">
        <v>1022</v>
      </c>
      <c r="K32" s="39">
        <v>43201</v>
      </c>
      <c r="L32" s="39">
        <v>43202</v>
      </c>
      <c r="M32" s="35" t="s">
        <v>342</v>
      </c>
      <c r="N32" s="35" t="s">
        <v>2135</v>
      </c>
      <c r="O32" s="22"/>
      <c r="P32" s="40">
        <f>0.5417+0.105</f>
        <v>0.64669999999999994</v>
      </c>
      <c r="Q32" s="111">
        <v>26000</v>
      </c>
      <c r="R32" s="22">
        <v>9400</v>
      </c>
      <c r="S32" s="45">
        <v>18.209</v>
      </c>
      <c r="T32" s="137">
        <f t="shared" si="10"/>
        <v>2709.07742564302</v>
      </c>
      <c r="V32" s="22">
        <v>0.12</v>
      </c>
      <c r="W32" s="22">
        <v>0.3</v>
      </c>
      <c r="X32" s="22">
        <f>IF(O32&gt;0,O32,((P32*2.2046*S32)+(Q32+R32)/G32)+V32)</f>
        <v>27.909682292046767</v>
      </c>
      <c r="Y32" s="22">
        <f>IF(O32&gt;0,O32,((P32*2.2046*S32)+(Q32+R32+T32)/G32)+V32+W32)</f>
        <v>28.349639134787253</v>
      </c>
      <c r="Z32" s="3">
        <f>Y32*F32</f>
        <v>550356.44334126741</v>
      </c>
      <c r="AA32" s="44">
        <v>43195</v>
      </c>
      <c r="AB32" s="3"/>
      <c r="AC32" s="119"/>
    </row>
    <row r="33" spans="1:35" x14ac:dyDescent="0.25">
      <c r="A33" s="163"/>
      <c r="B33" s="34" t="s">
        <v>340</v>
      </c>
      <c r="C33" t="s">
        <v>341</v>
      </c>
      <c r="D33" s="35" t="s">
        <v>1047</v>
      </c>
      <c r="E33">
        <v>245</v>
      </c>
      <c r="F33" s="36">
        <v>29980</v>
      </c>
      <c r="G33" s="38">
        <v>23280</v>
      </c>
      <c r="H33" s="38">
        <f t="shared" si="3"/>
        <v>-6700</v>
      </c>
      <c r="I33" t="s">
        <v>2244</v>
      </c>
      <c r="J33" s="10">
        <v>249</v>
      </c>
      <c r="K33" s="39"/>
      <c r="L33" s="39">
        <v>43202</v>
      </c>
      <c r="M33" s="35" t="s">
        <v>342</v>
      </c>
      <c r="O33" s="22">
        <v>28</v>
      </c>
      <c r="P33" s="40"/>
      <c r="Q33" s="47">
        <v>21300</v>
      </c>
      <c r="R33" s="22">
        <f>71*E33</f>
        <v>17395</v>
      </c>
      <c r="S33" s="43">
        <f>-38*E33</f>
        <v>-9310</v>
      </c>
      <c r="T33" s="137">
        <f>X33*F33*0.0045</f>
        <v>5042.0294458762883</v>
      </c>
      <c r="U33" s="22">
        <f>E33*5</f>
        <v>1225</v>
      </c>
      <c r="W33" s="22">
        <v>0.3</v>
      </c>
      <c r="X33" s="22">
        <f>((O33*F33)+Q33+R33+S33+U33)/G33</f>
        <v>37.373281786941583</v>
      </c>
      <c r="Y33" s="22">
        <f>((O33*F33)+Q33+R33+S33+T33+U33)/G33+W33</f>
        <v>37.889863807812553</v>
      </c>
      <c r="Z33" s="3">
        <f>Y33*G33</f>
        <v>882076.02944587625</v>
      </c>
      <c r="AA33" s="44">
        <v>43215</v>
      </c>
      <c r="AB33" s="3"/>
      <c r="AC33" s="119"/>
    </row>
    <row r="34" spans="1:35" x14ac:dyDescent="0.25">
      <c r="A34" s="163"/>
      <c r="B34" s="34" t="s">
        <v>340</v>
      </c>
      <c r="C34" t="s">
        <v>341</v>
      </c>
      <c r="D34" s="35" t="s">
        <v>1102</v>
      </c>
      <c r="E34">
        <v>130</v>
      </c>
      <c r="F34" s="36">
        <v>14745</v>
      </c>
      <c r="G34" s="38">
        <v>12220</v>
      </c>
      <c r="H34" s="38">
        <f t="shared" si="3"/>
        <v>-2525</v>
      </c>
      <c r="I34" t="s">
        <v>2245</v>
      </c>
      <c r="J34" s="10">
        <v>125</v>
      </c>
      <c r="K34" s="39"/>
      <c r="L34" s="39">
        <v>43202</v>
      </c>
      <c r="M34" s="35" t="s">
        <v>342</v>
      </c>
      <c r="O34" s="22">
        <v>28</v>
      </c>
      <c r="P34" s="40"/>
      <c r="Q34" s="111">
        <v>16900</v>
      </c>
      <c r="R34" s="22">
        <f>71*E34</f>
        <v>9230</v>
      </c>
      <c r="S34" s="43">
        <f>-38*E34</f>
        <v>-4940</v>
      </c>
      <c r="T34" s="137">
        <f>X34*F34*0.0045</f>
        <v>2360.3462970540095</v>
      </c>
      <c r="U34" s="22">
        <f>E34*5</f>
        <v>650</v>
      </c>
      <c r="W34" s="22">
        <v>0.3</v>
      </c>
      <c r="X34" s="22">
        <f>((O34*F34)+Q34+R34+S34+U34)/G34</f>
        <v>35.572831423895252</v>
      </c>
      <c r="Y34" s="22">
        <f>((O34*F34)+Q34+R34+S34+T34+U34)/G34+W34</f>
        <v>36.065985785356304</v>
      </c>
      <c r="Z34" s="3">
        <f>Y34*G34</f>
        <v>440726.34629705403</v>
      </c>
      <c r="AA34" s="44">
        <v>43215</v>
      </c>
      <c r="AB34" s="3">
        <v>37.26</v>
      </c>
      <c r="AC34" s="119" t="s">
        <v>2246</v>
      </c>
    </row>
    <row r="35" spans="1:35" x14ac:dyDescent="0.25">
      <c r="A35" s="163"/>
      <c r="B35" s="34" t="s">
        <v>1501</v>
      </c>
      <c r="C35" t="s">
        <v>343</v>
      </c>
      <c r="D35" s="35" t="s">
        <v>1106</v>
      </c>
      <c r="E35" t="s">
        <v>1652</v>
      </c>
      <c r="F35" s="36">
        <v>3655.55</v>
      </c>
      <c r="G35" s="38">
        <v>3655.55</v>
      </c>
      <c r="H35" s="38">
        <f t="shared" si="3"/>
        <v>0</v>
      </c>
      <c r="I35" t="s">
        <v>2361</v>
      </c>
      <c r="K35" s="39"/>
      <c r="L35" s="39">
        <v>43202</v>
      </c>
      <c r="M35" s="35" t="s">
        <v>342</v>
      </c>
      <c r="O35" s="22">
        <v>18.3</v>
      </c>
      <c r="P35" s="40"/>
      <c r="Q35" s="22"/>
      <c r="R35" s="22"/>
      <c r="S35" s="45"/>
      <c r="T35" s="43"/>
      <c r="V35" s="22"/>
      <c r="W35" s="22"/>
      <c r="X35" s="22">
        <f>IF(O35&gt;0,O35,((P35*2.2046*S35)+(Q35+R35)/G35)+V35)</f>
        <v>18.3</v>
      </c>
      <c r="Y35" s="22">
        <f>IF(O35&gt;0,O35,((P35*2.2046*S35)+(Q35+R35+T35)/G35)+V35+W35)</f>
        <v>18.3</v>
      </c>
      <c r="Z35" s="3">
        <f>Y35*F35</f>
        <v>66896.565000000002</v>
      </c>
      <c r="AA35" s="44">
        <v>43209</v>
      </c>
      <c r="AB35" s="3"/>
      <c r="AC35" s="119"/>
    </row>
    <row r="36" spans="1:35" x14ac:dyDescent="0.25">
      <c r="A36" s="163"/>
      <c r="B36" s="34" t="s">
        <v>1501</v>
      </c>
      <c r="C36" t="s">
        <v>343</v>
      </c>
      <c r="D36" s="35" t="s">
        <v>1106</v>
      </c>
      <c r="E36" t="s">
        <v>1652</v>
      </c>
      <c r="F36" s="36">
        <v>3737.5</v>
      </c>
      <c r="G36" s="38">
        <v>3737.5</v>
      </c>
      <c r="H36" s="38">
        <f t="shared" si="3"/>
        <v>0</v>
      </c>
      <c r="I36" t="s">
        <v>2364</v>
      </c>
      <c r="K36" s="39"/>
      <c r="L36" s="39">
        <v>43203</v>
      </c>
      <c r="M36" s="35" t="s">
        <v>345</v>
      </c>
      <c r="O36" s="22">
        <v>18.3</v>
      </c>
      <c r="P36" s="40"/>
      <c r="Q36" s="22"/>
      <c r="R36" s="22"/>
      <c r="S36" s="45"/>
      <c r="T36" s="43"/>
      <c r="V36" s="22"/>
      <c r="W36" s="22"/>
      <c r="X36" s="22">
        <f>IF(O36&gt;0,O36,((P36*2.2046*S36)+(Q36+R36)/G36)+V36)</f>
        <v>18.3</v>
      </c>
      <c r="Y36" s="22">
        <f>IF(O36&gt;0,O36,((P36*2.2046*S36)+(Q36+R36+T36)/G36)+V36+W36)</f>
        <v>18.3</v>
      </c>
      <c r="Z36" s="3">
        <f>Y36*F36</f>
        <v>68396.25</v>
      </c>
      <c r="AA36" s="44">
        <v>43210</v>
      </c>
      <c r="AB36" s="3"/>
      <c r="AC36" s="119"/>
    </row>
    <row r="37" spans="1:35" x14ac:dyDescent="0.25">
      <c r="A37" s="163"/>
      <c r="B37" s="34" t="s">
        <v>328</v>
      </c>
      <c r="C37" s="35" t="s">
        <v>329</v>
      </c>
      <c r="D37" s="35" t="s">
        <v>329</v>
      </c>
      <c r="E37" t="s">
        <v>1021</v>
      </c>
      <c r="F37" s="36">
        <f>42066*0.4536</f>
        <v>19081.137600000002</v>
      </c>
      <c r="G37" s="38">
        <v>19044.86</v>
      </c>
      <c r="H37" s="38">
        <f t="shared" si="3"/>
        <v>-36.277600000001257</v>
      </c>
      <c r="I37" t="s">
        <v>2156</v>
      </c>
      <c r="J37" s="5" t="s">
        <v>1022</v>
      </c>
      <c r="K37" s="39">
        <v>43202</v>
      </c>
      <c r="L37" s="39">
        <v>43203</v>
      </c>
      <c r="M37" s="35" t="s">
        <v>345</v>
      </c>
      <c r="N37" s="35" t="s">
        <v>2136</v>
      </c>
      <c r="O37" s="22"/>
      <c r="P37" s="40">
        <f>0.5417+0.095</f>
        <v>0.63669999999999993</v>
      </c>
      <c r="Q37" s="111">
        <v>26000</v>
      </c>
      <c r="R37" s="120">
        <v>9500</v>
      </c>
      <c r="S37" s="45">
        <v>18.780999999999999</v>
      </c>
      <c r="T37" s="137">
        <f>X37*F37*0.005</f>
        <v>2704.4005541493948</v>
      </c>
      <c r="V37" s="22">
        <v>0.12</v>
      </c>
      <c r="W37" s="22">
        <v>0.3</v>
      </c>
      <c r="X37" s="22">
        <f>IF(O37&gt;0,O37,((P37*2.2046*S37)+(Q37+R37)/G37)+V37)</f>
        <v>28.346324111717472</v>
      </c>
      <c r="Y37" s="22">
        <f>IF(O37&gt;0,O37,((P37*2.2046*S37)+(Q37+R37+T37)/G37)+V37+W37)</f>
        <v>28.788325709741791</v>
      </c>
      <c r="Z37" s="3">
        <f>Y37*F37</f>
        <v>549314.0041412008</v>
      </c>
      <c r="AA37" s="44">
        <v>43214</v>
      </c>
      <c r="AB37" s="3"/>
      <c r="AC37" s="119"/>
    </row>
    <row r="38" spans="1:35" x14ac:dyDescent="0.25">
      <c r="A38" s="163"/>
      <c r="B38" s="34" t="s">
        <v>340</v>
      </c>
      <c r="C38" t="s">
        <v>341</v>
      </c>
      <c r="D38" s="35" t="s">
        <v>1389</v>
      </c>
      <c r="E38">
        <v>250</v>
      </c>
      <c r="F38" s="36">
        <v>28430</v>
      </c>
      <c r="G38" s="38">
        <v>22620</v>
      </c>
      <c r="H38" s="38">
        <f t="shared" si="3"/>
        <v>-5810</v>
      </c>
      <c r="I38" t="s">
        <v>2247</v>
      </c>
      <c r="K38" s="39"/>
      <c r="L38" s="39">
        <v>43203</v>
      </c>
      <c r="M38" s="35" t="s">
        <v>345</v>
      </c>
      <c r="O38" s="22">
        <v>28</v>
      </c>
      <c r="P38" s="40"/>
      <c r="Q38" s="47">
        <v>21300</v>
      </c>
      <c r="R38" s="22">
        <f>71*E38</f>
        <v>17750</v>
      </c>
      <c r="S38" s="43">
        <f>-38*E38</f>
        <v>-9500</v>
      </c>
      <c r="T38" s="137">
        <f t="shared" ref="T38" si="11">X38*F38*0.005</f>
        <v>5196.0789566755084</v>
      </c>
      <c r="U38" s="22">
        <f>E38*5</f>
        <v>1250</v>
      </c>
      <c r="W38" s="22">
        <v>0.3</v>
      </c>
      <c r="X38" s="22">
        <f>((O38*F38)+Q38+R38+S38+U38)/G38</f>
        <v>36.55349248452697</v>
      </c>
      <c r="Y38" s="22">
        <f>((O38*F38)+Q38+R38+S38+T38+U38)/G38+W38</f>
        <v>37.083204197907847</v>
      </c>
      <c r="Z38" s="3">
        <f>Y38*G38</f>
        <v>838822.07895667548</v>
      </c>
      <c r="AA38" s="44">
        <v>43216</v>
      </c>
      <c r="AB38" s="3"/>
      <c r="AC38" s="119"/>
    </row>
    <row r="39" spans="1:35" x14ac:dyDescent="0.25">
      <c r="A39" s="163"/>
      <c r="B39" s="34" t="s">
        <v>340</v>
      </c>
      <c r="C39" t="s">
        <v>341</v>
      </c>
      <c r="D39" s="35" t="s">
        <v>1244</v>
      </c>
      <c r="E39">
        <v>130</v>
      </c>
      <c r="F39" s="36">
        <v>15105</v>
      </c>
      <c r="G39" s="38">
        <v>11790</v>
      </c>
      <c r="H39" s="38">
        <f t="shared" si="3"/>
        <v>-3315</v>
      </c>
      <c r="I39" s="35" t="s">
        <v>2248</v>
      </c>
      <c r="K39" s="39"/>
      <c r="L39" s="39">
        <v>43203</v>
      </c>
      <c r="M39" s="35" t="s">
        <v>345</v>
      </c>
      <c r="O39" s="22">
        <v>28</v>
      </c>
      <c r="P39" s="40"/>
      <c r="Q39" s="111">
        <v>16900</v>
      </c>
      <c r="R39" s="22">
        <f>71*E39</f>
        <v>9230</v>
      </c>
      <c r="S39" s="43">
        <f>-38*E39</f>
        <v>-4940</v>
      </c>
      <c r="T39" s="137">
        <f>X39*F39*0.0045</f>
        <v>2564.2755343511449</v>
      </c>
      <c r="U39" s="22">
        <f>E39*5</f>
        <v>650</v>
      </c>
      <c r="W39" s="22">
        <v>0.3</v>
      </c>
      <c r="X39" s="22">
        <f>((O39*F39)+Q39+R39+S39+U39)/G39</f>
        <v>37.725190839694655</v>
      </c>
      <c r="Y39" s="22">
        <f>((O39*F39)+Q39+R39+S39+T39+U39)/G39+W39</f>
        <v>38.242686644134956</v>
      </c>
      <c r="Z39" s="3">
        <f>Y39*G39</f>
        <v>450881.27553435112</v>
      </c>
      <c r="AA39" s="44">
        <v>43216</v>
      </c>
      <c r="AB39" s="3"/>
      <c r="AC39" s="119" t="s">
        <v>2253</v>
      </c>
    </row>
    <row r="40" spans="1:35" x14ac:dyDescent="0.25">
      <c r="A40" s="163"/>
      <c r="B40" s="34" t="s">
        <v>328</v>
      </c>
      <c r="C40" t="s">
        <v>343</v>
      </c>
      <c r="D40" s="35" t="s">
        <v>343</v>
      </c>
      <c r="E40" t="s">
        <v>1040</v>
      </c>
      <c r="F40" s="36">
        <f>42366*0.4536</f>
        <v>19217.2176</v>
      </c>
      <c r="G40" s="38">
        <v>19127.080000000002</v>
      </c>
      <c r="H40" s="38">
        <f t="shared" si="3"/>
        <v>-90.137599999998201</v>
      </c>
      <c r="I40" s="35" t="s">
        <v>2157</v>
      </c>
      <c r="J40" s="5" t="s">
        <v>1022</v>
      </c>
      <c r="K40" s="39">
        <v>43203</v>
      </c>
      <c r="L40" s="39">
        <v>43204</v>
      </c>
      <c r="M40" s="35" t="s">
        <v>348</v>
      </c>
      <c r="N40" s="35" t="s">
        <v>2137</v>
      </c>
      <c r="O40" s="22"/>
      <c r="P40" s="40">
        <f>0.5373+0.105</f>
        <v>0.64229999999999998</v>
      </c>
      <c r="Q40" s="111">
        <v>26000</v>
      </c>
      <c r="R40" s="22">
        <v>9400</v>
      </c>
      <c r="S40" s="45">
        <v>18.315000000000001</v>
      </c>
      <c r="T40" s="137">
        <f>X40*F40*0.005</f>
        <v>2681.2905622562198</v>
      </c>
      <c r="V40" s="22">
        <v>0.12</v>
      </c>
      <c r="W40" s="22">
        <v>0.3</v>
      </c>
      <c r="X40" s="22">
        <f>IF(O40&gt;0,O40,((P40*2.2046*S40)+(Q40+R40)/G40)+V40)</f>
        <v>27.905086137508476</v>
      </c>
      <c r="Y40" s="22">
        <f>IF(O40&gt;0,O40,((P40*2.2046*S40)+(Q40+R40+T40)/G40)+V40+W40)</f>
        <v>28.345269090800681</v>
      </c>
      <c r="Z40" s="3">
        <f>Y40*F40</f>
        <v>544717.20404847083</v>
      </c>
      <c r="AA40" s="44">
        <v>43199</v>
      </c>
      <c r="AB40" s="3"/>
      <c r="AC40" s="119"/>
    </row>
    <row r="41" spans="1:35" ht="15.75" thickBot="1" x14ac:dyDescent="0.3">
      <c r="A41" s="164"/>
      <c r="B41" s="49"/>
      <c r="C41" s="23"/>
      <c r="D41" s="23"/>
      <c r="E41" s="23"/>
      <c r="F41" s="50"/>
      <c r="G41" s="50"/>
      <c r="H41" s="50"/>
      <c r="I41" s="26"/>
      <c r="J41" s="23"/>
      <c r="K41" s="27"/>
      <c r="L41" s="27"/>
      <c r="M41" s="23"/>
      <c r="N41" s="23"/>
      <c r="O41" s="28"/>
      <c r="P41" s="29"/>
      <c r="Q41" s="28"/>
      <c r="R41" s="28"/>
      <c r="S41" s="28"/>
      <c r="T41" s="28"/>
      <c r="U41" s="28"/>
      <c r="V41" s="28"/>
      <c r="W41" s="28"/>
      <c r="X41" s="28"/>
      <c r="Y41" s="28"/>
      <c r="Z41" s="32"/>
      <c r="AA41" s="51"/>
      <c r="AB41" s="3"/>
      <c r="AC41" s="119"/>
    </row>
    <row r="42" spans="1:35" ht="15.75" thickTop="1" x14ac:dyDescent="0.25">
      <c r="A42" s="165"/>
      <c r="B42" s="53" t="s">
        <v>340</v>
      </c>
      <c r="C42" s="53" t="s">
        <v>341</v>
      </c>
      <c r="D42" s="54" t="s">
        <v>2301</v>
      </c>
      <c r="E42" s="53">
        <f>250+10</f>
        <v>260</v>
      </c>
      <c r="F42" s="55">
        <f>30160+1170</f>
        <v>31330</v>
      </c>
      <c r="G42" s="56">
        <f>12520+12400</f>
        <v>24920</v>
      </c>
      <c r="H42" s="121">
        <f t="shared" ref="H42:H59" si="12">G42-F42</f>
        <v>-6410</v>
      </c>
      <c r="I42" s="57" t="s">
        <v>2302</v>
      </c>
      <c r="J42" s="53"/>
      <c r="K42" s="58"/>
      <c r="L42" s="58">
        <v>43205</v>
      </c>
      <c r="M42" s="54" t="s">
        <v>349</v>
      </c>
      <c r="N42" s="53"/>
      <c r="O42" s="59">
        <v>27.5</v>
      </c>
      <c r="P42" s="60"/>
      <c r="Q42" s="61">
        <v>21300</v>
      </c>
      <c r="R42" s="22">
        <f>71*E42</f>
        <v>18460</v>
      </c>
      <c r="S42" s="59">
        <f>-38*E42</f>
        <v>-9880</v>
      </c>
      <c r="T42" s="138">
        <f>X42*F42*0.0045</f>
        <v>5050.7649949839479</v>
      </c>
      <c r="U42" s="59">
        <f>E42*5</f>
        <v>1300</v>
      </c>
      <c r="V42" s="53"/>
      <c r="W42" s="59">
        <v>0.3</v>
      </c>
      <c r="X42" s="59">
        <f>((O42*F42)+Q42+R42+S42+U42)/G42</f>
        <v>35.824839486356339</v>
      </c>
      <c r="Y42" s="63">
        <f>((O42*F42)+Q42+R42+S42+T42+U42)/G42+W42</f>
        <v>36.327518659509785</v>
      </c>
      <c r="Z42" s="63">
        <f>Y42*G42</f>
        <v>905281.76499498379</v>
      </c>
      <c r="AA42" s="64">
        <v>43220</v>
      </c>
      <c r="AB42" s="3"/>
      <c r="AC42" s="3" t="s">
        <v>2303</v>
      </c>
    </row>
    <row r="43" spans="1:35" x14ac:dyDescent="0.25">
      <c r="A43" s="166"/>
      <c r="B43" s="34" t="s">
        <v>340</v>
      </c>
      <c r="C43" t="s">
        <v>44</v>
      </c>
      <c r="D43" s="35" t="s">
        <v>2048</v>
      </c>
      <c r="E43">
        <v>249</v>
      </c>
      <c r="F43" s="36">
        <v>22939</v>
      </c>
      <c r="G43" s="38">
        <v>22850</v>
      </c>
      <c r="H43" s="38">
        <f t="shared" si="12"/>
        <v>-89</v>
      </c>
      <c r="I43" s="35" t="s">
        <v>2385</v>
      </c>
      <c r="K43" s="39"/>
      <c r="L43" s="39">
        <v>43206</v>
      </c>
      <c r="M43" s="35" t="s">
        <v>350</v>
      </c>
      <c r="O43" s="22">
        <v>35.799999999999997</v>
      </c>
      <c r="P43" s="40"/>
      <c r="Q43" s="47">
        <v>21300</v>
      </c>
      <c r="R43" s="22"/>
      <c r="S43" s="43"/>
      <c r="T43" s="137">
        <f>X43*F43*0.0045</f>
        <v>3808.9021390306339</v>
      </c>
      <c r="U43" s="22">
        <f>E43*5/2</f>
        <v>622.5</v>
      </c>
      <c r="W43" s="22">
        <v>0.1</v>
      </c>
      <c r="X43" s="22">
        <f>((O43*F43)+Q43+R43+S43+U43)/G43</f>
        <v>36.898849015317282</v>
      </c>
      <c r="Y43" s="22">
        <f>((O43*F43)+Q43+R43+S43+T43+U43)/G43+W43</f>
        <v>37.16554057501228</v>
      </c>
      <c r="Z43" s="3">
        <f>Y43*G43</f>
        <v>849232.60213903058</v>
      </c>
      <c r="AA43" s="44">
        <v>43216</v>
      </c>
      <c r="AB43" s="3"/>
      <c r="AC43" s="119" t="s">
        <v>2304</v>
      </c>
      <c r="AE43" s="5"/>
      <c r="AF43" s="38">
        <f>G43</f>
        <v>22850</v>
      </c>
      <c r="AG43">
        <v>35.4</v>
      </c>
      <c r="AH43">
        <f>(O43-AG43)/2</f>
        <v>0.19999999999999929</v>
      </c>
      <c r="AI43">
        <f>AH43*AF43</f>
        <v>4569.9999999999836</v>
      </c>
    </row>
    <row r="44" spans="1:35" x14ac:dyDescent="0.25">
      <c r="A44" s="166"/>
      <c r="B44" s="34" t="s">
        <v>328</v>
      </c>
      <c r="C44" t="s">
        <v>329</v>
      </c>
      <c r="D44" s="35" t="s">
        <v>329</v>
      </c>
      <c r="E44" t="s">
        <v>1021</v>
      </c>
      <c r="F44" s="36">
        <f>41662*0.4536</f>
        <v>18897.8832</v>
      </c>
      <c r="G44" s="38">
        <v>18854.98</v>
      </c>
      <c r="H44" s="38">
        <f t="shared" si="12"/>
        <v>-42.903200000000652</v>
      </c>
      <c r="I44" s="35" t="s">
        <v>2227</v>
      </c>
      <c r="J44" s="5" t="s">
        <v>1022</v>
      </c>
      <c r="K44" s="39">
        <v>43206</v>
      </c>
      <c r="L44" s="39">
        <v>43207</v>
      </c>
      <c r="M44" s="35" t="s">
        <v>355</v>
      </c>
      <c r="N44" s="35" t="s">
        <v>2229</v>
      </c>
      <c r="O44" s="22"/>
      <c r="P44" s="40">
        <f>0.5478+0.095</f>
        <v>0.64279999999999993</v>
      </c>
      <c r="Q44" s="111">
        <v>26000</v>
      </c>
      <c r="R44" s="120">
        <v>9500</v>
      </c>
      <c r="S44" s="45">
        <v>18.84</v>
      </c>
      <c r="T44" s="137">
        <f t="shared" ref="T44:T50" si="13">X44*F44*0.005</f>
        <v>2711.9665929467592</v>
      </c>
      <c r="V44" s="22">
        <v>0.12</v>
      </c>
      <c r="W44" s="22">
        <v>0.3</v>
      </c>
      <c r="X44" s="22">
        <f>IF(O44&gt;0,O44,((P44*2.2046*S44)+(Q44+R44)/G44)+V44)</f>
        <v>28.701273727279247</v>
      </c>
      <c r="Y44" s="22">
        <f>IF(O44&gt;0,O44,((P44*2.2046*S44)+(Q44+R44+T44)/G44)+V44+W44)</f>
        <v>29.145106634709897</v>
      </c>
      <c r="Z44" s="3">
        <f>Y44*F44</f>
        <v>550780.82103429269</v>
      </c>
      <c r="AA44" s="44">
        <v>43217</v>
      </c>
      <c r="AB44" s="3"/>
      <c r="AC44" s="119"/>
    </row>
    <row r="45" spans="1:35" x14ac:dyDescent="0.25">
      <c r="A45" s="166"/>
      <c r="B45" s="34" t="s">
        <v>328</v>
      </c>
      <c r="C45" t="s">
        <v>336</v>
      </c>
      <c r="D45" s="35" t="s">
        <v>1129</v>
      </c>
      <c r="E45" t="s">
        <v>1021</v>
      </c>
      <c r="F45" s="36">
        <f>42142*0.4536</f>
        <v>19115.611199999999</v>
      </c>
      <c r="G45" s="38">
        <v>19083.689999999999</v>
      </c>
      <c r="H45" s="38">
        <f t="shared" si="12"/>
        <v>-31.921200000000681</v>
      </c>
      <c r="I45" s="35" t="s">
        <v>2228</v>
      </c>
      <c r="J45" s="5" t="s">
        <v>1022</v>
      </c>
      <c r="K45" s="39">
        <v>43206</v>
      </c>
      <c r="L45" s="39">
        <v>43207</v>
      </c>
      <c r="M45" s="35" t="s">
        <v>355</v>
      </c>
      <c r="N45" s="35" t="s">
        <v>2230</v>
      </c>
      <c r="O45" s="22"/>
      <c r="P45" s="40">
        <f>0.5363+0.105</f>
        <v>0.64129999999999998</v>
      </c>
      <c r="Q45" s="111">
        <v>26000</v>
      </c>
      <c r="R45" s="22">
        <v>9400</v>
      </c>
      <c r="S45" s="45">
        <v>18.065000000000001</v>
      </c>
      <c r="T45" s="137">
        <f t="shared" si="13"/>
        <v>2629.8746023674635</v>
      </c>
      <c r="V45" s="22">
        <v>0.12</v>
      </c>
      <c r="W45" s="22">
        <v>0.3</v>
      </c>
      <c r="X45" s="22">
        <f>IF(O45&gt;0,O45,((P45*2.2046*S45)+(Q45+R45)/G45)+V45)</f>
        <v>27.51546445313204</v>
      </c>
      <c r="Y45" s="22">
        <f>IF(O45&gt;0,O45,((P45*2.2046*S45)+(Q45+R45+T45)/G45)+V45+W45)</f>
        <v>27.953271900348355</v>
      </c>
      <c r="Z45" s="3">
        <f>Y45*F45</f>
        <v>534343.87741494423</v>
      </c>
      <c r="AA45" s="44">
        <v>43207</v>
      </c>
      <c r="AB45" s="3"/>
      <c r="AC45" s="119"/>
    </row>
    <row r="46" spans="1:35" x14ac:dyDescent="0.25">
      <c r="A46" s="166"/>
      <c r="B46" s="34" t="s">
        <v>340</v>
      </c>
      <c r="C46" t="s">
        <v>341</v>
      </c>
      <c r="D46" s="35" t="s">
        <v>1102</v>
      </c>
      <c r="E46">
        <v>200</v>
      </c>
      <c r="F46" s="36">
        <v>21820</v>
      </c>
      <c r="G46" s="38">
        <f>11300+5960</f>
        <v>17260</v>
      </c>
      <c r="H46" s="38">
        <f t="shared" si="12"/>
        <v>-4560</v>
      </c>
      <c r="I46" s="35" t="s">
        <v>2307</v>
      </c>
      <c r="K46" s="39"/>
      <c r="L46" s="39">
        <v>43207</v>
      </c>
      <c r="M46" s="35" t="s">
        <v>355</v>
      </c>
      <c r="O46" s="22">
        <v>27.5</v>
      </c>
      <c r="P46" s="40"/>
      <c r="Q46" s="47">
        <v>21300</v>
      </c>
      <c r="R46" s="22">
        <f>71*E46</f>
        <v>14200</v>
      </c>
      <c r="S46" s="43">
        <f>-38*E46</f>
        <v>-7600</v>
      </c>
      <c r="T46" s="137">
        <f t="shared" si="13"/>
        <v>3975.5761877172649</v>
      </c>
      <c r="U46" s="22">
        <f>E46*5</f>
        <v>1000</v>
      </c>
      <c r="W46" s="22">
        <v>0.3</v>
      </c>
      <c r="X46" s="22">
        <f>((O46*F46)+Q46+R46+S46+U46)/G46</f>
        <v>36.439745075318655</v>
      </c>
      <c r="Y46" s="22">
        <f>((O46*F46)+Q46+R46+S46+T46+U46)/G46+W46</f>
        <v>36.970079732776199</v>
      </c>
      <c r="Z46" s="3">
        <f>Y46*G46</f>
        <v>638103.57618771715</v>
      </c>
      <c r="AA46" s="44">
        <v>43220</v>
      </c>
      <c r="AB46" s="3"/>
      <c r="AC46" s="119" t="s">
        <v>2310</v>
      </c>
    </row>
    <row r="47" spans="1:35" x14ac:dyDescent="0.25">
      <c r="A47" s="166"/>
      <c r="B47" s="34" t="s">
        <v>328</v>
      </c>
      <c r="C47" t="s">
        <v>336</v>
      </c>
      <c r="D47" s="35" t="s">
        <v>336</v>
      </c>
      <c r="E47" t="s">
        <v>1021</v>
      </c>
      <c r="F47" s="36">
        <f>41290*0.4536</f>
        <v>18729.144</v>
      </c>
      <c r="G47" s="38">
        <v>18693.77</v>
      </c>
      <c r="H47" s="38">
        <f t="shared" ref="H47" si="14">G47-F47</f>
        <v>-35.373999999999796</v>
      </c>
      <c r="I47">
        <v>43792</v>
      </c>
      <c r="J47" s="5" t="s">
        <v>1089</v>
      </c>
      <c r="K47" s="39">
        <v>43207</v>
      </c>
      <c r="L47" s="39">
        <v>43208</v>
      </c>
      <c r="M47" s="35" t="s">
        <v>331</v>
      </c>
      <c r="N47" s="35" t="s">
        <v>2231</v>
      </c>
      <c r="O47" s="22"/>
      <c r="P47" s="40">
        <f t="shared" ref="P47:P48" si="15">0.5478+0.095</f>
        <v>0.64279999999999993</v>
      </c>
      <c r="Q47" s="111">
        <v>26000</v>
      </c>
      <c r="R47" s="22">
        <v>9400</v>
      </c>
      <c r="S47" s="45">
        <v>18.29</v>
      </c>
      <c r="T47" s="137">
        <f t="shared" ref="T47" si="16">X47*F47*0.005</f>
        <v>2615.7821811993326</v>
      </c>
      <c r="V47" s="22">
        <v>0.12</v>
      </c>
      <c r="W47" s="22">
        <v>0.3</v>
      </c>
      <c r="X47" s="22">
        <f>IF(O47&gt;0,O47,((P47*2.2046*S47)+(Q47+R47)/G47)+V47)</f>
        <v>27.932746752327095</v>
      </c>
      <c r="Y47" s="22">
        <f>IF(O47&gt;0,O47,((P47*2.2046*S47)+(Q47+R47+T47)/G47)+V47+W47)</f>
        <v>28.372674770121225</v>
      </c>
      <c r="Z47" s="3">
        <f>Y47*F47</f>
        <v>531395.9114347673</v>
      </c>
      <c r="AA47" s="44">
        <v>43201</v>
      </c>
      <c r="AB47" s="3">
        <v>31</v>
      </c>
      <c r="AC47" s="119"/>
    </row>
    <row r="48" spans="1:35" x14ac:dyDescent="0.25">
      <c r="A48" s="166"/>
      <c r="B48" s="34" t="s">
        <v>328</v>
      </c>
      <c r="C48" t="s">
        <v>336</v>
      </c>
      <c r="D48" s="35" t="s">
        <v>336</v>
      </c>
      <c r="E48" t="s">
        <v>1021</v>
      </c>
      <c r="F48" s="36">
        <f>41225*0.4536</f>
        <v>18699.66</v>
      </c>
      <c r="G48" s="38">
        <v>18659.53</v>
      </c>
      <c r="H48" s="38">
        <f t="shared" si="12"/>
        <v>-40.130000000001019</v>
      </c>
      <c r="I48">
        <v>43793</v>
      </c>
      <c r="J48" s="5" t="s">
        <v>1022</v>
      </c>
      <c r="K48" s="39">
        <v>43207</v>
      </c>
      <c r="L48" s="39">
        <v>43208</v>
      </c>
      <c r="M48" s="35" t="s">
        <v>331</v>
      </c>
      <c r="N48" s="35" t="s">
        <v>2231</v>
      </c>
      <c r="O48" s="22"/>
      <c r="P48" s="40">
        <f t="shared" si="15"/>
        <v>0.64279999999999993</v>
      </c>
      <c r="Q48" s="111">
        <v>26000</v>
      </c>
      <c r="R48" s="22">
        <v>9400</v>
      </c>
      <c r="S48" s="45">
        <v>18.29</v>
      </c>
      <c r="T48" s="137">
        <f t="shared" si="13"/>
        <v>2611.9892307548844</v>
      </c>
      <c r="V48" s="22">
        <v>0.12</v>
      </c>
      <c r="W48" s="22">
        <v>0.3</v>
      </c>
      <c r="X48" s="22">
        <f>IF(O48&gt;0,O48,((P48*2.2046*S48)+(Q48+R48)/G48)+V48)</f>
        <v>27.936221629215552</v>
      </c>
      <c r="Y48" s="22">
        <f>IF(O48&gt;0,O48,((P48*2.2046*S48)+(Q48+R48+T48)/G48)+V48+W48)</f>
        <v>28.376203141652088</v>
      </c>
      <c r="Z48" s="3">
        <f>Y48*F48</f>
        <v>530625.35083982593</v>
      </c>
      <c r="AA48" s="44">
        <v>43201</v>
      </c>
      <c r="AB48" s="3">
        <v>31</v>
      </c>
      <c r="AC48" s="119"/>
    </row>
    <row r="49" spans="1:35" x14ac:dyDescent="0.25">
      <c r="A49" s="166"/>
      <c r="B49" s="34" t="s">
        <v>340</v>
      </c>
      <c r="C49" t="s">
        <v>341</v>
      </c>
      <c r="D49" s="35" t="s">
        <v>1244</v>
      </c>
      <c r="E49">
        <v>200</v>
      </c>
      <c r="F49" s="36">
        <v>22640</v>
      </c>
      <c r="G49" s="38">
        <f>11590+6230</f>
        <v>17820</v>
      </c>
      <c r="H49" s="38">
        <f t="shared" si="12"/>
        <v>-4820</v>
      </c>
      <c r="I49" s="35" t="s">
        <v>2314</v>
      </c>
      <c r="K49" s="39"/>
      <c r="L49" s="39">
        <v>43208</v>
      </c>
      <c r="M49" s="35" t="s">
        <v>331</v>
      </c>
      <c r="O49" s="22">
        <v>27.5</v>
      </c>
      <c r="P49" s="40"/>
      <c r="Q49" s="47">
        <v>21300</v>
      </c>
      <c r="R49" s="22">
        <f>71*E49</f>
        <v>14200</v>
      </c>
      <c r="S49" s="43">
        <f>-38*E49</f>
        <v>-7600</v>
      </c>
      <c r="T49" s="137">
        <f t="shared" si="13"/>
        <v>4138.5970819304148</v>
      </c>
      <c r="U49" s="22">
        <f>E49*5</f>
        <v>1000</v>
      </c>
      <c r="W49" s="22">
        <v>0.3</v>
      </c>
      <c r="X49" s="22">
        <f>((O49*F49)+Q49+R49+S49+U49)/G49</f>
        <v>36.560044893378226</v>
      </c>
      <c r="Y49" s="22">
        <f>((O49*F49)+Q49+R49+S49+T49+U49)/G49+W49</f>
        <v>37.092289398537055</v>
      </c>
      <c r="Z49" s="3">
        <f>Y49*G49</f>
        <v>660984.59708193038</v>
      </c>
      <c r="AA49" s="44">
        <v>43222</v>
      </c>
      <c r="AB49" s="3"/>
      <c r="AC49" s="119" t="s">
        <v>2315</v>
      </c>
    </row>
    <row r="50" spans="1:35" x14ac:dyDescent="0.25">
      <c r="A50" s="166"/>
      <c r="B50" s="34" t="s">
        <v>328</v>
      </c>
      <c r="C50" s="35" t="s">
        <v>343</v>
      </c>
      <c r="D50" s="35" t="s">
        <v>343</v>
      </c>
      <c r="E50" t="s">
        <v>1040</v>
      </c>
      <c r="F50" s="36">
        <f>42110*0.4536</f>
        <v>19101.096000000001</v>
      </c>
      <c r="G50" s="38">
        <v>19024.43</v>
      </c>
      <c r="H50" s="38">
        <f t="shared" si="12"/>
        <v>-76.666000000001077</v>
      </c>
      <c r="I50" t="s">
        <v>2232</v>
      </c>
      <c r="J50" s="5" t="s">
        <v>1022</v>
      </c>
      <c r="K50" s="39">
        <v>43208</v>
      </c>
      <c r="L50" s="39">
        <v>43209</v>
      </c>
      <c r="M50" s="35" t="s">
        <v>342</v>
      </c>
      <c r="N50" s="35" t="s">
        <v>2233</v>
      </c>
      <c r="O50" s="22"/>
      <c r="P50" s="40">
        <f>0.5658+0.105</f>
        <v>0.67079999999999995</v>
      </c>
      <c r="Q50" s="111">
        <v>26000</v>
      </c>
      <c r="R50" s="22">
        <v>9400</v>
      </c>
      <c r="S50" s="45">
        <v>18.309999999999999</v>
      </c>
      <c r="T50" s="137">
        <f t="shared" si="13"/>
        <v>2775.2392806559606</v>
      </c>
      <c r="V50" s="22">
        <v>0.12</v>
      </c>
      <c r="W50" s="22">
        <v>0.3</v>
      </c>
      <c r="X50" s="22">
        <f>IF(O50&gt;0,O50,((P50*2.2046*S50)+(Q50+R50)/G50)+V50)</f>
        <v>29.058429743046787</v>
      </c>
      <c r="Y50" s="22">
        <f>IF(O50&gt;0,O50,((P50*2.2046*S50)+(Q50+R50+T50)/G50)+V50+W50)</f>
        <v>29.504307400388214</v>
      </c>
      <c r="Z50" s="3">
        <f>Y50*F50</f>
        <v>563564.60806832579</v>
      </c>
      <c r="AA50" s="44">
        <v>43202</v>
      </c>
      <c r="AB50" s="3"/>
      <c r="AC50" s="119"/>
    </row>
    <row r="51" spans="1:35" x14ac:dyDescent="0.25">
      <c r="A51" s="166"/>
      <c r="B51" s="34" t="s">
        <v>340</v>
      </c>
      <c r="C51" t="s">
        <v>341</v>
      </c>
      <c r="D51" s="35" t="s">
        <v>1060</v>
      </c>
      <c r="E51">
        <f>245</f>
        <v>245</v>
      </c>
      <c r="F51" s="36">
        <f>28920</f>
        <v>28920</v>
      </c>
      <c r="G51" s="38">
        <f>18870</f>
        <v>18870</v>
      </c>
      <c r="H51" s="38">
        <f t="shared" si="12"/>
        <v>-10050</v>
      </c>
      <c r="I51" t="s">
        <v>2319</v>
      </c>
      <c r="J51" s="10">
        <v>200</v>
      </c>
      <c r="K51" s="39"/>
      <c r="L51" s="39">
        <v>43209</v>
      </c>
      <c r="M51" s="35" t="s">
        <v>342</v>
      </c>
      <c r="O51" s="22">
        <v>27.5</v>
      </c>
      <c r="P51" s="40"/>
      <c r="Q51" s="47">
        <v>21300</v>
      </c>
      <c r="R51" s="22">
        <f>71*E51</f>
        <v>17395</v>
      </c>
      <c r="S51" s="43">
        <f>-38*E51</f>
        <v>-9310</v>
      </c>
      <c r="T51" s="137">
        <f>X51*F51*0.0045</f>
        <v>5696.0215898251181</v>
      </c>
      <c r="U51" s="22">
        <f>E51*5</f>
        <v>1225</v>
      </c>
      <c r="W51" s="22">
        <v>0.3</v>
      </c>
      <c r="X51" s="22">
        <f>((O51*F51)+Q51+R51+S51+U51)/G51</f>
        <v>43.768415474297825</v>
      </c>
      <c r="Y51" s="22">
        <f>((O51*F51)+Q51+R51+S51+T51+U51)/G51+W51</f>
        <v>44.370271414405146</v>
      </c>
      <c r="Z51" s="3">
        <f>Y51*G51</f>
        <v>837267.02158982505</v>
      </c>
      <c r="AA51" s="44">
        <v>43222</v>
      </c>
      <c r="AB51" s="3"/>
      <c r="AC51" s="119"/>
    </row>
    <row r="52" spans="1:35" x14ac:dyDescent="0.25">
      <c r="A52" s="166"/>
      <c r="B52" s="34" t="s">
        <v>340</v>
      </c>
      <c r="C52" t="s">
        <v>341</v>
      </c>
      <c r="D52" s="35" t="s">
        <v>1047</v>
      </c>
      <c r="E52">
        <v>80</v>
      </c>
      <c r="F52" s="36">
        <v>9385</v>
      </c>
      <c r="G52" s="38">
        <v>11500</v>
      </c>
      <c r="H52" s="38">
        <f t="shared" si="12"/>
        <v>2115</v>
      </c>
      <c r="I52" t="s">
        <v>2320</v>
      </c>
      <c r="J52" s="10">
        <v>124</v>
      </c>
      <c r="K52" s="39"/>
      <c r="L52" s="39">
        <v>43209</v>
      </c>
      <c r="M52" s="35" t="s">
        <v>342</v>
      </c>
      <c r="O52" s="22">
        <v>27.5</v>
      </c>
      <c r="P52" s="40"/>
      <c r="Q52" s="111">
        <v>16900</v>
      </c>
      <c r="R52" s="22">
        <f>71*E52</f>
        <v>5680</v>
      </c>
      <c r="S52" s="43">
        <f>-38*E52</f>
        <v>-3040</v>
      </c>
      <c r="T52" s="137">
        <f>X52*F52*0.0045</f>
        <v>1021.0257733695651</v>
      </c>
      <c r="U52" s="22">
        <f>E52*5</f>
        <v>400</v>
      </c>
      <c r="W52" s="22">
        <v>0.3</v>
      </c>
      <c r="X52" s="22">
        <f>((O52*F52)+Q52+R52+S52+U52)/G52</f>
        <v>24.176304347826086</v>
      </c>
      <c r="Y52" s="22">
        <f>((O52*F52)+Q52+R52+S52+T52+U52)/G52+W52</f>
        <v>24.565089197684312</v>
      </c>
      <c r="Z52" s="3">
        <f>Y52*G52</f>
        <v>282498.52577336959</v>
      </c>
      <c r="AA52" s="44">
        <v>43222</v>
      </c>
      <c r="AB52" s="3">
        <v>36.299999999999997</v>
      </c>
      <c r="AC52" s="119" t="s">
        <v>2321</v>
      </c>
    </row>
    <row r="53" spans="1:35" x14ac:dyDescent="0.25">
      <c r="A53" s="166"/>
      <c r="B53" s="34" t="s">
        <v>1501</v>
      </c>
      <c r="C53" t="s">
        <v>343</v>
      </c>
      <c r="D53" s="35" t="s">
        <v>1502</v>
      </c>
      <c r="E53" t="s">
        <v>1652</v>
      </c>
      <c r="F53" s="36">
        <v>3551.7</v>
      </c>
      <c r="G53" s="38">
        <v>3551.7</v>
      </c>
      <c r="H53" s="38">
        <f t="shared" si="12"/>
        <v>0</v>
      </c>
      <c r="I53" t="s">
        <v>2371</v>
      </c>
      <c r="K53" s="39"/>
      <c r="L53" s="39">
        <v>43209</v>
      </c>
      <c r="M53" s="35" t="s">
        <v>342</v>
      </c>
      <c r="O53" s="22">
        <v>18.3</v>
      </c>
      <c r="P53" s="40"/>
      <c r="Q53" s="22"/>
      <c r="R53" s="22"/>
      <c r="S53" s="43"/>
      <c r="T53" s="43"/>
      <c r="U53" s="22"/>
      <c r="W53" s="22"/>
      <c r="X53" s="22">
        <f>IF(O53&gt;0,O53,((P53*2.2046*S53)+(Q53+R53)/G53)+V53)</f>
        <v>18.3</v>
      </c>
      <c r="Y53" s="22">
        <f>IF(O53&gt;0,O53,((P53*2.2046*S53)+(Q53+R53+T53)/G53)+V53+W53)</f>
        <v>18.3</v>
      </c>
      <c r="Z53" s="3">
        <f>Y53*F53</f>
        <v>64996.11</v>
      </c>
      <c r="AA53" s="44">
        <v>43216</v>
      </c>
      <c r="AB53" s="3"/>
      <c r="AC53" s="119"/>
    </row>
    <row r="54" spans="1:35" x14ac:dyDescent="0.25">
      <c r="A54" s="166"/>
      <c r="B54" s="34" t="s">
        <v>2369</v>
      </c>
      <c r="C54" t="s">
        <v>2368</v>
      </c>
      <c r="D54" s="35" t="s">
        <v>1502</v>
      </c>
      <c r="E54" t="s">
        <v>2370</v>
      </c>
      <c r="F54" s="36">
        <v>40</v>
      </c>
      <c r="G54" s="38">
        <v>40</v>
      </c>
      <c r="H54" s="38">
        <f t="shared" si="12"/>
        <v>0</v>
      </c>
      <c r="I54" t="s">
        <v>2371</v>
      </c>
      <c r="K54" s="39"/>
      <c r="L54" s="39">
        <v>43209</v>
      </c>
      <c r="M54" s="35" t="s">
        <v>342</v>
      </c>
      <c r="O54" s="22">
        <v>26</v>
      </c>
      <c r="P54" s="40"/>
      <c r="Q54" s="22"/>
      <c r="R54" s="22"/>
      <c r="S54" s="43"/>
      <c r="T54" s="43"/>
      <c r="U54" s="22"/>
      <c r="W54" s="22"/>
      <c r="X54" s="22">
        <f>IF(O54&gt;0,O54,((P54*2.2046*S54)+(Q54+R54)/G54)+V54)</f>
        <v>26</v>
      </c>
      <c r="Y54" s="22">
        <f>IF(O54&gt;0,O54,((P54*2.2046*S54)+(Q54+R54+T54)/G54)+V54+W54)</f>
        <v>26</v>
      </c>
      <c r="Z54" s="3">
        <f>Y54*F54</f>
        <v>1040</v>
      </c>
      <c r="AA54" s="44">
        <v>43216</v>
      </c>
      <c r="AB54" s="3"/>
      <c r="AC54" s="119"/>
    </row>
    <row r="55" spans="1:35" x14ac:dyDescent="0.25">
      <c r="A55" s="166"/>
      <c r="B55" s="34" t="s">
        <v>328</v>
      </c>
      <c r="C55" s="35" t="s">
        <v>329</v>
      </c>
      <c r="D55" s="35" t="s">
        <v>329</v>
      </c>
      <c r="E55" t="s">
        <v>1021</v>
      </c>
      <c r="F55" s="36">
        <f>42466.5*0.4536</f>
        <v>19262.804400000001</v>
      </c>
      <c r="G55" s="38">
        <v>19232.96</v>
      </c>
      <c r="H55" s="38">
        <f t="shared" si="12"/>
        <v>-29.84440000000177</v>
      </c>
      <c r="I55" t="s">
        <v>2234</v>
      </c>
      <c r="J55" s="5" t="s">
        <v>1022</v>
      </c>
      <c r="K55" s="39">
        <v>43209</v>
      </c>
      <c r="L55" s="39">
        <v>43210</v>
      </c>
      <c r="M55" s="35" t="s">
        <v>345</v>
      </c>
      <c r="N55" s="35" t="s">
        <v>2236</v>
      </c>
      <c r="O55" s="22"/>
      <c r="P55" s="40">
        <f>0.5658+0.095</f>
        <v>0.66079999999999994</v>
      </c>
      <c r="Q55" s="111">
        <v>26000</v>
      </c>
      <c r="R55" s="120">
        <v>9500</v>
      </c>
      <c r="S55" s="45">
        <v>18.75</v>
      </c>
      <c r="T55" s="137">
        <f>X55*F55*0.005</f>
        <v>2820.1500481206053</v>
      </c>
      <c r="V55" s="22">
        <v>0.12</v>
      </c>
      <c r="W55" s="22">
        <v>0.3</v>
      </c>
      <c r="X55" s="22">
        <f>IF(O55&gt;0,O55,((P55*2.2046*S55)+(Q55+R55)/G55)+V55)</f>
        <v>29.28078372763423</v>
      </c>
      <c r="Y55" s="22">
        <f>IF(O55&gt;0,O55,((P55*2.2046*S55)+(Q55+R55+T55)/G55)+V55+W55)</f>
        <v>29.727414825921787</v>
      </c>
      <c r="Z55" s="3">
        <f>Y55*F55</f>
        <v>572633.3771093915</v>
      </c>
      <c r="AA55" s="44">
        <v>43220</v>
      </c>
      <c r="AB55" s="3"/>
      <c r="AC55" s="119"/>
    </row>
    <row r="56" spans="1:35" x14ac:dyDescent="0.25">
      <c r="A56" s="166"/>
      <c r="B56" s="34" t="s">
        <v>340</v>
      </c>
      <c r="C56" t="s">
        <v>341</v>
      </c>
      <c r="D56" s="35" t="s">
        <v>1060</v>
      </c>
      <c r="E56">
        <v>198</v>
      </c>
      <c r="F56" s="36">
        <v>23440</v>
      </c>
      <c r="G56" s="38">
        <v>18690</v>
      </c>
      <c r="H56" s="38">
        <f t="shared" si="12"/>
        <v>-4750</v>
      </c>
      <c r="I56" t="s">
        <v>2322</v>
      </c>
      <c r="J56">
        <v>200</v>
      </c>
      <c r="K56" s="39"/>
      <c r="L56" s="39">
        <v>43210</v>
      </c>
      <c r="M56" s="35" t="s">
        <v>345</v>
      </c>
      <c r="O56" s="22">
        <v>27.5</v>
      </c>
      <c r="P56" s="40"/>
      <c r="Q56" s="47">
        <v>21300</v>
      </c>
      <c r="R56" s="22">
        <f>71*E56</f>
        <v>14058</v>
      </c>
      <c r="S56" s="43">
        <f>-38*E56</f>
        <v>-7524</v>
      </c>
      <c r="T56" s="137">
        <f>X56*F56*0.0045</f>
        <v>3800.5758972712679</v>
      </c>
      <c r="U56" s="22">
        <f>E56*5</f>
        <v>990</v>
      </c>
      <c r="W56" s="22">
        <v>0.3</v>
      </c>
      <c r="X56" s="22">
        <f>((O56*F56)+Q56+R56+S56+U56)/G56</f>
        <v>36.031246655965759</v>
      </c>
      <c r="Y56" s="22">
        <f>((O56*F56)+Q56+R56+S56+T56+U56)/G56+W56</f>
        <v>36.534594751057853</v>
      </c>
      <c r="Z56" s="3">
        <f>Y56*G56</f>
        <v>682831.57589727128</v>
      </c>
      <c r="AA56" s="44">
        <v>43223</v>
      </c>
      <c r="AB56" s="3"/>
      <c r="AC56" s="119"/>
    </row>
    <row r="57" spans="1:35" x14ac:dyDescent="0.25">
      <c r="A57" s="166"/>
      <c r="B57" s="34" t="s">
        <v>340</v>
      </c>
      <c r="C57" t="s">
        <v>341</v>
      </c>
      <c r="D57" s="35" t="s">
        <v>1244</v>
      </c>
      <c r="E57">
        <v>130</v>
      </c>
      <c r="F57" s="36">
        <v>15410</v>
      </c>
      <c r="G57" s="38">
        <v>12130</v>
      </c>
      <c r="H57" s="38">
        <f t="shared" si="12"/>
        <v>-3280</v>
      </c>
      <c r="I57" s="35" t="s">
        <v>2323</v>
      </c>
      <c r="J57">
        <v>128</v>
      </c>
      <c r="K57" s="39"/>
      <c r="L57" s="39">
        <v>43210</v>
      </c>
      <c r="M57" s="35" t="s">
        <v>345</v>
      </c>
      <c r="O57" s="22">
        <v>27.5</v>
      </c>
      <c r="P57" s="40"/>
      <c r="Q57" s="111">
        <v>16900</v>
      </c>
      <c r="R57" s="22">
        <f>71*E57</f>
        <v>9230</v>
      </c>
      <c r="S57" s="43">
        <f>-38*E57</f>
        <v>-4940</v>
      </c>
      <c r="T57" s="137">
        <f>X57*F57*0.0045</f>
        <v>2547.4997671063475</v>
      </c>
      <c r="U57" s="22">
        <f>E57*5</f>
        <v>650</v>
      </c>
      <c r="W57" s="22">
        <v>0.3</v>
      </c>
      <c r="X57" s="22">
        <f>((O57*F57)+Q57+R57+S57+U57)/G57</f>
        <v>36.736603462489697</v>
      </c>
      <c r="Y57" s="22">
        <f>((O57*F57)+Q57+R57+S57+T57+U57)/G57+W57</f>
        <v>37.246619931336056</v>
      </c>
      <c r="Z57" s="3">
        <f>Y57*G57</f>
        <v>451801.49976710638</v>
      </c>
      <c r="AA57" s="44">
        <v>43223</v>
      </c>
      <c r="AB57" s="3"/>
      <c r="AC57" s="119" t="s">
        <v>2326</v>
      </c>
    </row>
    <row r="58" spans="1:35" x14ac:dyDescent="0.25">
      <c r="A58" s="166"/>
      <c r="B58" s="34" t="s">
        <v>1501</v>
      </c>
      <c r="C58" t="s">
        <v>343</v>
      </c>
      <c r="D58" s="35" t="s">
        <v>1502</v>
      </c>
      <c r="E58" t="s">
        <v>1260</v>
      </c>
      <c r="F58" s="36">
        <v>1830.2</v>
      </c>
      <c r="G58" s="38">
        <v>1830.2</v>
      </c>
      <c r="H58" s="38">
        <f t="shared" si="12"/>
        <v>0</v>
      </c>
      <c r="I58" s="35" t="s">
        <v>2375</v>
      </c>
      <c r="K58" s="39"/>
      <c r="L58" s="39">
        <v>43211</v>
      </c>
      <c r="M58" s="35" t="s">
        <v>348</v>
      </c>
      <c r="O58" s="22">
        <v>18.3</v>
      </c>
      <c r="P58" s="40"/>
      <c r="Q58" s="22"/>
      <c r="R58" s="22"/>
      <c r="S58" s="43"/>
      <c r="T58" s="43"/>
      <c r="U58" s="22"/>
      <c r="W58" s="22"/>
      <c r="X58" s="22">
        <f>IF(O58&gt;0,O58,((P58*2.2046*S58)+(Q58+R58)/G58)+V58)</f>
        <v>18.3</v>
      </c>
      <c r="Y58" s="22">
        <f>IF(O58&gt;0,O58,((P58*2.2046*S58)+(Q58+R58+T58)/G58)+V58+W58)</f>
        <v>18.3</v>
      </c>
      <c r="Z58" s="3">
        <f>Y58*F58</f>
        <v>33492.660000000003</v>
      </c>
      <c r="AA58" s="44">
        <v>43220</v>
      </c>
      <c r="AB58" s="3"/>
      <c r="AC58" s="119"/>
    </row>
    <row r="59" spans="1:35" x14ac:dyDescent="0.25">
      <c r="A59" s="166"/>
      <c r="B59" s="34" t="s">
        <v>328</v>
      </c>
      <c r="C59" t="s">
        <v>343</v>
      </c>
      <c r="D59" s="35" t="s">
        <v>343</v>
      </c>
      <c r="E59" t="s">
        <v>1040</v>
      </c>
      <c r="F59" s="36">
        <f>42072*0.4536</f>
        <v>19083.859199999999</v>
      </c>
      <c r="G59" s="38">
        <v>18995.240000000002</v>
      </c>
      <c r="H59" s="38">
        <f t="shared" si="12"/>
        <v>-88.619199999997363</v>
      </c>
      <c r="I59" s="35" t="s">
        <v>2235</v>
      </c>
      <c r="J59" s="5" t="s">
        <v>1022</v>
      </c>
      <c r="K59" s="39">
        <v>43210</v>
      </c>
      <c r="L59" s="39">
        <v>43211</v>
      </c>
      <c r="M59" s="35" t="s">
        <v>348</v>
      </c>
      <c r="N59" s="35" t="s">
        <v>2237</v>
      </c>
      <c r="O59" s="22"/>
      <c r="P59" s="40">
        <f>0.5645+0.105</f>
        <v>0.66949999999999998</v>
      </c>
      <c r="Q59" s="111">
        <v>26000</v>
      </c>
      <c r="R59" s="22">
        <v>9400</v>
      </c>
      <c r="S59" s="45">
        <v>18.135000000000002</v>
      </c>
      <c r="T59" s="137">
        <f>X59*F59*0.005</f>
        <v>2743.3540575479319</v>
      </c>
      <c r="V59" s="22">
        <v>0.12</v>
      </c>
      <c r="W59" s="22">
        <v>0.3</v>
      </c>
      <c r="X59" s="22">
        <f>IF(O59&gt;0,O59,((P59*2.2046*S59)+(Q59+R59)/G59)+V59)</f>
        <v>28.75051664128744</v>
      </c>
      <c r="Y59" s="22">
        <f>IF(O59&gt;0,O59,((P59*2.2046*S59)+(Q59+R59+T59)/G59)+V59+W59)</f>
        <v>29.194939878769461</v>
      </c>
      <c r="Z59" s="3">
        <f>Y59*F59</f>
        <v>557152.12199890148</v>
      </c>
      <c r="AA59" s="44">
        <v>43206</v>
      </c>
      <c r="AB59" s="3">
        <v>32</v>
      </c>
      <c r="AC59" s="119"/>
    </row>
    <row r="60" spans="1:35" ht="15.75" thickBot="1" x14ac:dyDescent="0.3">
      <c r="A60" s="167"/>
      <c r="B60" s="49"/>
      <c r="C60" s="23"/>
      <c r="D60" s="23"/>
      <c r="E60" s="23"/>
      <c r="F60" s="50"/>
      <c r="G60" s="50"/>
      <c r="H60" s="50"/>
      <c r="I60" s="26"/>
      <c r="J60" s="23"/>
      <c r="K60" s="27"/>
      <c r="L60" s="27"/>
      <c r="M60" s="23"/>
      <c r="N60" s="23"/>
      <c r="O60" s="28"/>
      <c r="P60" s="29"/>
      <c r="Q60" s="28"/>
      <c r="R60" s="28"/>
      <c r="S60" s="28"/>
      <c r="T60" s="28"/>
      <c r="U60" s="28"/>
      <c r="V60" s="28"/>
      <c r="W60" s="28"/>
      <c r="X60" s="28"/>
      <c r="Y60" s="28"/>
      <c r="Z60" s="32"/>
      <c r="AA60" s="51"/>
      <c r="AB60" s="3"/>
      <c r="AC60" s="119"/>
    </row>
    <row r="61" spans="1:35" ht="15.75" thickTop="1" x14ac:dyDescent="0.25">
      <c r="A61" s="168"/>
      <c r="B61" s="53" t="s">
        <v>340</v>
      </c>
      <c r="C61" s="53" t="s">
        <v>341</v>
      </c>
      <c r="D61" s="54" t="s">
        <v>2301</v>
      </c>
      <c r="E61" s="53">
        <f>247+10</f>
        <v>257</v>
      </c>
      <c r="F61" s="55">
        <f>30815+1250</f>
        <v>32065</v>
      </c>
      <c r="G61" s="56">
        <f>12700+12870</f>
        <v>25570</v>
      </c>
      <c r="H61" s="121">
        <f t="shared" ref="H61:H79" si="17">G61-F61</f>
        <v>-6495</v>
      </c>
      <c r="I61" s="57" t="s">
        <v>2344</v>
      </c>
      <c r="J61" s="53"/>
      <c r="K61" s="58"/>
      <c r="L61" s="58">
        <v>43212</v>
      </c>
      <c r="M61" s="54" t="s">
        <v>349</v>
      </c>
      <c r="N61" s="53"/>
      <c r="O61" s="59">
        <v>27</v>
      </c>
      <c r="P61" s="60"/>
      <c r="Q61" s="118">
        <v>21300</v>
      </c>
      <c r="R61" s="22">
        <f>71*E61</f>
        <v>18247</v>
      </c>
      <c r="S61" s="59">
        <f>-38*E61</f>
        <v>-9766</v>
      </c>
      <c r="T61" s="138">
        <f>X61*F61*0.0045</f>
        <v>5060.7956254399687</v>
      </c>
      <c r="U61" s="59">
        <f>E61*5</f>
        <v>1285</v>
      </c>
      <c r="V61" s="53"/>
      <c r="W61" s="59">
        <v>0.3</v>
      </c>
      <c r="X61" s="59">
        <f>((O61*F61)+Q61+R61+S61+U61)/G61</f>
        <v>35.073171685569029</v>
      </c>
      <c r="Y61" s="63">
        <f>((O61*F61)+Q61+R61+S61+T61+U61)/G61+W61</f>
        <v>35.571090951327335</v>
      </c>
      <c r="Z61" s="63">
        <f>Y61*G61</f>
        <v>909552.79562543996</v>
      </c>
      <c r="AA61" s="64">
        <v>43227</v>
      </c>
      <c r="AB61" s="3"/>
      <c r="AC61" s="3" t="s">
        <v>2348</v>
      </c>
    </row>
    <row r="62" spans="1:35" x14ac:dyDescent="0.25">
      <c r="A62" s="169"/>
      <c r="B62" s="34" t="s">
        <v>340</v>
      </c>
      <c r="C62" t="s">
        <v>44</v>
      </c>
      <c r="D62" s="35" t="s">
        <v>2048</v>
      </c>
      <c r="E62">
        <v>250</v>
      </c>
      <c r="F62" s="36">
        <f>23862-300</f>
        <v>23562</v>
      </c>
      <c r="G62" s="38">
        <f>16870+6580</f>
        <v>23450</v>
      </c>
      <c r="H62" s="38">
        <f t="shared" si="17"/>
        <v>-112</v>
      </c>
      <c r="I62" s="35" t="s">
        <v>2464</v>
      </c>
      <c r="K62" s="39"/>
      <c r="L62" s="39">
        <v>43213</v>
      </c>
      <c r="M62" s="35" t="s">
        <v>350</v>
      </c>
      <c r="O62" s="22">
        <v>36.299999999999997</v>
      </c>
      <c r="P62" s="40"/>
      <c r="Q62" s="22"/>
      <c r="R62" s="22"/>
      <c r="S62" s="43"/>
      <c r="T62" s="43"/>
      <c r="U62" s="22">
        <f>E62*5</f>
        <v>1250</v>
      </c>
      <c r="W62" s="22">
        <v>0.3</v>
      </c>
      <c r="X62" s="22">
        <f>((O62*F62)+Q62+R62+S62+U62)/G62</f>
        <v>36.526678038379529</v>
      </c>
      <c r="Y62" s="22">
        <f>((O62*F62)+Q62+R62+S62+T62+U62)/G62+W62</f>
        <v>36.826678038379526</v>
      </c>
      <c r="Z62" s="3">
        <f>Y62*G62</f>
        <v>863585.59999999986</v>
      </c>
      <c r="AA62" s="44">
        <v>43223</v>
      </c>
      <c r="AB62" s="3"/>
      <c r="AC62" s="119" t="s">
        <v>2398</v>
      </c>
      <c r="AE62" s="14"/>
      <c r="AF62" s="38">
        <f>F62</f>
        <v>23562</v>
      </c>
      <c r="AG62">
        <v>35.9</v>
      </c>
      <c r="AH62">
        <f>(O62-AG62)/2</f>
        <v>0.19999999999999929</v>
      </c>
      <c r="AI62">
        <f>AH62*AF62</f>
        <v>4712.3999999999833</v>
      </c>
    </row>
    <row r="63" spans="1:35" x14ac:dyDescent="0.25">
      <c r="A63" s="169"/>
      <c r="B63" s="34" t="s">
        <v>1501</v>
      </c>
      <c r="C63" t="s">
        <v>343</v>
      </c>
      <c r="D63" s="35" t="s">
        <v>1502</v>
      </c>
      <c r="E63" t="s">
        <v>1260</v>
      </c>
      <c r="F63" s="36">
        <v>1827.9</v>
      </c>
      <c r="G63" s="38">
        <v>1827.9</v>
      </c>
      <c r="H63" s="38">
        <f t="shared" si="17"/>
        <v>0</v>
      </c>
      <c r="I63" s="35" t="s">
        <v>2379</v>
      </c>
      <c r="K63" s="39"/>
      <c r="L63" s="39">
        <v>43213</v>
      </c>
      <c r="M63" s="35" t="s">
        <v>350</v>
      </c>
      <c r="O63" s="22">
        <v>18.3</v>
      </c>
      <c r="P63" s="40"/>
      <c r="Q63" s="22"/>
      <c r="R63" s="22"/>
      <c r="S63" s="43"/>
      <c r="T63" s="43"/>
      <c r="U63" s="22"/>
      <c r="W63" s="22"/>
      <c r="X63" s="22">
        <f t="shared" ref="X63:X64" si="18">IF(O63&gt;0,O63,((P63*2.2046*S63)+(Q63+R63)/G63)+V63)</f>
        <v>18.3</v>
      </c>
      <c r="Y63" s="22">
        <f t="shared" ref="Y63:Y64" si="19">IF(O63&gt;0,O63,((P63*2.2046*S63)+(Q63+R63+T63)/G63)+V63+W63)</f>
        <v>18.3</v>
      </c>
      <c r="Z63" s="3">
        <f t="shared" ref="Z63:Z64" si="20">Y63*F63</f>
        <v>33450.57</v>
      </c>
      <c r="AA63" s="44">
        <v>43220</v>
      </c>
      <c r="AB63" s="3"/>
      <c r="AC63" s="119"/>
      <c r="AF63" s="38"/>
    </row>
    <row r="64" spans="1:35" x14ac:dyDescent="0.25">
      <c r="A64" s="169"/>
      <c r="B64" s="34" t="s">
        <v>2369</v>
      </c>
      <c r="C64" t="s">
        <v>2368</v>
      </c>
      <c r="D64" s="35" t="s">
        <v>1502</v>
      </c>
      <c r="E64" t="s">
        <v>2378</v>
      </c>
      <c r="F64" s="36">
        <v>200</v>
      </c>
      <c r="G64" s="38">
        <v>200</v>
      </c>
      <c r="H64" s="38">
        <f t="shared" si="17"/>
        <v>0</v>
      </c>
      <c r="I64" s="35" t="s">
        <v>2379</v>
      </c>
      <c r="K64" s="39"/>
      <c r="L64" s="39">
        <v>43213</v>
      </c>
      <c r="M64" s="35" t="s">
        <v>350</v>
      </c>
      <c r="O64" s="22">
        <v>26</v>
      </c>
      <c r="P64" s="40"/>
      <c r="Q64" s="22"/>
      <c r="R64" s="22"/>
      <c r="S64" s="43"/>
      <c r="T64" s="43"/>
      <c r="U64" s="22"/>
      <c r="W64" s="22"/>
      <c r="X64" s="22">
        <f t="shared" si="18"/>
        <v>26</v>
      </c>
      <c r="Y64" s="22">
        <f t="shared" si="19"/>
        <v>26</v>
      </c>
      <c r="Z64" s="3">
        <f t="shared" si="20"/>
        <v>5200</v>
      </c>
      <c r="AA64" s="44">
        <v>43220</v>
      </c>
      <c r="AB64" s="3"/>
      <c r="AC64" s="119"/>
      <c r="AF64" s="38"/>
    </row>
    <row r="65" spans="1:29" x14ac:dyDescent="0.25">
      <c r="A65" s="169"/>
      <c r="B65" s="34" t="s">
        <v>328</v>
      </c>
      <c r="C65" t="s">
        <v>329</v>
      </c>
      <c r="D65" s="35" t="s">
        <v>329</v>
      </c>
      <c r="E65" t="s">
        <v>1021</v>
      </c>
      <c r="F65" s="36">
        <f>41912*0.4536</f>
        <v>19011.283200000002</v>
      </c>
      <c r="G65" s="38">
        <v>19009.37</v>
      </c>
      <c r="H65" s="38">
        <f t="shared" si="17"/>
        <v>-1.9132000000026892</v>
      </c>
      <c r="I65" s="35" t="s">
        <v>2265</v>
      </c>
      <c r="J65" s="5" t="s">
        <v>1089</v>
      </c>
      <c r="K65" s="39">
        <v>43213</v>
      </c>
      <c r="L65" s="39">
        <v>43214</v>
      </c>
      <c r="M65" s="35" t="s">
        <v>355</v>
      </c>
      <c r="N65" s="35" t="s">
        <v>2267</v>
      </c>
      <c r="O65" s="22"/>
      <c r="P65" s="40">
        <f>0.5651+0.095</f>
        <v>0.66010000000000002</v>
      </c>
      <c r="Q65" s="111">
        <v>26000</v>
      </c>
      <c r="R65" s="22">
        <v>9400</v>
      </c>
      <c r="S65" s="45">
        <v>19.18</v>
      </c>
      <c r="T65" s="137">
        <f t="shared" ref="T65:T72" si="21">X65*F65*0.005</f>
        <v>2841.6220530444371</v>
      </c>
      <c r="V65" s="22">
        <v>0.12</v>
      </c>
      <c r="W65" s="22">
        <v>0.3</v>
      </c>
      <c r="X65" s="22">
        <f>IF(O65&gt;0,O65,((P65*2.2046*S65)+(Q65+R65)/G65)+V65)</f>
        <v>29.894058419417338</v>
      </c>
      <c r="Y65" s="22">
        <f>IF(O65&gt;0,O65,((P65*2.2046*S65)+(Q65+R65+T65)/G65)+V65+W65)</f>
        <v>30.343543754967357</v>
      </c>
      <c r="Z65" s="3">
        <f>Y65*F65</f>
        <v>576869.70361727593</v>
      </c>
      <c r="AA65" s="44">
        <v>43223</v>
      </c>
      <c r="AB65" s="3">
        <v>32</v>
      </c>
      <c r="AC65" s="119"/>
    </row>
    <row r="66" spans="1:29" x14ac:dyDescent="0.25">
      <c r="A66" s="169"/>
      <c r="B66" s="34" t="s">
        <v>328</v>
      </c>
      <c r="C66" t="s">
        <v>336</v>
      </c>
      <c r="D66" s="35" t="s">
        <v>336</v>
      </c>
      <c r="E66" t="s">
        <v>1021</v>
      </c>
      <c r="F66" s="36">
        <f>41147*0.4536</f>
        <v>18664.279200000001</v>
      </c>
      <c r="G66" s="38">
        <v>18653.689999999999</v>
      </c>
      <c r="H66" s="38">
        <f t="shared" si="17"/>
        <v>-10.589200000002165</v>
      </c>
      <c r="I66" s="35">
        <v>43794</v>
      </c>
      <c r="J66" s="5" t="s">
        <v>1022</v>
      </c>
      <c r="K66" s="39">
        <v>43213</v>
      </c>
      <c r="L66" s="39">
        <v>43214</v>
      </c>
      <c r="M66" s="35" t="s">
        <v>355</v>
      </c>
      <c r="N66" s="35" t="s">
        <v>2267</v>
      </c>
      <c r="O66" s="22"/>
      <c r="P66" s="40">
        <f>0.5651+0.095</f>
        <v>0.66010000000000002</v>
      </c>
      <c r="Q66" s="111">
        <v>26000</v>
      </c>
      <c r="R66" s="120">
        <v>9500</v>
      </c>
      <c r="S66" s="45">
        <v>18.097000000000001</v>
      </c>
      <c r="T66" s="137">
        <f t="shared" si="21"/>
        <v>2646.4907251933014</v>
      </c>
      <c r="V66" s="22">
        <v>0.12</v>
      </c>
      <c r="W66" s="22">
        <v>0.3</v>
      </c>
      <c r="X66" s="22">
        <f>IF(O66&gt;0,O66,((P66*2.2046*S66)+(Q66+R66)/G66)+V66)</f>
        <v>28.358884871303268</v>
      </c>
      <c r="Y66" s="22">
        <f>IF(O66&gt;0,O66,((P66*2.2046*S66)+(Q66+R66+T66)/G66)+V66+W66)</f>
        <v>28.800759788555208</v>
      </c>
      <c r="Z66" s="3">
        <f>Y66*F66</f>
        <v>537545.4218657274</v>
      </c>
      <c r="AA66" s="44">
        <v>43207</v>
      </c>
      <c r="AB66" s="3">
        <v>32</v>
      </c>
      <c r="AC66" s="119"/>
    </row>
    <row r="67" spans="1:29" x14ac:dyDescent="0.25">
      <c r="A67" s="169"/>
      <c r="B67" s="34" t="s">
        <v>328</v>
      </c>
      <c r="C67" t="s">
        <v>2327</v>
      </c>
      <c r="D67" s="35" t="s">
        <v>1129</v>
      </c>
      <c r="E67" t="s">
        <v>2328</v>
      </c>
      <c r="F67" s="36">
        <f>33209*0.4536</f>
        <v>15063.6024</v>
      </c>
      <c r="G67" s="38">
        <v>14977.78</v>
      </c>
      <c r="H67" s="38">
        <f t="shared" si="17"/>
        <v>-85.822399999999107</v>
      </c>
      <c r="I67" s="35" t="s">
        <v>2330</v>
      </c>
      <c r="J67" s="5" t="s">
        <v>1022</v>
      </c>
      <c r="K67" s="39">
        <v>43213</v>
      </c>
      <c r="L67" s="39">
        <v>43214</v>
      </c>
      <c r="M67" s="35" t="s">
        <v>355</v>
      </c>
      <c r="N67" s="35" t="s">
        <v>2340</v>
      </c>
      <c r="O67" s="22"/>
      <c r="P67" s="40">
        <f>0.5828+0.1</f>
        <v>0.68279999999999996</v>
      </c>
      <c r="Q67" s="111">
        <f>(26000*G67)/(G67+G68)</f>
        <v>22022.808759758136</v>
      </c>
      <c r="R67" s="22">
        <f>(9400*G67)/(G67+G68)</f>
        <v>7962.0923977587108</v>
      </c>
      <c r="S67" s="45">
        <v>18.899000000000001</v>
      </c>
      <c r="T67" s="137">
        <f t="shared" si="21"/>
        <v>2302.5198537304827</v>
      </c>
      <c r="V67" s="22">
        <v>0.12</v>
      </c>
      <c r="W67" s="22">
        <v>0.3</v>
      </c>
      <c r="X67" s="22">
        <f t="shared" ref="X67:X68" si="22">IF(O67&gt;0,O67,((P67*2.2046*S67)+(Q67+R67)/G67)+V67)</f>
        <v>30.570640310188789</v>
      </c>
      <c r="Y67" s="22">
        <f t="shared" ref="Y67:Y68" si="23">IF(O67&gt;0,O67,((P67*2.2046*S67)+(Q67+R67+T67)/G67)+V67+W67)</f>
        <v>31.024369357733249</v>
      </c>
      <c r="Z67" s="3">
        <f t="shared" ref="Z67:Z68" si="24">Y67*F67</f>
        <v>467338.76471563702</v>
      </c>
      <c r="AA67" s="44">
        <v>43213</v>
      </c>
      <c r="AB67" s="3">
        <v>32</v>
      </c>
      <c r="AC67" s="119"/>
    </row>
    <row r="68" spans="1:29" x14ac:dyDescent="0.25">
      <c r="A68" s="169"/>
      <c r="B68" s="34" t="s">
        <v>1501</v>
      </c>
      <c r="C68" t="s">
        <v>2327</v>
      </c>
      <c r="D68" s="35" t="s">
        <v>1129</v>
      </c>
      <c r="E68" t="s">
        <v>2092</v>
      </c>
      <c r="F68" s="36">
        <f>5947*0.4536</f>
        <v>2697.5592000000001</v>
      </c>
      <c r="G68" s="38">
        <v>2704.9</v>
      </c>
      <c r="H68" s="38">
        <f t="shared" si="17"/>
        <v>7.3407999999999447</v>
      </c>
      <c r="I68" s="35" t="s">
        <v>2330</v>
      </c>
      <c r="K68" s="39">
        <v>43213</v>
      </c>
      <c r="L68" s="39">
        <v>43214</v>
      </c>
      <c r="M68" s="35" t="s">
        <v>355</v>
      </c>
      <c r="N68" s="35"/>
      <c r="O68" s="22"/>
      <c r="P68" s="40">
        <v>0.39</v>
      </c>
      <c r="Q68" s="111">
        <f>(26000*G68)/(G68+G67)</f>
        <v>3977.1912402418639</v>
      </c>
      <c r="R68" s="22">
        <f>(9400*G68)/(G68+G67)</f>
        <v>1437.9076022412892</v>
      </c>
      <c r="S68" s="45">
        <v>18.899000000000001</v>
      </c>
      <c r="T68" s="137">
        <f t="shared" si="21"/>
        <v>247.78707590302761</v>
      </c>
      <c r="V68" s="22">
        <v>0.12</v>
      </c>
      <c r="W68" s="22">
        <v>0.3</v>
      </c>
      <c r="X68" s="22">
        <f t="shared" si="22"/>
        <v>18.371205785068785</v>
      </c>
      <c r="Y68" s="22">
        <f t="shared" si="23"/>
        <v>18.762812526871823</v>
      </c>
      <c r="Z68" s="3">
        <f t="shared" si="24"/>
        <v>50613.797549738338</v>
      </c>
      <c r="AA68" s="44">
        <v>43213</v>
      </c>
      <c r="AB68" s="3"/>
      <c r="AC68" s="119"/>
    </row>
    <row r="69" spans="1:29" x14ac:dyDescent="0.25">
      <c r="A69" s="169"/>
      <c r="B69" s="34" t="s">
        <v>340</v>
      </c>
      <c r="C69" t="s">
        <v>341</v>
      </c>
      <c r="D69" s="35" t="s">
        <v>1389</v>
      </c>
      <c r="E69">
        <v>200</v>
      </c>
      <c r="F69" s="36">
        <v>22815</v>
      </c>
      <c r="G69" s="38">
        <f>6180+11740</f>
        <v>17920</v>
      </c>
      <c r="H69" s="38">
        <f t="shared" si="17"/>
        <v>-4895</v>
      </c>
      <c r="I69" s="35" t="s">
        <v>2397</v>
      </c>
      <c r="K69" s="39"/>
      <c r="L69" s="39">
        <v>43214</v>
      </c>
      <c r="M69" s="35" t="s">
        <v>355</v>
      </c>
      <c r="O69" s="22">
        <v>26.5</v>
      </c>
      <c r="P69" s="40"/>
      <c r="Q69" s="47">
        <v>21300</v>
      </c>
      <c r="R69" s="22">
        <f>71*E69</f>
        <v>14200</v>
      </c>
      <c r="S69" s="43">
        <f>-38*E69</f>
        <v>-7600</v>
      </c>
      <c r="T69" s="137">
        <f t="shared" si="21"/>
        <v>4032.7135777064732</v>
      </c>
      <c r="U69" s="22">
        <f>E69*5</f>
        <v>1000</v>
      </c>
      <c r="W69" s="22">
        <v>0.3</v>
      </c>
      <c r="X69" s="22">
        <f>((O69*F69)+Q69+R69+S69+U69)/G69</f>
        <v>35.351422991071431</v>
      </c>
      <c r="Y69" s="22">
        <f>((O69*F69)+Q69+R69+S69+T69+U69)/G69+W69</f>
        <v>35.876462811255941</v>
      </c>
      <c r="Z69" s="3">
        <f>Y69*G69</f>
        <v>642906.21357770648</v>
      </c>
      <c r="AA69" s="44">
        <v>43227</v>
      </c>
      <c r="AB69" s="3"/>
      <c r="AC69" s="119" t="s">
        <v>2399</v>
      </c>
    </row>
    <row r="70" spans="1:29" x14ac:dyDescent="0.25">
      <c r="A70" s="169"/>
      <c r="B70" s="34" t="s">
        <v>328</v>
      </c>
      <c r="C70" t="s">
        <v>336</v>
      </c>
      <c r="D70" s="35" t="s">
        <v>336</v>
      </c>
      <c r="E70" t="s">
        <v>1021</v>
      </c>
      <c r="F70" s="36">
        <f>41705*0.4536</f>
        <v>18917.387999999999</v>
      </c>
      <c r="G70" s="38">
        <v>18865.95</v>
      </c>
      <c r="H70" s="38">
        <f t="shared" si="17"/>
        <v>-51.437999999998283</v>
      </c>
      <c r="I70">
        <v>43795</v>
      </c>
      <c r="J70" s="5" t="s">
        <v>1022</v>
      </c>
      <c r="K70" s="39">
        <v>43214</v>
      </c>
      <c r="L70" s="39">
        <v>43215</v>
      </c>
      <c r="M70" s="35" t="s">
        <v>331</v>
      </c>
      <c r="N70" s="35" t="s">
        <v>2266</v>
      </c>
      <c r="O70" s="22"/>
      <c r="P70" s="40">
        <f>0.5828+0.095</f>
        <v>0.67779999999999996</v>
      </c>
      <c r="Q70" s="111">
        <v>26000</v>
      </c>
      <c r="R70" s="22">
        <v>9400</v>
      </c>
      <c r="S70" s="45">
        <v>18.045000000000002</v>
      </c>
      <c r="T70" s="137">
        <f t="shared" si="21"/>
        <v>2739.2983851491031</v>
      </c>
      <c r="V70" s="22">
        <v>0.12</v>
      </c>
      <c r="W70" s="22">
        <v>0.3</v>
      </c>
      <c r="X70" s="22">
        <f>IF(O70&gt;0,O70,((P70*2.2046*S70)+(Q70+R70)/G70)+V70)</f>
        <v>28.960640709479591</v>
      </c>
      <c r="Y70" s="22">
        <f>IF(O70&gt;0,O70,((P70*2.2046*S70)+(Q70+R70+T70)/G70)+V70+W70)</f>
        <v>29.405838718864175</v>
      </c>
      <c r="Z70" s="3">
        <f>Y70*F70</f>
        <v>556281.66051017644</v>
      </c>
      <c r="AA70" s="44">
        <v>43208</v>
      </c>
      <c r="AB70" s="3">
        <v>32</v>
      </c>
      <c r="AC70" s="119"/>
    </row>
    <row r="71" spans="1:29" x14ac:dyDescent="0.25">
      <c r="A71" s="169"/>
      <c r="B71" s="34" t="s">
        <v>340</v>
      </c>
      <c r="C71" t="s">
        <v>341</v>
      </c>
      <c r="D71" s="35" t="s">
        <v>1389</v>
      </c>
      <c r="E71">
        <v>198</v>
      </c>
      <c r="F71" s="36">
        <v>22790</v>
      </c>
      <c r="G71" s="38">
        <f>11550+6270</f>
        <v>17820</v>
      </c>
      <c r="H71" s="38">
        <f t="shared" si="17"/>
        <v>-4970</v>
      </c>
      <c r="K71" s="39"/>
      <c r="L71" s="39">
        <v>43215</v>
      </c>
      <c r="M71" s="35" t="s">
        <v>331</v>
      </c>
      <c r="O71" s="22">
        <v>27</v>
      </c>
      <c r="P71" s="40"/>
      <c r="Q71" s="47">
        <v>21300</v>
      </c>
      <c r="R71" s="22">
        <f>71*E71</f>
        <v>14058</v>
      </c>
      <c r="S71" s="43">
        <f>-38*E71</f>
        <v>-7524</v>
      </c>
      <c r="T71" s="137">
        <f t="shared" si="21"/>
        <v>4119.0431144781151</v>
      </c>
      <c r="U71" s="22">
        <f>E71*5</f>
        <v>990</v>
      </c>
      <c r="W71" s="22">
        <v>0.3</v>
      </c>
      <c r="X71" s="22">
        <f>((O71*F71)+Q71+R71+S71+U71)/G71</f>
        <v>36.147811447811449</v>
      </c>
      <c r="Y71" s="22">
        <f>((O71*F71)+Q71+R71+S71+T71+U71)/G71+W71</f>
        <v>36.678958648399444</v>
      </c>
      <c r="Z71" s="3">
        <f>Y71*G71</f>
        <v>653619.04311447812</v>
      </c>
      <c r="AA71" s="44">
        <v>43228</v>
      </c>
      <c r="AB71" s="3"/>
      <c r="AC71" s="119" t="s">
        <v>2412</v>
      </c>
    </row>
    <row r="72" spans="1:29" x14ac:dyDescent="0.25">
      <c r="A72" s="169"/>
      <c r="B72" s="34" t="s">
        <v>328</v>
      </c>
      <c r="C72" s="35" t="s">
        <v>343</v>
      </c>
      <c r="D72" s="35" t="s">
        <v>343</v>
      </c>
      <c r="E72" t="s">
        <v>1040</v>
      </c>
      <c r="F72" s="36">
        <f>42160*0.4536</f>
        <v>19123.776000000002</v>
      </c>
      <c r="G72" s="38">
        <v>19081.98</v>
      </c>
      <c r="H72" s="38">
        <f t="shared" si="17"/>
        <v>-41.796000000002095</v>
      </c>
      <c r="I72" t="s">
        <v>2566</v>
      </c>
      <c r="J72" s="5" t="s">
        <v>1022</v>
      </c>
      <c r="K72" s="39">
        <v>43215</v>
      </c>
      <c r="L72" s="39">
        <v>43216</v>
      </c>
      <c r="M72" s="35" t="s">
        <v>342</v>
      </c>
      <c r="N72" s="35" t="s">
        <v>2268</v>
      </c>
      <c r="O72" s="22"/>
      <c r="P72" s="40">
        <f>0.5778+0.105</f>
        <v>0.68279999999999996</v>
      </c>
      <c r="Q72" s="111">
        <v>26000</v>
      </c>
      <c r="R72" s="22">
        <v>9400</v>
      </c>
      <c r="S72" s="45">
        <v>18.016999999999999</v>
      </c>
      <c r="T72" s="137">
        <f t="shared" si="21"/>
        <v>2782.1421694433088</v>
      </c>
      <c r="V72" s="22">
        <v>0.12</v>
      </c>
      <c r="W72" s="22">
        <v>0.3</v>
      </c>
      <c r="X72" s="22">
        <f>IF(O72&gt;0,O72,((P72*2.2046*S72)+(Q72+R72)/G72)+V72)</f>
        <v>29.096159350991233</v>
      </c>
      <c r="Y72" s="22">
        <f>IF(O72&gt;0,O72,((P72*2.2046*S72)+(Q72+R72+T72)/G72)+V72+W72)</f>
        <v>29.54195879997102</v>
      </c>
      <c r="Z72" s="3">
        <f>Y72*F72</f>
        <v>564953.80269187468</v>
      </c>
      <c r="AA72" s="44">
        <v>43209</v>
      </c>
      <c r="AB72" s="3">
        <v>32</v>
      </c>
      <c r="AC72" s="119"/>
    </row>
    <row r="73" spans="1:29" x14ac:dyDescent="0.25">
      <c r="A73" s="169"/>
      <c r="B73" s="34" t="s">
        <v>1501</v>
      </c>
      <c r="C73" s="35" t="s">
        <v>343</v>
      </c>
      <c r="D73" s="35" t="s">
        <v>1502</v>
      </c>
      <c r="E73" t="s">
        <v>1260</v>
      </c>
      <c r="F73" s="36">
        <v>1790.8</v>
      </c>
      <c r="G73" s="38">
        <v>1790.8</v>
      </c>
      <c r="H73" s="38">
        <f t="shared" si="17"/>
        <v>0</v>
      </c>
      <c r="I73" t="s">
        <v>2541</v>
      </c>
      <c r="K73" s="39"/>
      <c r="L73" s="39">
        <v>43216</v>
      </c>
      <c r="M73" s="35" t="s">
        <v>342</v>
      </c>
      <c r="N73" s="35"/>
      <c r="O73" s="22">
        <v>18.5</v>
      </c>
      <c r="P73" s="40"/>
      <c r="Q73" s="22"/>
      <c r="R73" s="22"/>
      <c r="S73" s="45"/>
      <c r="T73" s="43"/>
      <c r="V73" s="22"/>
      <c r="W73" s="22"/>
      <c r="X73" s="22">
        <f>IF(O73&gt;0,O73,((P73*2.2046*S73)+(Q73+R73)/G73)+V73)</f>
        <v>18.5</v>
      </c>
      <c r="Y73" s="22">
        <f>IF(O73&gt;0,O73,((P73*2.2046*S73)+(Q73+R73+T73)/G73)+V73+W73)</f>
        <v>18.5</v>
      </c>
      <c r="Z73" s="3">
        <f>Y73*F73</f>
        <v>33129.799999999996</v>
      </c>
      <c r="AA73" s="44">
        <v>43223</v>
      </c>
      <c r="AB73" s="3"/>
      <c r="AC73" s="119"/>
    </row>
    <row r="74" spans="1:29" x14ac:dyDescent="0.25">
      <c r="A74" s="169"/>
      <c r="B74" s="34" t="s">
        <v>340</v>
      </c>
      <c r="C74" t="s">
        <v>341</v>
      </c>
      <c r="D74" s="35" t="s">
        <v>2414</v>
      </c>
      <c r="E74">
        <f>250</f>
        <v>250</v>
      </c>
      <c r="F74" s="36">
        <f>29660</f>
        <v>29660</v>
      </c>
      <c r="G74" s="38">
        <f>18600</f>
        <v>18600</v>
      </c>
      <c r="H74" s="38">
        <f t="shared" si="17"/>
        <v>-11060</v>
      </c>
      <c r="I74" t="s">
        <v>2415</v>
      </c>
      <c r="J74" s="10">
        <v>200</v>
      </c>
      <c r="K74" s="39"/>
      <c r="L74" s="39">
        <v>43216</v>
      </c>
      <c r="M74" s="35" t="s">
        <v>342</v>
      </c>
      <c r="O74" s="22">
        <v>27</v>
      </c>
      <c r="P74" s="40"/>
      <c r="Q74" s="47">
        <f>21300</f>
        <v>21300</v>
      </c>
      <c r="R74" s="22">
        <f>71*E74</f>
        <v>17750</v>
      </c>
      <c r="S74" s="43">
        <f>-38*E74</f>
        <v>-9500</v>
      </c>
      <c r="T74" s="137">
        <f>X74*F74*0.0045</f>
        <v>5967.5441612903223</v>
      </c>
      <c r="U74" s="22">
        <f>E74*5</f>
        <v>1250</v>
      </c>
      <c r="W74" s="22">
        <v>0.3</v>
      </c>
      <c r="X74" s="22">
        <f>((O74*F74)+Q74+R74+S74+U74)/G74</f>
        <v>44.710752688172043</v>
      </c>
      <c r="Y74" s="22">
        <f>((O74*F74)+Q74+R74+S74+T74+U74)/G74+W74</f>
        <v>45.331588395768293</v>
      </c>
      <c r="Z74" s="3">
        <f>Y74*G74</f>
        <v>843167.54416129028</v>
      </c>
      <c r="AA74" s="44">
        <v>43229</v>
      </c>
      <c r="AB74" s="3"/>
      <c r="AC74" s="119"/>
    </row>
    <row r="75" spans="1:29" x14ac:dyDescent="0.25">
      <c r="A75" s="169"/>
      <c r="B75" s="34" t="s">
        <v>340</v>
      </c>
      <c r="C75" t="s">
        <v>341</v>
      </c>
      <c r="D75" s="35" t="s">
        <v>1389</v>
      </c>
      <c r="E75">
        <v>79</v>
      </c>
      <c r="F75" s="36">
        <v>8920</v>
      </c>
      <c r="G75" s="38">
        <v>12220</v>
      </c>
      <c r="H75" s="38">
        <f t="shared" si="17"/>
        <v>3300</v>
      </c>
      <c r="I75" t="s">
        <v>2416</v>
      </c>
      <c r="J75" s="10">
        <v>128</v>
      </c>
      <c r="K75" s="39"/>
      <c r="L75" s="39">
        <v>43216</v>
      </c>
      <c r="M75" s="35" t="s">
        <v>342</v>
      </c>
      <c r="O75" s="22">
        <v>27</v>
      </c>
      <c r="P75" s="40"/>
      <c r="Q75" s="111">
        <v>16900</v>
      </c>
      <c r="R75" s="22">
        <f>71*E75</f>
        <v>5609</v>
      </c>
      <c r="S75" s="43">
        <f>-38*E75</f>
        <v>-3002</v>
      </c>
      <c r="T75" s="137">
        <f>X75*F75*0.0045</f>
        <v>856.47985924713578</v>
      </c>
      <c r="U75" s="22">
        <f>E75*5</f>
        <v>395</v>
      </c>
      <c r="W75" s="22">
        <v>0.3</v>
      </c>
      <c r="X75" s="22">
        <f>((O75*F75)+Q75+R75+S75+U75)/G75</f>
        <v>21.337315875613747</v>
      </c>
      <c r="Y75" s="22">
        <f>((O75*F75)+Q75+R75+S75+T75+U75)/G75+W75</f>
        <v>21.707404243800912</v>
      </c>
      <c r="Z75" s="3">
        <f>Y75*G75</f>
        <v>265264.47985924716</v>
      </c>
      <c r="AA75" s="44">
        <v>43229</v>
      </c>
      <c r="AB75" s="3">
        <v>35.94</v>
      </c>
      <c r="AC75" s="119" t="s">
        <v>2417</v>
      </c>
    </row>
    <row r="76" spans="1:29" x14ac:dyDescent="0.25">
      <c r="A76" s="169"/>
      <c r="B76" s="34" t="s">
        <v>328</v>
      </c>
      <c r="C76" s="35" t="s">
        <v>329</v>
      </c>
      <c r="D76" s="35" t="s">
        <v>329</v>
      </c>
      <c r="E76" t="s">
        <v>1021</v>
      </c>
      <c r="F76" s="36">
        <f>42881*0.4536</f>
        <v>19450.821599999999</v>
      </c>
      <c r="G76" s="38">
        <v>19460.05</v>
      </c>
      <c r="H76" s="38">
        <f t="shared" si="17"/>
        <v>9.2283999999999651</v>
      </c>
      <c r="I76" t="s">
        <v>2271</v>
      </c>
      <c r="J76" s="5" t="s">
        <v>1022</v>
      </c>
      <c r="K76" s="39">
        <v>43216</v>
      </c>
      <c r="L76" s="39">
        <v>43217</v>
      </c>
      <c r="M76" s="35" t="s">
        <v>345</v>
      </c>
      <c r="N76" s="35" t="s">
        <v>2269</v>
      </c>
      <c r="O76" s="22"/>
      <c r="P76" s="40">
        <f>0.5778+0.095</f>
        <v>0.67279999999999995</v>
      </c>
      <c r="Q76" s="111">
        <v>26000</v>
      </c>
      <c r="R76" s="120">
        <v>9500</v>
      </c>
      <c r="S76" s="45">
        <v>19.515000000000001</v>
      </c>
      <c r="T76" s="137">
        <f>X76*F76*0.005</f>
        <v>3004.1763985373027</v>
      </c>
      <c r="V76" s="22">
        <v>0.12</v>
      </c>
      <c r="W76" s="22">
        <v>0.3</v>
      </c>
      <c r="X76" s="22">
        <f>IF(O76&gt;0,O76,((P76*2.2046*S76)+(Q76+R76)/G76)+V76)</f>
        <v>30.889969177829514</v>
      </c>
      <c r="Y76" s="22">
        <f>IF(O76&gt;0,O76,((P76*2.2046*S76)+(Q76+R76+T76)/G76)+V76+W76)</f>
        <v>31.344345780075518</v>
      </c>
      <c r="Z76" s="3">
        <f>Y76*F76</f>
        <v>609673.27793696173</v>
      </c>
      <c r="AA76" s="44">
        <v>43227</v>
      </c>
      <c r="AB76" s="3">
        <v>30.6</v>
      </c>
      <c r="AC76" s="119"/>
    </row>
    <row r="77" spans="1:29" x14ac:dyDescent="0.25">
      <c r="A77" s="169"/>
      <c r="B77" s="34" t="s">
        <v>340</v>
      </c>
      <c r="C77" t="s">
        <v>341</v>
      </c>
      <c r="D77" s="35" t="s">
        <v>2414</v>
      </c>
      <c r="E77">
        <f>250</f>
        <v>250</v>
      </c>
      <c r="F77" s="36">
        <f>30630</f>
        <v>30630</v>
      </c>
      <c r="G77" s="38">
        <f>20240</f>
        <v>20240</v>
      </c>
      <c r="H77" s="38">
        <f t="shared" si="17"/>
        <v>-10390</v>
      </c>
      <c r="I77" t="s">
        <v>2421</v>
      </c>
      <c r="J77" s="10">
        <v>200</v>
      </c>
      <c r="K77" s="39"/>
      <c r="L77" s="39">
        <v>43217</v>
      </c>
      <c r="M77" s="35" t="s">
        <v>345</v>
      </c>
      <c r="O77" s="22">
        <v>27</v>
      </c>
      <c r="P77" s="40"/>
      <c r="Q77" s="47">
        <f>21300</f>
        <v>21300</v>
      </c>
      <c r="R77" s="22">
        <f>71*E77</f>
        <v>17750</v>
      </c>
      <c r="S77" s="43">
        <f>-38*E77</f>
        <v>-9500</v>
      </c>
      <c r="T77" s="137">
        <f>X77*F77*0.0045</f>
        <v>5841.7115291501977</v>
      </c>
      <c r="U77" s="22">
        <f>E77*5</f>
        <v>1250</v>
      </c>
      <c r="W77" s="22">
        <v>0.3</v>
      </c>
      <c r="X77" s="22">
        <f>((O77*F77)+Q77+R77+S77+U77)/G77</f>
        <v>42.38191699604743</v>
      </c>
      <c r="Y77" s="22">
        <f>((O77*F77)+Q77+R77+S77+T77+U77)/G77+W77</f>
        <v>42.970539107171447</v>
      </c>
      <c r="Z77" s="3">
        <f>Y77*G77</f>
        <v>869723.71152915014</v>
      </c>
      <c r="AA77" s="44">
        <v>43230</v>
      </c>
      <c r="AB77" s="3"/>
      <c r="AC77" s="119"/>
    </row>
    <row r="78" spans="1:29" x14ac:dyDescent="0.25">
      <c r="A78" s="169"/>
      <c r="B78" s="34" t="s">
        <v>340</v>
      </c>
      <c r="C78" t="s">
        <v>341</v>
      </c>
      <c r="D78" s="35" t="s">
        <v>1389</v>
      </c>
      <c r="E78">
        <v>79</v>
      </c>
      <c r="F78" s="36">
        <v>9040</v>
      </c>
      <c r="G78" s="38">
        <v>12090</v>
      </c>
      <c r="H78" s="38">
        <f t="shared" si="17"/>
        <v>3050</v>
      </c>
      <c r="I78" s="35" t="s">
        <v>2420</v>
      </c>
      <c r="J78" s="10">
        <v>128</v>
      </c>
      <c r="K78" s="39"/>
      <c r="L78" s="39">
        <v>43217</v>
      </c>
      <c r="M78" s="35" t="s">
        <v>345</v>
      </c>
      <c r="O78" s="22">
        <v>27</v>
      </c>
      <c r="P78" s="40"/>
      <c r="Q78" s="111">
        <v>16900</v>
      </c>
      <c r="R78" s="22">
        <f>71*E78</f>
        <v>5609</v>
      </c>
      <c r="S78" s="43">
        <f>-38*E78</f>
        <v>-3002</v>
      </c>
      <c r="T78" s="137">
        <f>X78*F78*0.0045</f>
        <v>888.23720099255581</v>
      </c>
      <c r="U78" s="22">
        <f>E78*5</f>
        <v>395</v>
      </c>
      <c r="W78" s="22">
        <v>0.3</v>
      </c>
      <c r="X78" s="22">
        <f>((O78*F78)+Q78+R78+S78+U78)/G78</f>
        <v>21.834739454094294</v>
      </c>
      <c r="Y78" s="22">
        <f>((O78*F78)+Q78+R78+S78+T78+U78)/G78+W78</f>
        <v>22.208208205210301</v>
      </c>
      <c r="Z78" s="3">
        <f>Y78*G78</f>
        <v>268497.23720099253</v>
      </c>
      <c r="AA78" s="44">
        <v>43230</v>
      </c>
      <c r="AB78" s="3">
        <v>39</v>
      </c>
      <c r="AC78" s="119" t="s">
        <v>2462</v>
      </c>
    </row>
    <row r="79" spans="1:29" x14ac:dyDescent="0.25">
      <c r="A79" s="169"/>
      <c r="B79" s="34" t="s">
        <v>328</v>
      </c>
      <c r="C79" t="s">
        <v>343</v>
      </c>
      <c r="D79" s="35" t="s">
        <v>343</v>
      </c>
      <c r="E79" t="s">
        <v>1040</v>
      </c>
      <c r="F79" s="36">
        <f>42476*0.4536</f>
        <v>19267.113600000001</v>
      </c>
      <c r="G79" s="38">
        <v>19237.86</v>
      </c>
      <c r="H79" s="38">
        <f t="shared" si="17"/>
        <v>-29.253600000000006</v>
      </c>
      <c r="I79" s="35" t="s">
        <v>2272</v>
      </c>
      <c r="J79" s="5" t="s">
        <v>1023</v>
      </c>
      <c r="K79" s="39">
        <v>43217</v>
      </c>
      <c r="L79" s="39">
        <v>43218</v>
      </c>
      <c r="M79" s="35" t="s">
        <v>348</v>
      </c>
      <c r="N79" s="35" t="s">
        <v>2270</v>
      </c>
      <c r="O79" s="22"/>
      <c r="P79" s="40">
        <f>0.5485+0.105</f>
        <v>0.65349999999999997</v>
      </c>
      <c r="Q79" s="111">
        <v>26000</v>
      </c>
      <c r="R79" s="22">
        <v>9400</v>
      </c>
      <c r="S79" s="45">
        <v>18.780999999999999</v>
      </c>
      <c r="T79" s="137">
        <f>X79*F79*0.005</f>
        <v>2795.4677062180745</v>
      </c>
      <c r="V79" s="22">
        <v>0.12</v>
      </c>
      <c r="W79" s="22">
        <v>0.3</v>
      </c>
      <c r="X79" s="22">
        <f>IF(O79&gt;0,O79,((P79*2.2046*S79)+(Q79+R79)/G79)+V79)</f>
        <v>29.018022774496689</v>
      </c>
      <c r="Y79" s="22">
        <f>IF(O79&gt;0,O79,((P79*2.2046*S79)+(Q79+R79+T79)/G79)+V79+W79)</f>
        <v>29.463333516243331</v>
      </c>
      <c r="Z79" s="3">
        <f>Y79*F79</f>
        <v>567673.39389214769</v>
      </c>
      <c r="AA79" s="44">
        <v>43213</v>
      </c>
      <c r="AB79" s="3">
        <v>32</v>
      </c>
      <c r="AC79" s="119"/>
    </row>
    <row r="80" spans="1:29" ht="15.75" thickBot="1" x14ac:dyDescent="0.3">
      <c r="A80" s="170"/>
      <c r="B80" s="49"/>
      <c r="C80" s="23"/>
      <c r="D80" s="23"/>
      <c r="E80" s="23"/>
      <c r="F80" s="50"/>
      <c r="G80" s="50"/>
      <c r="H80" s="50"/>
      <c r="I80" s="26"/>
      <c r="J80" s="23"/>
      <c r="K80" s="27"/>
      <c r="L80" s="27"/>
      <c r="M80" s="23"/>
      <c r="N80" s="23"/>
      <c r="O80" s="28"/>
      <c r="P80" s="29"/>
      <c r="Q80" s="28"/>
      <c r="R80" s="28"/>
      <c r="S80" s="28"/>
      <c r="T80" s="28"/>
      <c r="U80" s="28"/>
      <c r="V80" s="28"/>
      <c r="W80" s="28"/>
      <c r="X80" s="28"/>
      <c r="Y80" s="28"/>
      <c r="Z80" s="32"/>
      <c r="AA80" s="51"/>
      <c r="AB80" s="3"/>
      <c r="AC80" s="119"/>
    </row>
    <row r="81" spans="1:35" ht="15.75" thickTop="1" x14ac:dyDescent="0.25">
      <c r="A81" s="174"/>
      <c r="B81" s="53" t="s">
        <v>340</v>
      </c>
      <c r="C81" s="53" t="s">
        <v>341</v>
      </c>
      <c r="D81" s="54" t="s">
        <v>1060</v>
      </c>
      <c r="E81" s="53">
        <f>250+10</f>
        <v>260</v>
      </c>
      <c r="F81" s="55">
        <f>30670+1280</f>
        <v>31950</v>
      </c>
      <c r="G81" s="56">
        <f>12740+12860</f>
        <v>25600</v>
      </c>
      <c r="H81" s="121">
        <f t="shared" ref="H81:H83" si="25">G81-F81</f>
        <v>-6350</v>
      </c>
      <c r="I81" s="57" t="s">
        <v>2457</v>
      </c>
      <c r="J81" s="181">
        <v>259</v>
      </c>
      <c r="K81" s="58"/>
      <c r="L81" s="58">
        <v>43219</v>
      </c>
      <c r="M81" s="54" t="s">
        <v>349</v>
      </c>
      <c r="N81" s="53"/>
      <c r="O81" s="59">
        <v>26.5</v>
      </c>
      <c r="P81" s="60"/>
      <c r="Q81" s="61">
        <v>21300</v>
      </c>
      <c r="R81" s="22">
        <f>71*E81</f>
        <v>18460</v>
      </c>
      <c r="S81" s="59">
        <f>-38*E81</f>
        <v>-9880</v>
      </c>
      <c r="T81" s="138">
        <f>X81*F81*0.0045</f>
        <v>4930.218852539062</v>
      </c>
      <c r="U81" s="59">
        <f>E81*5</f>
        <v>1300</v>
      </c>
      <c r="V81" s="53"/>
      <c r="W81" s="59">
        <v>0.3</v>
      </c>
      <c r="X81" s="59">
        <f>((O81*F81)+Q81+R81+S81+U81)/G81</f>
        <v>34.291210937499997</v>
      </c>
      <c r="Y81" s="63">
        <f>((O81*F81)+Q81+R81+S81+T81+U81)/G81+W81</f>
        <v>34.783797611427303</v>
      </c>
      <c r="Z81" s="63">
        <f>Y81*G81</f>
        <v>890465.21885253896</v>
      </c>
      <c r="AA81" s="64">
        <v>43234</v>
      </c>
      <c r="AB81" s="3">
        <v>38</v>
      </c>
      <c r="AC81" s="3" t="s">
        <v>2463</v>
      </c>
    </row>
    <row r="82" spans="1:35" x14ac:dyDescent="0.25">
      <c r="A82" s="175"/>
      <c r="B82" s="34" t="s">
        <v>340</v>
      </c>
      <c r="C82" t="s">
        <v>44</v>
      </c>
      <c r="D82" s="35" t="s">
        <v>2048</v>
      </c>
      <c r="E82">
        <v>220</v>
      </c>
      <c r="F82" s="36">
        <v>19315.5</v>
      </c>
      <c r="G82" s="38">
        <f>13220+6040</f>
        <v>19260</v>
      </c>
      <c r="H82" s="38">
        <f t="shared" si="25"/>
        <v>-55.5</v>
      </c>
      <c r="I82" s="35" t="s">
        <v>2552</v>
      </c>
      <c r="K82" s="39"/>
      <c r="L82" s="39">
        <v>43220</v>
      </c>
      <c r="M82" s="35" t="s">
        <v>350</v>
      </c>
      <c r="O82" s="22">
        <v>34.700000000000003</v>
      </c>
      <c r="P82" s="40"/>
      <c r="Q82" s="47">
        <v>16900</v>
      </c>
      <c r="R82" s="22"/>
      <c r="S82" s="43"/>
      <c r="T82" s="137">
        <f>X82*F82*0.0045</f>
        <v>3106.0400342698599</v>
      </c>
      <c r="U82" s="22">
        <f>E82*5</f>
        <v>1100</v>
      </c>
      <c r="W82" s="22">
        <v>0.3</v>
      </c>
      <c r="X82" s="22">
        <f>((O82*F82)+Q82+R82+S82+U82)/G82</f>
        <v>35.734571651090349</v>
      </c>
      <c r="Y82" s="22">
        <f>((O82*F82)+Q82+R82+S82+T82+U82)/G82+W82</f>
        <v>36.195840604063861</v>
      </c>
      <c r="Z82" s="3">
        <f>Y82*G82</f>
        <v>697131.89003427001</v>
      </c>
      <c r="AA82" s="44">
        <v>43230</v>
      </c>
      <c r="AB82" s="3">
        <v>38</v>
      </c>
      <c r="AC82" s="119" t="s">
        <v>2467</v>
      </c>
      <c r="AE82" s="14"/>
      <c r="AF82" s="38">
        <f>F82</f>
        <v>19315.5</v>
      </c>
      <c r="AG82">
        <v>34.5</v>
      </c>
      <c r="AH82">
        <f>(O82-AG82)/2</f>
        <v>0.10000000000000142</v>
      </c>
      <c r="AI82">
        <f>AH82*AF82</f>
        <v>1931.5500000000275</v>
      </c>
    </row>
    <row r="83" spans="1:35" x14ac:dyDescent="0.25">
      <c r="A83" s="175"/>
      <c r="B83" s="34" t="s">
        <v>1501</v>
      </c>
      <c r="C83" s="35" t="s">
        <v>343</v>
      </c>
      <c r="D83" s="35" t="s">
        <v>1502</v>
      </c>
      <c r="E83" t="s">
        <v>1652</v>
      </c>
      <c r="F83" s="36">
        <v>3720.9</v>
      </c>
      <c r="G83" s="38">
        <v>3720.9</v>
      </c>
      <c r="H83" s="38">
        <f t="shared" si="25"/>
        <v>0</v>
      </c>
      <c r="I83" s="35" t="s">
        <v>2543</v>
      </c>
      <c r="K83" s="39"/>
      <c r="L83" s="39">
        <v>43220</v>
      </c>
      <c r="M83" s="35" t="s">
        <v>350</v>
      </c>
      <c r="O83" s="22">
        <v>18.5</v>
      </c>
      <c r="P83" s="40"/>
      <c r="Q83" s="22"/>
      <c r="R83" s="22"/>
      <c r="S83" s="43"/>
      <c r="T83" s="43"/>
      <c r="U83" s="22"/>
      <c r="W83" s="22"/>
      <c r="X83" s="22">
        <f>IF(O83&gt;0,O83,((P83*2.2046*S83)+(Q83+R83)/G83)+V83)</f>
        <v>18.5</v>
      </c>
      <c r="Y83" s="22">
        <f>IF(O83&gt;0,O83,((P83*2.2046*S83)+(Q83+R83+T83)/G83)+V83+W83)</f>
        <v>18.5</v>
      </c>
      <c r="Z83" s="3">
        <f>Y83*F83</f>
        <v>68836.650000000009</v>
      </c>
      <c r="AA83" s="44">
        <v>43227</v>
      </c>
      <c r="AB83" s="3"/>
      <c r="AC83" s="119"/>
      <c r="AF83" s="38"/>
    </row>
    <row r="84" spans="1:35" ht="15.75" thickBot="1" x14ac:dyDescent="0.3">
      <c r="A84" s="176"/>
      <c r="B84" s="49"/>
      <c r="C84" s="23"/>
      <c r="D84" s="23"/>
      <c r="E84" s="23"/>
      <c r="F84" s="50"/>
      <c r="G84" s="50"/>
      <c r="H84" s="50"/>
      <c r="I84" s="26"/>
      <c r="J84" s="23"/>
      <c r="K84" s="27"/>
      <c r="L84" s="27"/>
      <c r="M84" s="23"/>
      <c r="N84" s="23"/>
      <c r="O84" s="28"/>
      <c r="P84" s="29"/>
      <c r="Q84" s="28"/>
      <c r="R84" s="28"/>
      <c r="S84" s="28"/>
      <c r="T84" s="28"/>
      <c r="U84" s="28"/>
      <c r="V84" s="28"/>
      <c r="W84" s="28"/>
      <c r="X84" s="28"/>
      <c r="Y84" s="28"/>
      <c r="Z84" s="32"/>
      <c r="AA84" s="51"/>
      <c r="AB84" s="3"/>
      <c r="AC84" s="119"/>
    </row>
  </sheetData>
  <pageMargins left="0.7" right="0.7" top="0.75" bottom="0.75" header="0.3" footer="0.3"/>
  <pageSetup orientation="portrait" horizontalDpi="4294967293" verticalDpi="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AC99"/>
  <sheetViews>
    <sheetView topLeftCell="A17" zoomScale="85" zoomScaleNormal="85" workbookViewId="0">
      <selection activeCell="F55" sqref="F55"/>
    </sheetView>
  </sheetViews>
  <sheetFormatPr baseColWidth="10" defaultRowHeight="15" x14ac:dyDescent="0.25"/>
  <cols>
    <col min="1" max="1" width="4" customWidth="1"/>
    <col min="2" max="2" width="16.7109375" customWidth="1"/>
    <col min="3" max="3" width="12.7109375" customWidth="1"/>
    <col min="4" max="4" width="16" bestFit="1" customWidth="1"/>
    <col min="5" max="5" width="10.7109375" bestFit="1" customWidth="1"/>
    <col min="8" max="8" width="11.28515625" bestFit="1" customWidth="1"/>
    <col min="10" max="10" width="9.7109375" customWidth="1"/>
    <col min="13" max="13" width="4.140625" bestFit="1" customWidth="1"/>
    <col min="17" max="17" width="12.42578125" customWidth="1"/>
    <col min="22" max="22" width="5.7109375" bestFit="1" customWidth="1"/>
    <col min="23" max="23" width="9.42578125" customWidth="1"/>
    <col min="24" max="24" width="0" hidden="1" customWidth="1"/>
    <col min="26" max="26" width="15" customWidth="1"/>
    <col min="27" max="27" width="13.7109375" customWidth="1"/>
  </cols>
  <sheetData>
    <row r="2" spans="1:29" x14ac:dyDescent="0.25">
      <c r="A2" s="21" t="s">
        <v>2273</v>
      </c>
      <c r="S2" s="22"/>
      <c r="W2" s="22"/>
      <c r="Z2" s="3"/>
    </row>
    <row r="3" spans="1:29" ht="30.75" thickBot="1" x14ac:dyDescent="0.3">
      <c r="A3" s="23"/>
      <c r="B3" s="23" t="s">
        <v>303</v>
      </c>
      <c r="C3" s="23" t="s">
        <v>304</v>
      </c>
      <c r="D3" s="23" t="s">
        <v>305</v>
      </c>
      <c r="E3" s="23" t="s">
        <v>306</v>
      </c>
      <c r="F3" s="24" t="s">
        <v>307</v>
      </c>
      <c r="G3" s="24" t="s">
        <v>308</v>
      </c>
      <c r="H3" s="25" t="s">
        <v>309</v>
      </c>
      <c r="I3" s="26" t="s">
        <v>310</v>
      </c>
      <c r="J3" s="23" t="s">
        <v>311</v>
      </c>
      <c r="K3" s="27" t="s">
        <v>312</v>
      </c>
      <c r="L3" s="27" t="s">
        <v>313</v>
      </c>
      <c r="M3" s="23" t="s">
        <v>314</v>
      </c>
      <c r="N3" s="23" t="s">
        <v>315</v>
      </c>
      <c r="O3" s="28" t="s">
        <v>316</v>
      </c>
      <c r="P3" s="29" t="s">
        <v>317</v>
      </c>
      <c r="Q3" s="28" t="s">
        <v>318</v>
      </c>
      <c r="R3" s="30" t="s">
        <v>319</v>
      </c>
      <c r="S3" s="30" t="s">
        <v>320</v>
      </c>
      <c r="T3" s="31" t="s">
        <v>321</v>
      </c>
      <c r="U3" s="28" t="s">
        <v>322</v>
      </c>
      <c r="V3" s="28" t="s">
        <v>323</v>
      </c>
      <c r="W3" s="31" t="s">
        <v>324</v>
      </c>
      <c r="X3" s="28" t="s">
        <v>325</v>
      </c>
      <c r="Y3" s="28" t="s">
        <v>326</v>
      </c>
      <c r="Z3" s="32" t="s">
        <v>327</v>
      </c>
      <c r="AA3" s="28"/>
    </row>
    <row r="4" spans="1:29" x14ac:dyDescent="0.25">
      <c r="A4" s="169"/>
      <c r="B4" s="34" t="s">
        <v>328</v>
      </c>
      <c r="C4" t="s">
        <v>329</v>
      </c>
      <c r="D4" s="35" t="s">
        <v>329</v>
      </c>
      <c r="E4" t="s">
        <v>1021</v>
      </c>
      <c r="F4" s="36">
        <f>42204*0.4536</f>
        <v>19143.734400000001</v>
      </c>
      <c r="G4" s="38">
        <v>19349.009999999998</v>
      </c>
      <c r="H4" s="38">
        <f t="shared" ref="H4:H18" si="0">G4-F4</f>
        <v>205.27559999999721</v>
      </c>
      <c r="I4" s="35" t="s">
        <v>2274</v>
      </c>
      <c r="J4" s="5" t="s">
        <v>1022</v>
      </c>
      <c r="K4" s="39">
        <v>43220</v>
      </c>
      <c r="L4" s="39">
        <v>43221</v>
      </c>
      <c r="M4" s="35" t="s">
        <v>355</v>
      </c>
      <c r="N4" s="35" t="s">
        <v>2276</v>
      </c>
      <c r="O4" s="22"/>
      <c r="P4" s="40">
        <f>0.5523+0.095</f>
        <v>0.64729999999999999</v>
      </c>
      <c r="Q4" s="111">
        <v>26000</v>
      </c>
      <c r="R4" s="120">
        <v>9500</v>
      </c>
      <c r="S4" s="45">
        <v>19.645</v>
      </c>
      <c r="T4" s="137">
        <f t="shared" ref="T4:T10" si="1">X4*F4*0.005</f>
        <v>2870.4950458303169</v>
      </c>
      <c r="V4" s="22">
        <v>0.12</v>
      </c>
      <c r="W4" s="22">
        <v>0.3</v>
      </c>
      <c r="X4" s="22">
        <f>IF(O4&gt;0,O4,((P4*2.2046*S4)+(Q4+R4)/G4)+V4)</f>
        <v>29.988872451451446</v>
      </c>
      <c r="Y4" s="22">
        <f>IF(O4&gt;0,O4,((P4*2.2046*S4)+(Q4+R4+T4)/G4)+V4+W4)</f>
        <v>30.437226038835519</v>
      </c>
      <c r="Z4" s="3">
        <f>Y4*F4</f>
        <v>582682.17116023134</v>
      </c>
      <c r="AA4" s="44">
        <v>43231</v>
      </c>
      <c r="AB4" s="3">
        <v>31</v>
      </c>
      <c r="AC4" s="119"/>
    </row>
    <row r="5" spans="1:29" x14ac:dyDescent="0.25">
      <c r="A5" s="169"/>
      <c r="B5" s="34" t="s">
        <v>328</v>
      </c>
      <c r="C5" t="s">
        <v>336</v>
      </c>
      <c r="D5" s="35" t="s">
        <v>1129</v>
      </c>
      <c r="E5" t="s">
        <v>1021</v>
      </c>
      <c r="F5" s="36">
        <f>41060*0.4536</f>
        <v>18624.815999999999</v>
      </c>
      <c r="G5" s="38">
        <v>18571.2</v>
      </c>
      <c r="H5" s="38">
        <f t="shared" si="0"/>
        <v>-53.615999999998166</v>
      </c>
      <c r="I5" s="35" t="s">
        <v>2275</v>
      </c>
      <c r="J5" s="5" t="s">
        <v>1022</v>
      </c>
      <c r="K5" s="39">
        <v>43220</v>
      </c>
      <c r="L5" s="39">
        <v>43221</v>
      </c>
      <c r="M5" s="35" t="s">
        <v>355</v>
      </c>
      <c r="N5" s="35" t="s">
        <v>2276</v>
      </c>
      <c r="O5" s="22"/>
      <c r="P5" s="40">
        <f>0.5523+0.105</f>
        <v>0.6573</v>
      </c>
      <c r="Q5" s="111">
        <v>26000</v>
      </c>
      <c r="R5" s="22">
        <v>9400</v>
      </c>
      <c r="S5" s="45">
        <v>18.754999999999999</v>
      </c>
      <c r="T5" s="137">
        <f t="shared" si="1"/>
        <v>2719.5714060624296</v>
      </c>
      <c r="V5" s="22">
        <v>0.12</v>
      </c>
      <c r="W5" s="22">
        <v>0.3</v>
      </c>
      <c r="X5" s="22">
        <f t="shared" ref="X5:X6" si="2">IF(O5&gt;0,O5,((P5*2.2046*S5)+(Q5+R5)/G5)+V5)</f>
        <v>29.203739849697627</v>
      </c>
      <c r="Y5" s="22">
        <f t="shared" ref="Y5:Y6" si="3">IF(O5&gt;0,O5,((P5*2.2046*S5)+(Q5+R5+T5)/G5)+V5+W5)</f>
        <v>29.65018011236576</v>
      </c>
      <c r="Z5" s="3">
        <f t="shared" ref="Z5:Z6" si="4">Y5*F5</f>
        <v>552229.14895967161</v>
      </c>
      <c r="AA5" s="44">
        <v>43220</v>
      </c>
      <c r="AB5" s="3">
        <v>31</v>
      </c>
      <c r="AC5" s="119"/>
    </row>
    <row r="6" spans="1:29" x14ac:dyDescent="0.25">
      <c r="A6" s="169"/>
      <c r="B6" s="34" t="s">
        <v>328</v>
      </c>
      <c r="C6" t="s">
        <v>336</v>
      </c>
      <c r="D6" s="35" t="s">
        <v>336</v>
      </c>
      <c r="E6" t="s">
        <v>1021</v>
      </c>
      <c r="F6" s="36">
        <f>41670*0.4536</f>
        <v>18901.511999999999</v>
      </c>
      <c r="G6" s="38">
        <v>18857.61</v>
      </c>
      <c r="H6" s="38">
        <f t="shared" si="0"/>
        <v>-43.901999999998225</v>
      </c>
      <c r="I6" s="35">
        <v>43796</v>
      </c>
      <c r="J6" s="5" t="s">
        <v>1089</v>
      </c>
      <c r="K6" s="39">
        <v>43220</v>
      </c>
      <c r="L6" s="39">
        <v>43221</v>
      </c>
      <c r="M6" s="35" t="s">
        <v>355</v>
      </c>
      <c r="N6" s="35" t="s">
        <v>2461</v>
      </c>
      <c r="O6" s="22"/>
      <c r="P6" s="40">
        <v>0.64729999999999999</v>
      </c>
      <c r="Q6" s="111">
        <v>26000</v>
      </c>
      <c r="R6" s="22">
        <v>9400</v>
      </c>
      <c r="S6" s="45">
        <v>18.87</v>
      </c>
      <c r="T6" s="137">
        <f t="shared" si="1"/>
        <v>2733.6713725334257</v>
      </c>
      <c r="V6" s="22">
        <v>0.12</v>
      </c>
      <c r="W6" s="22">
        <v>0.3</v>
      </c>
      <c r="X6" s="22">
        <f t="shared" si="2"/>
        <v>28.925425357859474</v>
      </c>
      <c r="Y6" s="22">
        <f t="shared" si="3"/>
        <v>29.370389187980759</v>
      </c>
      <c r="Z6" s="3">
        <f t="shared" si="4"/>
        <v>555144.76368128858</v>
      </c>
      <c r="AA6" s="44">
        <v>43214</v>
      </c>
      <c r="AB6" s="3"/>
      <c r="AC6" s="119"/>
    </row>
    <row r="7" spans="1:29" x14ac:dyDescent="0.25">
      <c r="A7" s="169"/>
      <c r="B7" s="34" t="s">
        <v>340</v>
      </c>
      <c r="C7" t="s">
        <v>341</v>
      </c>
      <c r="D7" s="35" t="s">
        <v>1389</v>
      </c>
      <c r="E7">
        <v>197</v>
      </c>
      <c r="F7" s="36">
        <v>20560</v>
      </c>
      <c r="G7" s="38">
        <f>10480+5660</f>
        <v>16140</v>
      </c>
      <c r="H7" s="38">
        <f t="shared" si="0"/>
        <v>-4420</v>
      </c>
      <c r="I7" s="35" t="s">
        <v>2466</v>
      </c>
      <c r="K7" s="39"/>
      <c r="L7" s="39">
        <v>43221</v>
      </c>
      <c r="M7" s="35" t="s">
        <v>355</v>
      </c>
      <c r="O7" s="22">
        <v>26.5</v>
      </c>
      <c r="P7" s="40"/>
      <c r="Q7" s="47">
        <v>21300</v>
      </c>
      <c r="R7" s="22">
        <f>71*E7</f>
        <v>13987</v>
      </c>
      <c r="S7" s="131">
        <f>-38*E7</f>
        <v>-7486</v>
      </c>
      <c r="T7" s="137">
        <f t="shared" si="1"/>
        <v>3653.5782403965309</v>
      </c>
      <c r="U7" s="22">
        <f>E7*5</f>
        <v>985</v>
      </c>
      <c r="W7" s="22">
        <v>0.3</v>
      </c>
      <c r="X7" s="22">
        <f>((O7*F7)+Q7+R7+S7+U7)/G7</f>
        <v>35.540644361833955</v>
      </c>
      <c r="Y7" s="22">
        <f>((O7*F7)+Q7+R7+S7+T7+U7)/G7+W7</f>
        <v>36.067012282552447</v>
      </c>
      <c r="Z7" s="3">
        <f>Y7*G7</f>
        <v>582121.57824039645</v>
      </c>
      <c r="AA7" s="44">
        <v>43234</v>
      </c>
      <c r="AB7" s="3">
        <v>38</v>
      </c>
      <c r="AC7" s="119" t="s">
        <v>2468</v>
      </c>
    </row>
    <row r="8" spans="1:29" x14ac:dyDescent="0.25">
      <c r="A8" s="169"/>
      <c r="B8" s="34" t="s">
        <v>340</v>
      </c>
      <c r="C8" t="s">
        <v>341</v>
      </c>
      <c r="D8" s="35" t="s">
        <v>1060</v>
      </c>
      <c r="E8">
        <v>200</v>
      </c>
      <c r="F8" s="36">
        <v>23860</v>
      </c>
      <c r="G8" s="38">
        <f>12280+6730</f>
        <v>19010</v>
      </c>
      <c r="H8" s="38">
        <f>G8-F8</f>
        <v>-4850</v>
      </c>
      <c r="I8" s="35" t="s">
        <v>2473</v>
      </c>
      <c r="K8" s="39"/>
      <c r="L8" s="39">
        <v>43222</v>
      </c>
      <c r="M8" s="35" t="s">
        <v>331</v>
      </c>
      <c r="O8" s="22">
        <v>26.5</v>
      </c>
      <c r="P8" s="40"/>
      <c r="Q8" s="47">
        <v>21300</v>
      </c>
      <c r="R8" s="22">
        <f>71*E8</f>
        <v>14200</v>
      </c>
      <c r="S8" s="43">
        <f>-38*E8</f>
        <v>-7600</v>
      </c>
      <c r="T8" s="137">
        <f>X8*F8*0.005</f>
        <v>4149.3933193056291</v>
      </c>
      <c r="U8" s="22">
        <f>E8*5</f>
        <v>1000</v>
      </c>
      <c r="W8" s="22">
        <v>0.3</v>
      </c>
      <c r="X8" s="22">
        <f>((O8*F8)+Q8+R8+S8+U8)/G8</f>
        <v>34.781167806417677</v>
      </c>
      <c r="Y8" s="22">
        <f>((O8*F8)+Q8+R8+S8+T8+U8)/G8+W8</f>
        <v>35.299442047306975</v>
      </c>
      <c r="Z8" s="3">
        <f>Y8*G8</f>
        <v>671042.39331930561</v>
      </c>
      <c r="AA8" s="44">
        <v>43235</v>
      </c>
      <c r="AB8" s="3">
        <v>38</v>
      </c>
      <c r="AC8" s="119" t="s">
        <v>2480</v>
      </c>
    </row>
    <row r="9" spans="1:29" x14ac:dyDescent="0.25">
      <c r="A9" s="169"/>
      <c r="B9" s="34" t="s">
        <v>328</v>
      </c>
      <c r="C9" t="s">
        <v>336</v>
      </c>
      <c r="D9" s="35" t="s">
        <v>336</v>
      </c>
      <c r="E9" t="s">
        <v>1021</v>
      </c>
      <c r="F9" s="36">
        <f>41827*0.4536</f>
        <v>18972.727200000001</v>
      </c>
      <c r="G9" s="38">
        <v>18987.259999999998</v>
      </c>
      <c r="H9" s="38">
        <f t="shared" si="0"/>
        <v>14.532799999997223</v>
      </c>
      <c r="I9">
        <v>43797</v>
      </c>
      <c r="J9" s="5" t="s">
        <v>1022</v>
      </c>
      <c r="K9" s="39">
        <v>43223</v>
      </c>
      <c r="L9" s="39">
        <v>43224</v>
      </c>
      <c r="M9" s="35" t="s">
        <v>345</v>
      </c>
      <c r="N9" s="35" t="s">
        <v>2277</v>
      </c>
      <c r="O9" s="22"/>
      <c r="P9" s="40">
        <f>0.5211+0.095</f>
        <v>0.61609999999999998</v>
      </c>
      <c r="Q9" s="111">
        <v>26000</v>
      </c>
      <c r="R9" s="22">
        <v>9400</v>
      </c>
      <c r="S9" s="45">
        <v>18.946999999999999</v>
      </c>
      <c r="T9" s="137">
        <f t="shared" si="1"/>
        <v>2629.5486244054359</v>
      </c>
      <c r="V9" s="22">
        <v>0.12</v>
      </c>
      <c r="W9" s="22">
        <v>0.3</v>
      </c>
      <c r="X9" s="22">
        <f>IF(O9&gt;0,O9,((P9*2.2046*S9)+(Q9+R9)/G9)+V9)</f>
        <v>27.719247704203912</v>
      </c>
      <c r="Y9" s="22">
        <f>IF(O9&gt;0,O9,((P9*2.2046*S9)+(Q9+R9+T9)/G9)+V9+W9)</f>
        <v>28.157737861520211</v>
      </c>
      <c r="Z9" s="3">
        <f>Y9*F9</f>
        <v>534229.07901573437</v>
      </c>
      <c r="AA9" s="44">
        <v>43215</v>
      </c>
      <c r="AB9" s="3"/>
      <c r="AC9" s="119"/>
    </row>
    <row r="10" spans="1:29" x14ac:dyDescent="0.25">
      <c r="A10" s="169"/>
      <c r="B10" s="34" t="s">
        <v>328</v>
      </c>
      <c r="C10" s="35" t="s">
        <v>343</v>
      </c>
      <c r="D10" s="35" t="s">
        <v>343</v>
      </c>
      <c r="E10" t="s">
        <v>1040</v>
      </c>
      <c r="F10" s="36">
        <f>43120*0.4536</f>
        <v>19559.232</v>
      </c>
      <c r="G10" s="38">
        <v>19489.900000000001</v>
      </c>
      <c r="H10" s="38">
        <f t="shared" si="0"/>
        <v>-69.331999999998516</v>
      </c>
      <c r="I10" t="s">
        <v>2338</v>
      </c>
      <c r="J10" s="5" t="s">
        <v>1022</v>
      </c>
      <c r="K10" s="39">
        <v>43222</v>
      </c>
      <c r="L10" s="39">
        <v>43223</v>
      </c>
      <c r="M10" s="35" t="s">
        <v>342</v>
      </c>
      <c r="N10" s="35" t="s">
        <v>2278</v>
      </c>
      <c r="O10" s="22"/>
      <c r="P10" s="40">
        <f>0.5211+0.105</f>
        <v>0.62609999999999999</v>
      </c>
      <c r="Q10" s="111">
        <v>26000</v>
      </c>
      <c r="R10" s="22">
        <v>9400</v>
      </c>
      <c r="S10" s="45">
        <v>18.888999999999999</v>
      </c>
      <c r="T10" s="137">
        <f t="shared" si="1"/>
        <v>2739.1543783031816</v>
      </c>
      <c r="V10" s="22">
        <v>0.12</v>
      </c>
      <c r="W10" s="22">
        <v>0.3</v>
      </c>
      <c r="X10" s="22">
        <f>IF(O10&gt;0,O10,((P10*2.2046*S10)+(Q10+R10)/G10)+V10)</f>
        <v>28.008813212125936</v>
      </c>
      <c r="Y10" s="22">
        <f>IF(O10&gt;0,O10,((P10*2.2046*S10)+(Q10+R10+T10)/G10)+V10+W10)</f>
        <v>28.449355461101209</v>
      </c>
      <c r="Z10" s="3">
        <f>Y10*F10</f>
        <v>556447.54371414555</v>
      </c>
      <c r="AA10" s="44">
        <v>43216</v>
      </c>
      <c r="AB10" s="3"/>
      <c r="AC10" s="119"/>
    </row>
    <row r="11" spans="1:29" x14ac:dyDescent="0.25">
      <c r="A11" s="169"/>
      <c r="B11" s="34" t="s">
        <v>340</v>
      </c>
      <c r="C11" t="s">
        <v>341</v>
      </c>
      <c r="D11" s="35" t="s">
        <v>2474</v>
      </c>
      <c r="E11">
        <f>230</f>
        <v>230</v>
      </c>
      <c r="F11" s="36">
        <f>26080</f>
        <v>26080</v>
      </c>
      <c r="G11" s="38">
        <f>18060</f>
        <v>18060</v>
      </c>
      <c r="H11" s="38">
        <f t="shared" si="0"/>
        <v>-8020</v>
      </c>
      <c r="I11" s="35" t="s">
        <v>2476</v>
      </c>
      <c r="K11" s="39"/>
      <c r="L11" s="39">
        <v>43223</v>
      </c>
      <c r="M11" s="35" t="s">
        <v>342</v>
      </c>
      <c r="O11" s="22">
        <v>26.5</v>
      </c>
      <c r="P11" s="40"/>
      <c r="Q11" s="47">
        <f>21300</f>
        <v>21300</v>
      </c>
      <c r="R11" s="22">
        <f>71*E11</f>
        <v>16330</v>
      </c>
      <c r="S11" s="43">
        <f>-38*E11</f>
        <v>-8740</v>
      </c>
      <c r="T11" s="137">
        <f>X11*F11*0.0045</f>
        <v>4686.3420598006642</v>
      </c>
      <c r="U11" s="22">
        <f>E11*5</f>
        <v>1150</v>
      </c>
      <c r="W11" s="22">
        <v>0.3</v>
      </c>
      <c r="X11" s="22">
        <f>((O11*F11)+Q11+R11+S11+U11)/G11</f>
        <v>39.931339977851607</v>
      </c>
      <c r="Y11" s="22">
        <f>((O11*F11)+Q11+R11+S11+T11+U11)/G11+W11</f>
        <v>40.490827356578109</v>
      </c>
      <c r="Z11" s="3">
        <f>Y11*G11</f>
        <v>731264.34205980063</v>
      </c>
      <c r="AA11" s="44">
        <v>43236</v>
      </c>
      <c r="AB11" s="3">
        <v>38</v>
      </c>
      <c r="AC11" s="119"/>
    </row>
    <row r="12" spans="1:29" x14ac:dyDescent="0.25">
      <c r="A12" s="169"/>
      <c r="B12" s="34" t="s">
        <v>340</v>
      </c>
      <c r="C12" t="s">
        <v>341</v>
      </c>
      <c r="D12" s="35" t="s">
        <v>1047</v>
      </c>
      <c r="E12">
        <v>100</v>
      </c>
      <c r="F12" s="36">
        <v>11510</v>
      </c>
      <c r="G12" s="38">
        <v>11840</v>
      </c>
      <c r="H12" s="38">
        <f t="shared" si="0"/>
        <v>330</v>
      </c>
      <c r="I12" t="s">
        <v>2475</v>
      </c>
      <c r="K12" s="39"/>
      <c r="L12" s="39">
        <v>43223</v>
      </c>
      <c r="M12" s="35" t="s">
        <v>342</v>
      </c>
      <c r="O12" s="22">
        <v>26.5</v>
      </c>
      <c r="P12" s="40"/>
      <c r="Q12" s="111">
        <v>16900</v>
      </c>
      <c r="R12" s="22">
        <f>71*E12</f>
        <v>7100</v>
      </c>
      <c r="S12" s="43">
        <f>-38*E12</f>
        <v>-3800</v>
      </c>
      <c r="T12" s="137">
        <f>X12*F12*0.0045</f>
        <v>1424.8655764358109</v>
      </c>
      <c r="U12" s="22">
        <f>E12*5</f>
        <v>500</v>
      </c>
      <c r="W12" s="22">
        <v>0.3</v>
      </c>
      <c r="X12" s="22">
        <f>((O12*F12)+Q12+R12+S12+U12)/G12</f>
        <v>27.509712837837839</v>
      </c>
      <c r="Y12" s="22">
        <f>((O12*F12)+Q12+R12+S12+T12+U12)/G12+W12</f>
        <v>27.930056214225999</v>
      </c>
      <c r="Z12" s="3">
        <f>Y12*G12</f>
        <v>330691.86557643581</v>
      </c>
      <c r="AA12" s="44">
        <v>43236</v>
      </c>
      <c r="AB12" s="3">
        <v>35.51</v>
      </c>
      <c r="AC12" s="119" t="s">
        <v>2481</v>
      </c>
    </row>
    <row r="13" spans="1:29" x14ac:dyDescent="0.25">
      <c r="A13" s="169"/>
      <c r="B13" s="34" t="s">
        <v>1501</v>
      </c>
      <c r="C13" t="s">
        <v>343</v>
      </c>
      <c r="D13" s="35" t="s">
        <v>1106</v>
      </c>
      <c r="E13" t="s">
        <v>1652</v>
      </c>
      <c r="F13" s="36">
        <v>3613.3</v>
      </c>
      <c r="G13" s="38">
        <v>3613.3</v>
      </c>
      <c r="H13" s="38">
        <f t="shared" si="0"/>
        <v>0</v>
      </c>
      <c r="I13" t="s">
        <v>2688</v>
      </c>
      <c r="K13" s="39"/>
      <c r="L13" s="39">
        <v>43223</v>
      </c>
      <c r="M13" s="35" t="s">
        <v>342</v>
      </c>
      <c r="O13" s="22">
        <v>18.5</v>
      </c>
      <c r="P13" s="40"/>
      <c r="Q13" s="22"/>
      <c r="R13" s="22"/>
      <c r="S13" s="43"/>
      <c r="T13" s="43"/>
      <c r="U13" s="22"/>
      <c r="W13" s="22"/>
      <c r="X13" s="22">
        <f>IF(O13&gt;0,O13,((P13*2.2046*S13)+(Q13+R13)/G13)+V13)</f>
        <v>18.5</v>
      </c>
      <c r="Y13" s="22">
        <f>IF(O13&gt;0,O13,((P13*2.2046*S13)+(Q13+R13+T13)/G13)+V13+W13)</f>
        <v>18.5</v>
      </c>
      <c r="Z13" s="3">
        <f>Y13*F13</f>
        <v>66846.05</v>
      </c>
      <c r="AA13" s="44">
        <v>43231</v>
      </c>
      <c r="AB13" s="3"/>
      <c r="AC13" s="119"/>
    </row>
    <row r="14" spans="1:29" x14ac:dyDescent="0.25">
      <c r="A14" s="169"/>
      <c r="B14" s="34" t="s">
        <v>328</v>
      </c>
      <c r="C14" s="35" t="s">
        <v>343</v>
      </c>
      <c r="D14" s="35" t="s">
        <v>343</v>
      </c>
      <c r="E14" t="s">
        <v>1040</v>
      </c>
      <c r="F14" s="36">
        <f>42834*0.4536</f>
        <v>19429.502400000001</v>
      </c>
      <c r="G14" s="38">
        <v>19332.669999999998</v>
      </c>
      <c r="H14" s="38">
        <f t="shared" si="0"/>
        <v>-96.832400000002963</v>
      </c>
      <c r="I14" s="35" t="s">
        <v>2339</v>
      </c>
      <c r="J14" s="5" t="s">
        <v>1022</v>
      </c>
      <c r="K14" s="39">
        <v>43223</v>
      </c>
      <c r="L14" s="39">
        <v>43224</v>
      </c>
      <c r="M14" s="35" t="s">
        <v>348</v>
      </c>
      <c r="N14" s="35" t="s">
        <v>2281</v>
      </c>
      <c r="O14" s="22"/>
      <c r="P14" s="40">
        <f>0.5264+0.105</f>
        <v>0.63139999999999996</v>
      </c>
      <c r="Q14" s="111">
        <v>26000</v>
      </c>
      <c r="R14" s="22">
        <v>9400</v>
      </c>
      <c r="S14" s="45">
        <v>18.855</v>
      </c>
      <c r="T14" s="137">
        <f>X14*F14*0.005</f>
        <v>2739.2648912226891</v>
      </c>
      <c r="V14" s="22">
        <v>0.12</v>
      </c>
      <c r="W14" s="22">
        <v>0.3</v>
      </c>
      <c r="X14" s="22">
        <f>IF(O14&gt;0,O14,((P14*2.2046*S14)+(Q14+R14)/G14)+V14)</f>
        <v>28.196963924538682</v>
      </c>
      <c r="Y14" s="22">
        <f>IF(O14&gt;0,O14,((P14*2.2046*S14)+(Q14+R14+T14)/G14)+V14+W14)</f>
        <v>28.638654901068186</v>
      </c>
      <c r="Z14" s="3">
        <f>Y14*F14</f>
        <v>556434.81413307611</v>
      </c>
      <c r="AA14" s="44">
        <v>43217</v>
      </c>
      <c r="AB14" s="3"/>
      <c r="AC14" s="119"/>
    </row>
    <row r="15" spans="1:29" x14ac:dyDescent="0.25">
      <c r="A15" s="169"/>
      <c r="B15" s="34" t="s">
        <v>340</v>
      </c>
      <c r="C15" t="s">
        <v>341</v>
      </c>
      <c r="D15" s="35" t="s">
        <v>1047</v>
      </c>
      <c r="E15">
        <v>200</v>
      </c>
      <c r="F15" s="36">
        <v>22220</v>
      </c>
      <c r="G15" s="38">
        <v>17750</v>
      </c>
      <c r="H15" s="38">
        <f t="shared" si="0"/>
        <v>-4470</v>
      </c>
      <c r="I15" t="s">
        <v>2497</v>
      </c>
      <c r="K15" s="39"/>
      <c r="L15" s="39">
        <v>43224</v>
      </c>
      <c r="M15" s="35" t="s">
        <v>345</v>
      </c>
      <c r="O15" s="22">
        <v>26.5</v>
      </c>
      <c r="P15" s="40"/>
      <c r="Q15" s="47">
        <v>21300</v>
      </c>
      <c r="R15" s="22">
        <f>71*E15</f>
        <v>14200</v>
      </c>
      <c r="S15" s="43">
        <f>-38*E15</f>
        <v>-7600</v>
      </c>
      <c r="T15" s="137">
        <f>X15*F15*0.0045</f>
        <v>3479.8209971830979</v>
      </c>
      <c r="U15" s="22">
        <f>E15*5</f>
        <v>1000</v>
      </c>
      <c r="W15" s="22">
        <v>0.3</v>
      </c>
      <c r="X15" s="22">
        <f>((O15*F15)+Q15+R15+S15+U15)/G15</f>
        <v>34.801690140845068</v>
      </c>
      <c r="Y15" s="22">
        <f>((O15*F15)+Q15+R15+S15+T15+U15)/G15+W15</f>
        <v>35.297736394207497</v>
      </c>
      <c r="Z15" s="3">
        <f>Y15*G15</f>
        <v>626534.82099718309</v>
      </c>
      <c r="AA15" s="44">
        <v>43237</v>
      </c>
      <c r="AB15" s="3">
        <v>38</v>
      </c>
      <c r="AC15" s="119"/>
    </row>
    <row r="16" spans="1:29" x14ac:dyDescent="0.25">
      <c r="A16" s="169"/>
      <c r="B16" s="34" t="s">
        <v>340</v>
      </c>
      <c r="C16" t="s">
        <v>341</v>
      </c>
      <c r="D16" s="35" t="s">
        <v>1060</v>
      </c>
      <c r="E16">
        <v>130</v>
      </c>
      <c r="F16" s="36">
        <v>16225</v>
      </c>
      <c r="G16" s="38">
        <v>13150</v>
      </c>
      <c r="H16" s="38">
        <f t="shared" si="0"/>
        <v>-3075</v>
      </c>
      <c r="I16" s="35" t="s">
        <v>2498</v>
      </c>
      <c r="K16" s="39"/>
      <c r="L16" s="39">
        <v>43224</v>
      </c>
      <c r="M16" s="35" t="s">
        <v>345</v>
      </c>
      <c r="O16" s="22">
        <v>26.5</v>
      </c>
      <c r="P16" s="40"/>
      <c r="Q16" s="111">
        <v>16900</v>
      </c>
      <c r="R16" s="22">
        <f>71*E16</f>
        <v>9230</v>
      </c>
      <c r="S16" s="43">
        <f>-38*E16</f>
        <v>-4940</v>
      </c>
      <c r="T16" s="137">
        <f>X16*F16*0.0045</f>
        <v>2508.5346031368817</v>
      </c>
      <c r="U16" s="22">
        <f>E16*5</f>
        <v>650</v>
      </c>
      <c r="W16" s="22">
        <v>0.3</v>
      </c>
      <c r="X16" s="22">
        <f>((O16*F16)+Q16+R16+S16+U16)/G16</f>
        <v>34.357604562737642</v>
      </c>
      <c r="Y16" s="22">
        <f>((O16*F16)+Q16+R16+S16+T16+U16)/G16+W16</f>
        <v>34.848367650428656</v>
      </c>
      <c r="Z16" s="3">
        <f>Y16*G16</f>
        <v>458256.03460313682</v>
      </c>
      <c r="AA16" s="44">
        <v>43237</v>
      </c>
      <c r="AB16" s="3"/>
      <c r="AC16" s="119" t="s">
        <v>2499</v>
      </c>
    </row>
    <row r="17" spans="1:29" x14ac:dyDescent="0.25">
      <c r="A17" s="169"/>
      <c r="B17" s="34" t="s">
        <v>328</v>
      </c>
      <c r="C17" t="s">
        <v>329</v>
      </c>
      <c r="D17" s="35" t="s">
        <v>329</v>
      </c>
      <c r="E17" t="s">
        <v>1021</v>
      </c>
      <c r="F17" s="36">
        <f>42843*0.4536</f>
        <v>19433.584800000001</v>
      </c>
      <c r="G17" s="38">
        <v>19305.02</v>
      </c>
      <c r="H17" s="38">
        <f t="shared" si="0"/>
        <v>-128.5648000000001</v>
      </c>
      <c r="I17" s="35" t="s">
        <v>2279</v>
      </c>
      <c r="J17" s="5" t="s">
        <v>1022</v>
      </c>
      <c r="K17" s="39">
        <v>43224</v>
      </c>
      <c r="L17" s="39">
        <v>43225</v>
      </c>
      <c r="M17" s="35" t="s">
        <v>348</v>
      </c>
      <c r="N17" s="35" t="s">
        <v>2280</v>
      </c>
      <c r="O17" s="22"/>
      <c r="P17" s="40">
        <f>0.5264+0.095</f>
        <v>0.62139999999999995</v>
      </c>
      <c r="Q17" s="111">
        <v>26000</v>
      </c>
      <c r="R17" s="120">
        <v>9500</v>
      </c>
      <c r="S17" s="45">
        <v>19.29</v>
      </c>
      <c r="T17" s="137">
        <f>X17*F17*0.005</f>
        <v>2758.1127316449711</v>
      </c>
      <c r="V17" s="22">
        <v>0.12</v>
      </c>
      <c r="W17" s="22">
        <v>0.3</v>
      </c>
      <c r="X17" s="22">
        <f>IF(O17&gt;0,O17,((P17*2.2046*S17)+(Q17+R17)/G17)+V17)</f>
        <v>28.385012441399599</v>
      </c>
      <c r="Y17" s="22">
        <f>IF(O17&gt;0,O17,((P17*2.2046*S17)+(Q17+R17+T17)/G17)+V17+W17)</f>
        <v>28.827882675755482</v>
      </c>
      <c r="Z17" s="3">
        <f>Y17*F17</f>
        <v>560229.10258374515</v>
      </c>
      <c r="AA17" s="44">
        <v>43235</v>
      </c>
      <c r="AB17" s="3">
        <v>30</v>
      </c>
      <c r="AC17" s="119"/>
    </row>
    <row r="18" spans="1:29" x14ac:dyDescent="0.25">
      <c r="A18" s="169"/>
      <c r="B18" s="34" t="s">
        <v>1501</v>
      </c>
      <c r="C18" t="s">
        <v>343</v>
      </c>
      <c r="D18" s="35" t="s">
        <v>1106</v>
      </c>
      <c r="E18" t="s">
        <v>2092</v>
      </c>
      <c r="F18" s="36">
        <v>2767.8</v>
      </c>
      <c r="G18" s="38">
        <v>2767.8</v>
      </c>
      <c r="H18" s="38">
        <f t="shared" si="0"/>
        <v>0</v>
      </c>
      <c r="I18" s="35" t="s">
        <v>2730</v>
      </c>
      <c r="K18" s="39"/>
      <c r="L18" s="39">
        <v>43225</v>
      </c>
      <c r="M18" s="35" t="s">
        <v>348</v>
      </c>
      <c r="N18" s="35"/>
      <c r="O18" s="22">
        <v>18.5</v>
      </c>
      <c r="P18" s="40"/>
      <c r="Q18" s="22"/>
      <c r="R18" s="22"/>
      <c r="S18" s="45"/>
      <c r="T18" s="43"/>
      <c r="V18" s="22"/>
      <c r="W18" s="22"/>
      <c r="X18" s="22">
        <f>IF(O18&gt;0,O18,((P18*2.2046*S18)+(Q18+R18)/G18)+V18)</f>
        <v>18.5</v>
      </c>
      <c r="Y18" s="22">
        <f>IF(O18&gt;0,O18,((P18*2.2046*S18)+(Q18+R18+T18)/G18)+V18+W18)</f>
        <v>18.5</v>
      </c>
      <c r="Z18" s="3">
        <f>Y18*F18</f>
        <v>51204.3</v>
      </c>
      <c r="AA18" s="44">
        <v>43231</v>
      </c>
      <c r="AB18" s="3"/>
      <c r="AC18" s="119"/>
    </row>
    <row r="19" spans="1:29" ht="15.75" thickBot="1" x14ac:dyDescent="0.3">
      <c r="A19" s="170"/>
      <c r="B19" s="49"/>
      <c r="C19" s="23"/>
      <c r="D19" s="23"/>
      <c r="E19" s="23"/>
      <c r="F19" s="50"/>
      <c r="G19" s="50"/>
      <c r="H19" s="50"/>
      <c r="I19" s="26"/>
      <c r="J19" s="23"/>
      <c r="K19" s="27"/>
      <c r="L19" s="27"/>
      <c r="M19" s="23"/>
      <c r="N19" s="23"/>
      <c r="O19" s="28"/>
      <c r="P19" s="29"/>
      <c r="Q19" s="28"/>
      <c r="R19" s="28"/>
      <c r="S19" s="28"/>
      <c r="T19" s="28"/>
      <c r="U19" s="28"/>
      <c r="V19" s="28"/>
      <c r="W19" s="28"/>
      <c r="X19" s="28"/>
      <c r="Y19" s="28"/>
      <c r="Z19" s="32"/>
      <c r="AA19" s="51"/>
      <c r="AB19" s="3"/>
      <c r="AC19" s="119"/>
    </row>
    <row r="20" spans="1:29" ht="15.75" thickTop="1" x14ac:dyDescent="0.25">
      <c r="A20" s="174"/>
      <c r="B20" s="53" t="s">
        <v>340</v>
      </c>
      <c r="C20" s="53" t="s">
        <v>341</v>
      </c>
      <c r="D20" s="54" t="s">
        <v>1048</v>
      </c>
      <c r="E20" s="53">
        <f>250</f>
        <v>250</v>
      </c>
      <c r="F20" s="55">
        <f>27390</f>
        <v>27390</v>
      </c>
      <c r="G20" s="56">
        <f>17470</f>
        <v>17470</v>
      </c>
      <c r="H20" s="121">
        <f t="shared" ref="H20:H28" si="5">G20-F20</f>
        <v>-9920</v>
      </c>
      <c r="I20" s="57" t="s">
        <v>2546</v>
      </c>
      <c r="J20" s="190">
        <v>200</v>
      </c>
      <c r="K20" s="58"/>
      <c r="L20" s="58">
        <v>43226</v>
      </c>
      <c r="M20" s="54" t="s">
        <v>349</v>
      </c>
      <c r="N20" s="53"/>
      <c r="O20" s="59">
        <v>26</v>
      </c>
      <c r="P20" s="60"/>
      <c r="Q20" s="118">
        <f>21300</f>
        <v>21300</v>
      </c>
      <c r="R20" s="22">
        <f>71*E20</f>
        <v>17750</v>
      </c>
      <c r="S20" s="59">
        <f>-38*E20</f>
        <v>-9500</v>
      </c>
      <c r="T20" s="138">
        <f>X20*F20*0.0045</f>
        <v>5241.6181854607894</v>
      </c>
      <c r="U20" s="59">
        <f>E20*5</f>
        <v>1250</v>
      </c>
      <c r="V20" s="53"/>
      <c r="W20" s="59">
        <v>0.3</v>
      </c>
      <c r="X20" s="59">
        <f>((O20*F20)+Q20+R20+S20+U20)/G20</f>
        <v>42.526617057813397</v>
      </c>
      <c r="Y20" s="63">
        <f>((O20*F20)+Q20+R20+S20+T20+U20)/G20+W20</f>
        <v>43.126652443357798</v>
      </c>
      <c r="Z20" s="63">
        <f>Y20*G20</f>
        <v>753422.61818546068</v>
      </c>
      <c r="AA20" s="64">
        <v>43241</v>
      </c>
      <c r="AB20" s="3"/>
      <c r="AC20" s="3"/>
    </row>
    <row r="21" spans="1:29" x14ac:dyDescent="0.25">
      <c r="A21" s="175"/>
      <c r="B21" s="34" t="s">
        <v>340</v>
      </c>
      <c r="C21" t="s">
        <v>341</v>
      </c>
      <c r="D21" s="35" t="s">
        <v>1047</v>
      </c>
      <c r="E21">
        <v>80</v>
      </c>
      <c r="F21" s="36">
        <v>9140</v>
      </c>
      <c r="G21" s="38">
        <v>11670</v>
      </c>
      <c r="H21" s="38">
        <f t="shared" ref="H21" si="6">G21-F21</f>
        <v>2530</v>
      </c>
      <c r="I21" s="35" t="s">
        <v>2547</v>
      </c>
      <c r="J21" s="10">
        <v>130</v>
      </c>
      <c r="K21" s="39"/>
      <c r="L21" s="39">
        <v>43226</v>
      </c>
      <c r="M21" s="35" t="s">
        <v>349</v>
      </c>
      <c r="O21" s="22">
        <v>26</v>
      </c>
      <c r="P21" s="40"/>
      <c r="Q21" s="111">
        <v>16900</v>
      </c>
      <c r="R21" s="22">
        <f>71*E21</f>
        <v>5680</v>
      </c>
      <c r="S21" s="43">
        <f>-38*E21</f>
        <v>-3040</v>
      </c>
      <c r="T21" s="137">
        <f>X21*F21*0.0045</f>
        <v>907.82051413881743</v>
      </c>
      <c r="U21" s="22">
        <f>E21*5</f>
        <v>400</v>
      </c>
      <c r="W21" s="22">
        <v>0.3</v>
      </c>
      <c r="X21" s="22">
        <f>((O21*F21)+Q21+R21+S21+U21)/G21</f>
        <v>22.0719794344473</v>
      </c>
      <c r="Y21" s="22">
        <f>((O21*F21)+Q21+R21+S21+T21+U21)/G21+W21</f>
        <v>22.449770395384647</v>
      </c>
      <c r="Z21" s="3">
        <f>Y21*G21</f>
        <v>261988.82051413882</v>
      </c>
      <c r="AA21" s="44">
        <v>43241</v>
      </c>
      <c r="AB21" s="3">
        <v>34.83</v>
      </c>
      <c r="AC21" s="119" t="s">
        <v>2548</v>
      </c>
    </row>
    <row r="22" spans="1:29" x14ac:dyDescent="0.25">
      <c r="A22" s="175"/>
      <c r="B22" s="34" t="s">
        <v>340</v>
      </c>
      <c r="C22" t="s">
        <v>341</v>
      </c>
      <c r="D22" s="35" t="s">
        <v>1047</v>
      </c>
      <c r="E22">
        <v>198</v>
      </c>
      <c r="F22" s="36">
        <v>21915</v>
      </c>
      <c r="G22" s="38">
        <f>11090+6020</f>
        <v>17110</v>
      </c>
      <c r="H22" s="38">
        <f t="shared" si="5"/>
        <v>-4805</v>
      </c>
      <c r="I22" s="35" t="s">
        <v>2549</v>
      </c>
      <c r="K22" s="39"/>
      <c r="L22" s="39">
        <v>43227</v>
      </c>
      <c r="M22" s="35" t="s">
        <v>350</v>
      </c>
      <c r="O22" s="22">
        <v>26</v>
      </c>
      <c r="P22" s="40"/>
      <c r="Q22" s="111">
        <v>21300</v>
      </c>
      <c r="R22" s="22">
        <f>71*E22</f>
        <v>14058</v>
      </c>
      <c r="S22" s="43">
        <f>-38*E22</f>
        <v>-7524</v>
      </c>
      <c r="T22" s="137">
        <f>X22*F22*0.0045</f>
        <v>3450.2522586206892</v>
      </c>
      <c r="U22" s="22">
        <f>E22*5</f>
        <v>990</v>
      </c>
      <c r="W22" s="22">
        <v>0.3</v>
      </c>
      <c r="X22" s="22">
        <f>((O22*F22)+Q22+R22+S22+U22)/G22</f>
        <v>34.986206896551721</v>
      </c>
      <c r="Y22" s="22">
        <f>((O22*F22)+Q22+R22+S22+T22+U22)/G22+W22</f>
        <v>35.487858109796647</v>
      </c>
      <c r="Z22" s="3">
        <f>Y22*G22</f>
        <v>607197.25225862069</v>
      </c>
      <c r="AA22" s="44">
        <v>43241</v>
      </c>
      <c r="AB22" s="3">
        <v>37</v>
      </c>
      <c r="AC22" s="119" t="s">
        <v>2554</v>
      </c>
    </row>
    <row r="23" spans="1:29" x14ac:dyDescent="0.25">
      <c r="A23" s="175"/>
      <c r="B23" s="34" t="s">
        <v>1501</v>
      </c>
      <c r="C23" t="s">
        <v>343</v>
      </c>
      <c r="D23" s="35" t="s">
        <v>1106</v>
      </c>
      <c r="E23" t="s">
        <v>1652</v>
      </c>
      <c r="F23" s="36">
        <v>3701.7</v>
      </c>
      <c r="G23" s="38">
        <v>3701.7</v>
      </c>
      <c r="H23" s="38">
        <f t="shared" si="5"/>
        <v>0</v>
      </c>
      <c r="I23" s="35" t="s">
        <v>2689</v>
      </c>
      <c r="K23" s="39"/>
      <c r="L23" s="39">
        <v>43227</v>
      </c>
      <c r="M23" s="35" t="s">
        <v>350</v>
      </c>
      <c r="O23" s="22">
        <v>18.7</v>
      </c>
      <c r="P23" s="40"/>
      <c r="Q23" s="22"/>
      <c r="R23" s="22"/>
      <c r="S23" s="43"/>
      <c r="T23" s="43"/>
      <c r="U23" s="22"/>
      <c r="W23" s="22"/>
      <c r="X23" s="22">
        <f>IF(O23&gt;0,O23,((P23*2.2046*S23)+(Q23+R23)/G23)+V23)</f>
        <v>18.7</v>
      </c>
      <c r="Y23" s="22">
        <f>IF(O23&gt;0,O23,((P23*2.2046*S23)+(Q23+R23+T23)/G23)+V23+W23)</f>
        <v>18.7</v>
      </c>
      <c r="Z23" s="3">
        <f>Y23*F23</f>
        <v>69221.789999999994</v>
      </c>
      <c r="AA23" s="44">
        <v>43234</v>
      </c>
      <c r="AB23" s="3"/>
      <c r="AC23" s="119"/>
    </row>
    <row r="24" spans="1:29" x14ac:dyDescent="0.25">
      <c r="A24" s="175"/>
      <c r="B24" s="34" t="s">
        <v>328</v>
      </c>
      <c r="C24" t="s">
        <v>329</v>
      </c>
      <c r="D24" s="35" t="s">
        <v>329</v>
      </c>
      <c r="E24" t="s">
        <v>1021</v>
      </c>
      <c r="F24" s="36">
        <f>42671*0.4536</f>
        <v>19355.565600000002</v>
      </c>
      <c r="G24" s="38">
        <v>19304.88</v>
      </c>
      <c r="H24" s="38">
        <f t="shared" si="5"/>
        <v>-50.685600000000704</v>
      </c>
      <c r="I24" s="35" t="s">
        <v>2489</v>
      </c>
      <c r="J24" s="5" t="s">
        <v>1089</v>
      </c>
      <c r="K24" s="39">
        <v>43227</v>
      </c>
      <c r="L24" s="39">
        <v>43228</v>
      </c>
      <c r="M24" s="35" t="s">
        <v>355</v>
      </c>
      <c r="N24" s="35" t="s">
        <v>2482</v>
      </c>
      <c r="O24" s="22"/>
      <c r="P24" s="40">
        <f>0.4894+0.095</f>
        <v>0.58440000000000003</v>
      </c>
      <c r="Q24" s="111">
        <v>26000</v>
      </c>
      <c r="R24" s="120">
        <v>9500</v>
      </c>
      <c r="S24" s="45">
        <v>19.93</v>
      </c>
      <c r="T24" s="137">
        <f t="shared" ref="T24" si="7">X24*F24*0.005</f>
        <v>2674.5609865045462</v>
      </c>
      <c r="V24" s="22">
        <v>0.12</v>
      </c>
      <c r="W24" s="22">
        <v>0.3</v>
      </c>
      <c r="X24" s="22">
        <f>IF(O24&gt;0,O24,((P24*2.2046*S24)+(Q24+R24)/G24)+V24)</f>
        <v>27.636092292798157</v>
      </c>
      <c r="Y24" s="22">
        <f>IF(O24&gt;0,O24,((P24*2.2046*S24)+(Q24+R24+T24)/G24)+V24+W24)</f>
        <v>28.074635551627246</v>
      </c>
      <c r="Z24" s="3">
        <f>Y24*F24</f>
        <v>543400.45011561341</v>
      </c>
      <c r="AA24" s="44">
        <v>43238</v>
      </c>
      <c r="AB24" s="3"/>
      <c r="AC24" s="119"/>
    </row>
    <row r="25" spans="1:29" x14ac:dyDescent="0.25">
      <c r="A25" s="175"/>
      <c r="B25" s="34" t="s">
        <v>328</v>
      </c>
      <c r="C25" t="s">
        <v>336</v>
      </c>
      <c r="D25" s="35" t="s">
        <v>1129</v>
      </c>
      <c r="E25" t="s">
        <v>1021</v>
      </c>
      <c r="F25" s="36">
        <f>41840*0.4536</f>
        <v>18978.624</v>
      </c>
      <c r="G25" s="38">
        <v>18937.61</v>
      </c>
      <c r="H25" s="38">
        <f t="shared" si="5"/>
        <v>-41.013999999999214</v>
      </c>
      <c r="I25" s="35" t="s">
        <v>2490</v>
      </c>
      <c r="J25" s="5" t="s">
        <v>1022</v>
      </c>
      <c r="K25" s="39">
        <v>43228</v>
      </c>
      <c r="L25" s="39">
        <v>43229</v>
      </c>
      <c r="M25" s="35" t="s">
        <v>331</v>
      </c>
      <c r="N25" s="35" t="s">
        <v>2484</v>
      </c>
      <c r="O25" s="22"/>
      <c r="P25" s="40">
        <f>0.4954+0.105</f>
        <v>0.60040000000000004</v>
      </c>
      <c r="Q25" s="111">
        <v>26000</v>
      </c>
      <c r="R25" s="22">
        <v>9400</v>
      </c>
      <c r="S25" s="45">
        <v>19.64</v>
      </c>
      <c r="T25" s="137">
        <f t="shared" ref="T25" si="8">X25*F25*0.005</f>
        <v>2655.6429687228015</v>
      </c>
      <c r="V25" s="22">
        <v>0.12</v>
      </c>
      <c r="W25" s="22">
        <v>0.3</v>
      </c>
      <c r="X25" s="22">
        <f>IF(O25&gt;0,O25,((P25*2.2046*S25)+(Q25+R25)/G25)+V25)</f>
        <v>27.985621810335687</v>
      </c>
      <c r="Y25" s="22">
        <f>IF(O25&gt;0,O25,((P25*2.2046*S25)+(Q25+R25+T25)/G25)+V25+W25)</f>
        <v>28.425852967737431</v>
      </c>
      <c r="Z25" s="3">
        <f>Y25*F25</f>
        <v>539483.57535397285</v>
      </c>
      <c r="AA25" s="44">
        <v>43228</v>
      </c>
      <c r="AB25" s="3"/>
      <c r="AC25" s="119"/>
    </row>
    <row r="26" spans="1:29" x14ac:dyDescent="0.25">
      <c r="A26" s="175"/>
      <c r="B26" s="34" t="s">
        <v>328</v>
      </c>
      <c r="C26" t="s">
        <v>336</v>
      </c>
      <c r="D26" s="35" t="s">
        <v>336</v>
      </c>
      <c r="E26" t="s">
        <v>1021</v>
      </c>
      <c r="F26" s="36">
        <f>41985*0.4536</f>
        <v>19044.396000000001</v>
      </c>
      <c r="G26" s="38">
        <v>18963.8</v>
      </c>
      <c r="H26" s="38">
        <f t="shared" si="5"/>
        <v>-80.596000000001368</v>
      </c>
      <c r="I26" s="35">
        <v>43798</v>
      </c>
      <c r="J26" s="5" t="s">
        <v>1022</v>
      </c>
      <c r="K26" s="39">
        <v>43227</v>
      </c>
      <c r="L26" s="39">
        <v>43228</v>
      </c>
      <c r="M26" s="35" t="s">
        <v>355</v>
      </c>
      <c r="N26" s="35" t="s">
        <v>2483</v>
      </c>
      <c r="O26" s="22"/>
      <c r="P26" s="40">
        <f>0.4954+0.095</f>
        <v>0.59040000000000004</v>
      </c>
      <c r="Q26" s="111">
        <v>26000</v>
      </c>
      <c r="R26" s="22">
        <v>9400</v>
      </c>
      <c r="S26" s="45">
        <v>18.78</v>
      </c>
      <c r="T26" s="137">
        <f t="shared" ref="T26:T31" si="9">X26*F26*0.005</f>
        <v>2516.7820967768621</v>
      </c>
      <c r="V26" s="22">
        <v>0.12</v>
      </c>
      <c r="W26" s="22">
        <v>0.3</v>
      </c>
      <c r="X26" s="22">
        <f>IF(O26&gt;0,O26,((P26*2.2046*S26)+(Q26+R26)/G26)+V26)</f>
        <v>26.430684352256293</v>
      </c>
      <c r="Y26" s="22">
        <f>IF(O26&gt;0,O26,((P26*2.2046*S26)+(Q26+R26+T26)/G26)+V26+W26)</f>
        <v>26.863399425014752</v>
      </c>
      <c r="Z26" s="3">
        <f>Y26*F26</f>
        <v>511597.21655615326</v>
      </c>
      <c r="AA26" s="44">
        <v>43220</v>
      </c>
      <c r="AB26" s="3"/>
      <c r="AC26" s="119"/>
    </row>
    <row r="27" spans="1:29" x14ac:dyDescent="0.25">
      <c r="A27" s="175"/>
      <c r="B27" s="34" t="s">
        <v>1063</v>
      </c>
      <c r="C27" t="s">
        <v>2079</v>
      </c>
      <c r="D27" s="35" t="s">
        <v>1065</v>
      </c>
      <c r="E27" t="s">
        <v>2684</v>
      </c>
      <c r="F27" s="36">
        <v>2020.73</v>
      </c>
      <c r="G27" s="38">
        <v>2122.08</v>
      </c>
      <c r="H27" s="38">
        <f t="shared" si="5"/>
        <v>101.34999999999991</v>
      </c>
      <c r="I27" s="35" t="s">
        <v>2701</v>
      </c>
      <c r="K27" s="39"/>
      <c r="L27" s="39">
        <v>43228</v>
      </c>
      <c r="M27" s="35" t="s">
        <v>355</v>
      </c>
      <c r="N27" s="35"/>
      <c r="O27" s="22">
        <v>85</v>
      </c>
      <c r="P27" s="40"/>
      <c r="Q27" s="22"/>
      <c r="R27" s="22"/>
      <c r="S27" s="45"/>
      <c r="T27" s="43"/>
      <c r="V27" s="22"/>
      <c r="W27" s="22"/>
      <c r="X27" s="22">
        <f>IF(O27&gt;0,O27,((P27*2.2046*S27)+(Q27+R27)/G27)+V27)</f>
        <v>85</v>
      </c>
      <c r="Y27" s="22">
        <f>IF(O27&gt;0,O27,((P27*2.2046*S27)+(Q27+R27+T27)/G27)+V27+W27)</f>
        <v>85</v>
      </c>
      <c r="Z27" s="3">
        <f>Y27*F27</f>
        <v>171762.05</v>
      </c>
      <c r="AA27" s="44">
        <v>43237</v>
      </c>
      <c r="AB27" s="3"/>
      <c r="AC27" s="119"/>
    </row>
    <row r="28" spans="1:29" x14ac:dyDescent="0.25">
      <c r="A28" s="175"/>
      <c r="B28" s="34" t="s">
        <v>340</v>
      </c>
      <c r="C28" t="s">
        <v>341</v>
      </c>
      <c r="D28" s="35" t="s">
        <v>1047</v>
      </c>
      <c r="E28">
        <v>250</v>
      </c>
      <c r="F28" s="36">
        <v>26550</v>
      </c>
      <c r="G28" s="38">
        <f>5820+15310</f>
        <v>21130</v>
      </c>
      <c r="H28" s="38">
        <f t="shared" si="5"/>
        <v>-5420</v>
      </c>
      <c r="I28" s="35" t="s">
        <v>2553</v>
      </c>
      <c r="K28" s="39"/>
      <c r="L28" s="39">
        <v>43228</v>
      </c>
      <c r="M28" s="35" t="s">
        <v>355</v>
      </c>
      <c r="O28" s="22">
        <v>26</v>
      </c>
      <c r="P28" s="40"/>
      <c r="Q28" s="47">
        <v>21300</v>
      </c>
      <c r="R28" s="22">
        <f>71*E28</f>
        <v>17750</v>
      </c>
      <c r="S28" s="43">
        <f>-38*E28</f>
        <v>-9500</v>
      </c>
      <c r="T28" s="137">
        <f t="shared" si="9"/>
        <v>4530.3371982962617</v>
      </c>
      <c r="U28" s="22">
        <f>E28*5</f>
        <v>1250</v>
      </c>
      <c r="W28" s="22">
        <v>0.3</v>
      </c>
      <c r="X28" s="22">
        <f>((O28*F28)+Q28+R28+S28+U28)/G28</f>
        <v>34.126833885470894</v>
      </c>
      <c r="Y28" s="22">
        <f>((O28*F28)+Q28+R28+S28+T28+U28)/G28+W28</f>
        <v>34.641236971050454</v>
      </c>
      <c r="Z28" s="3">
        <f>Y28*G28</f>
        <v>731969.3371982961</v>
      </c>
      <c r="AA28" s="44">
        <v>43241</v>
      </c>
      <c r="AB28" s="3"/>
      <c r="AC28" s="119" t="s">
        <v>2555</v>
      </c>
    </row>
    <row r="29" spans="1:29" x14ac:dyDescent="0.25">
      <c r="A29" s="175"/>
      <c r="B29" s="34" t="s">
        <v>328</v>
      </c>
      <c r="C29" t="s">
        <v>336</v>
      </c>
      <c r="D29" s="35" t="s">
        <v>336</v>
      </c>
      <c r="E29" t="s">
        <v>1021</v>
      </c>
      <c r="F29" s="36">
        <f>42390*0.4536</f>
        <v>19228.103999999999</v>
      </c>
      <c r="G29" s="38">
        <v>19205.71</v>
      </c>
      <c r="H29" s="38">
        <f t="shared" ref="H29:H43" si="10">G29-F29</f>
        <v>-22.394000000000233</v>
      </c>
      <c r="I29">
        <v>43799</v>
      </c>
      <c r="J29" s="5" t="s">
        <v>1022</v>
      </c>
      <c r="K29" s="39">
        <v>43229</v>
      </c>
      <c r="L29" s="39">
        <v>43230</v>
      </c>
      <c r="M29" s="35" t="s">
        <v>342</v>
      </c>
      <c r="N29" s="35" t="s">
        <v>2485</v>
      </c>
      <c r="O29" s="22"/>
      <c r="P29" s="40">
        <f>0.4894+0.095</f>
        <v>0.58440000000000003</v>
      </c>
      <c r="Q29" s="111">
        <v>26000</v>
      </c>
      <c r="R29" s="22">
        <v>9400</v>
      </c>
      <c r="S29" s="45">
        <v>19.09</v>
      </c>
      <c r="T29" s="137">
        <f t="shared" si="9"/>
        <v>2553.3144993956325</v>
      </c>
      <c r="V29" s="22">
        <v>0.12</v>
      </c>
      <c r="W29" s="22">
        <v>0.3</v>
      </c>
      <c r="X29" s="22">
        <f>IF(O29&gt;0,O29,((P29*2.2046*S29)+(Q29+R29)/G29)+V29)</f>
        <v>26.558151541052958</v>
      </c>
      <c r="Y29" s="22">
        <f>IF(O29&gt;0,O29,((P29*2.2046*S29)+(Q29+R29+T29)/G29)+V29+W29)</f>
        <v>26.99109713376448</v>
      </c>
      <c r="Z29" s="3">
        <f>Y29*F29</f>
        <v>518987.62276212533</v>
      </c>
      <c r="AA29" s="44">
        <v>43222</v>
      </c>
      <c r="AB29" s="3"/>
      <c r="AC29" s="119"/>
    </row>
    <row r="30" spans="1:29" x14ac:dyDescent="0.25">
      <c r="A30" s="175"/>
      <c r="B30" s="34" t="s">
        <v>340</v>
      </c>
      <c r="C30" t="s">
        <v>341</v>
      </c>
      <c r="D30" s="35" t="s">
        <v>1060</v>
      </c>
      <c r="E30">
        <v>250</v>
      </c>
      <c r="F30" s="36">
        <v>30750</v>
      </c>
      <c r="G30" s="38">
        <f>17670+6820</f>
        <v>24490</v>
      </c>
      <c r="H30" s="38">
        <f t="shared" si="10"/>
        <v>-6260</v>
      </c>
      <c r="I30" s="35" t="s">
        <v>2565</v>
      </c>
      <c r="K30" s="39"/>
      <c r="L30" s="39">
        <v>43229</v>
      </c>
      <c r="M30" s="35" t="s">
        <v>331</v>
      </c>
      <c r="O30" s="22">
        <v>26</v>
      </c>
      <c r="P30" s="40"/>
      <c r="Q30" s="47">
        <v>21300</v>
      </c>
      <c r="R30" s="22">
        <f>71*E30</f>
        <v>17750</v>
      </c>
      <c r="S30" s="43">
        <f>-38*E30</f>
        <v>-9500</v>
      </c>
      <c r="T30" s="137">
        <f t="shared" si="9"/>
        <v>5212.683748468763</v>
      </c>
      <c r="U30" s="22">
        <f>E30*5</f>
        <v>1250</v>
      </c>
      <c r="W30" s="22">
        <v>0.3</v>
      </c>
      <c r="X30" s="22">
        <f>((O30*F30)+Q30+R30+S30+U30)/G30</f>
        <v>33.903634136382195</v>
      </c>
      <c r="Y30" s="22">
        <f>((O30*F30)+Q30+R30+S30+T30+U30)/G30+W30</f>
        <v>34.416483615699008</v>
      </c>
      <c r="Z30" s="3">
        <f>Y30*G30</f>
        <v>842859.68374846876</v>
      </c>
      <c r="AA30" s="44">
        <v>43242</v>
      </c>
      <c r="AB30" s="3"/>
      <c r="AC30" s="119" t="s">
        <v>2571</v>
      </c>
    </row>
    <row r="31" spans="1:29" x14ac:dyDescent="0.25">
      <c r="A31" s="175"/>
      <c r="B31" s="34" t="s">
        <v>328</v>
      </c>
      <c r="C31" s="35" t="s">
        <v>343</v>
      </c>
      <c r="D31" s="35" t="s">
        <v>343</v>
      </c>
      <c r="E31" t="s">
        <v>1040</v>
      </c>
      <c r="F31" s="36">
        <f>42066*0.4536</f>
        <v>19081.137600000002</v>
      </c>
      <c r="G31" s="38">
        <v>19015.12</v>
      </c>
      <c r="H31" s="38">
        <f t="shared" si="10"/>
        <v>-66.017600000002858</v>
      </c>
      <c r="I31" t="s">
        <v>2491</v>
      </c>
      <c r="J31" s="5" t="s">
        <v>1022</v>
      </c>
      <c r="K31" s="39">
        <v>43228</v>
      </c>
      <c r="L31" s="39">
        <v>43229</v>
      </c>
      <c r="M31" s="35" t="s">
        <v>331</v>
      </c>
      <c r="N31" s="35" t="s">
        <v>2486</v>
      </c>
      <c r="O31" s="22"/>
      <c r="P31" s="40">
        <f>0.4979+0.105</f>
        <v>0.60289999999999999</v>
      </c>
      <c r="Q31" s="111">
        <v>26000</v>
      </c>
      <c r="R31" s="22">
        <v>9400</v>
      </c>
      <c r="S31" s="45">
        <v>19.094999999999999</v>
      </c>
      <c r="T31" s="137">
        <f t="shared" si="9"/>
        <v>2610.4770228824482</v>
      </c>
      <c r="V31" s="22">
        <v>0.12</v>
      </c>
      <c r="W31" s="22">
        <v>0.3</v>
      </c>
      <c r="X31" s="22">
        <f>IF(O31&gt;0,O31,((P31*2.2046*S31)+(Q31+R31)/G31)+V31)</f>
        <v>27.361859419560474</v>
      </c>
      <c r="Y31" s="22">
        <f>IF(O31&gt;0,O31,((P31*2.2046*S31)+(Q31+R31+T31)/G31)+V31+W31)</f>
        <v>27.799143697697161</v>
      </c>
      <c r="Z31" s="3">
        <f>Y31*F31</f>
        <v>530439.28605793242</v>
      </c>
      <c r="AA31" s="44">
        <v>43223</v>
      </c>
      <c r="AB31" s="3"/>
      <c r="AC31" s="119"/>
    </row>
    <row r="32" spans="1:29" x14ac:dyDescent="0.25">
      <c r="A32" s="175"/>
      <c r="B32" s="34" t="s">
        <v>340</v>
      </c>
      <c r="C32" t="s">
        <v>341</v>
      </c>
      <c r="D32" s="35" t="s">
        <v>1047</v>
      </c>
      <c r="E32">
        <v>199</v>
      </c>
      <c r="F32" s="36">
        <v>23060</v>
      </c>
      <c r="G32" s="38">
        <v>18230</v>
      </c>
      <c r="H32" s="38">
        <f t="shared" si="10"/>
        <v>-4830</v>
      </c>
      <c r="I32" s="35" t="s">
        <v>2569</v>
      </c>
      <c r="J32" s="10">
        <v>200</v>
      </c>
      <c r="K32" s="39"/>
      <c r="L32" s="39">
        <v>43230</v>
      </c>
      <c r="M32" s="35" t="s">
        <v>342</v>
      </c>
      <c r="O32" s="22">
        <v>26</v>
      </c>
      <c r="P32" s="40"/>
      <c r="Q32" s="47">
        <v>21300</v>
      </c>
      <c r="R32" s="22">
        <f>71*E32</f>
        <v>14129</v>
      </c>
      <c r="S32" s="43">
        <f>-38*E32</f>
        <v>-7562</v>
      </c>
      <c r="T32" s="137">
        <f>X32*F32*0.0045</f>
        <v>3577.1448678003285</v>
      </c>
      <c r="U32" s="22">
        <f>E32*5</f>
        <v>995</v>
      </c>
      <c r="W32" s="22">
        <v>0.3</v>
      </c>
      <c r="X32" s="22">
        <f>((O32*F32)+Q32+R32+S32+U32)/G32</f>
        <v>34.471859572133845</v>
      </c>
      <c r="Y32" s="22">
        <f>((O32*F32)+Q32+R32+S32+T32+U32)/G32+W32</f>
        <v>34.96808254897423</v>
      </c>
      <c r="Z32" s="3">
        <f>Y32*G32</f>
        <v>637468.14486780018</v>
      </c>
      <c r="AA32" s="44">
        <v>43243</v>
      </c>
      <c r="AB32" s="3"/>
      <c r="AC32" s="119"/>
    </row>
    <row r="33" spans="1:29" x14ac:dyDescent="0.25">
      <c r="A33" s="175"/>
      <c r="B33" s="34" t="s">
        <v>340</v>
      </c>
      <c r="C33" t="s">
        <v>341</v>
      </c>
      <c r="D33" s="35" t="s">
        <v>1047</v>
      </c>
      <c r="E33">
        <v>130</v>
      </c>
      <c r="F33" s="36">
        <v>14620</v>
      </c>
      <c r="G33" s="38">
        <v>11500</v>
      </c>
      <c r="H33" s="38">
        <f t="shared" si="10"/>
        <v>-3120</v>
      </c>
      <c r="I33" t="s">
        <v>2570</v>
      </c>
      <c r="J33" s="10">
        <v>129</v>
      </c>
      <c r="K33" s="39"/>
      <c r="L33" s="39">
        <v>43230</v>
      </c>
      <c r="M33" s="35" t="s">
        <v>342</v>
      </c>
      <c r="O33" s="22">
        <v>26</v>
      </c>
      <c r="P33" s="40"/>
      <c r="Q33" s="111">
        <v>16900</v>
      </c>
      <c r="R33" s="22">
        <f>71*E33</f>
        <v>9230</v>
      </c>
      <c r="S33" s="43">
        <f>-38*E33</f>
        <v>-4940</v>
      </c>
      <c r="T33" s="137">
        <f>X33*F33*0.0045</f>
        <v>2299.5607304347823</v>
      </c>
      <c r="U33" s="22">
        <f>E33*5</f>
        <v>650</v>
      </c>
      <c r="W33" s="22">
        <v>0.3</v>
      </c>
      <c r="X33" s="22">
        <f>((O33*F33)+Q33+R33+S33+U33)/G33</f>
        <v>34.953043478260867</v>
      </c>
      <c r="Y33" s="22">
        <f>((O33*F33)+Q33+R33+S33+T33+U33)/G33+W33</f>
        <v>35.453005280907369</v>
      </c>
      <c r="Z33" s="3">
        <f>Y33*G33</f>
        <v>407709.56073043472</v>
      </c>
      <c r="AA33" s="44">
        <v>43243</v>
      </c>
      <c r="AB33" s="3"/>
      <c r="AC33" s="119" t="s">
        <v>2599</v>
      </c>
    </row>
    <row r="34" spans="1:29" x14ac:dyDescent="0.25">
      <c r="A34" s="175"/>
      <c r="B34" s="34" t="s">
        <v>328</v>
      </c>
      <c r="C34" s="35" t="s">
        <v>329</v>
      </c>
      <c r="D34" s="35" t="s">
        <v>329</v>
      </c>
      <c r="E34" t="s">
        <v>1021</v>
      </c>
      <c r="F34" s="36">
        <f>41570*0.4536</f>
        <v>18856.152000000002</v>
      </c>
      <c r="G34" s="38">
        <v>19002.990000000002</v>
      </c>
      <c r="H34" s="38">
        <f t="shared" si="10"/>
        <v>146.83799999999974</v>
      </c>
      <c r="I34" t="s">
        <v>2492</v>
      </c>
      <c r="J34" s="5" t="s">
        <v>1022</v>
      </c>
      <c r="K34" s="39">
        <v>43230</v>
      </c>
      <c r="L34" s="39">
        <v>43231</v>
      </c>
      <c r="M34" s="35" t="s">
        <v>345</v>
      </c>
      <c r="N34" s="35" t="s">
        <v>2488</v>
      </c>
      <c r="O34" s="22"/>
      <c r="P34" s="40">
        <f>0.4974+0.095</f>
        <v>0.59240000000000004</v>
      </c>
      <c r="Q34" s="111">
        <v>26000</v>
      </c>
      <c r="R34" s="120">
        <v>9500</v>
      </c>
      <c r="S34" s="45">
        <v>19.625</v>
      </c>
      <c r="T34" s="137">
        <f>X34*F34*0.005</f>
        <v>2603.8909052876056</v>
      </c>
      <c r="V34" s="22">
        <v>0.12</v>
      </c>
      <c r="W34" s="22">
        <v>0.3</v>
      </c>
      <c r="X34" s="22">
        <f>IF(O34&gt;0,O34,((P34*2.2046*S34)+(Q34+R34)/G34)+V34)</f>
        <v>27.618475978424499</v>
      </c>
      <c r="Y34" s="22">
        <f>IF(O34&gt;0,O34,((P34*2.2046*S34)+(Q34+R34+T34)/G34)+V34+W34)</f>
        <v>28.055501304717236</v>
      </c>
      <c r="Z34" s="3">
        <f>Y34*F34</f>
        <v>529018.79703794653</v>
      </c>
      <c r="AA34" s="44">
        <v>43241</v>
      </c>
      <c r="AB34" s="3"/>
      <c r="AC34" s="119"/>
    </row>
    <row r="35" spans="1:29" x14ac:dyDescent="0.25">
      <c r="A35" s="175"/>
      <c r="B35" s="34" t="s">
        <v>340</v>
      </c>
      <c r="C35" t="s">
        <v>341</v>
      </c>
      <c r="D35" s="35" t="s">
        <v>1047</v>
      </c>
      <c r="E35">
        <f>228</f>
        <v>228</v>
      </c>
      <c r="F35" s="36">
        <f>24395</f>
        <v>24395</v>
      </c>
      <c r="G35" s="38">
        <f>17440</f>
        <v>17440</v>
      </c>
      <c r="H35" s="38">
        <f t="shared" si="10"/>
        <v>-6955</v>
      </c>
      <c r="I35" t="s">
        <v>2597</v>
      </c>
      <c r="J35">
        <v>200</v>
      </c>
      <c r="K35" s="39"/>
      <c r="L35" s="39">
        <v>43231</v>
      </c>
      <c r="M35" s="35" t="s">
        <v>345</v>
      </c>
      <c r="O35" s="22">
        <v>26</v>
      </c>
      <c r="P35" s="40"/>
      <c r="Q35" s="47">
        <f>21300</f>
        <v>21300</v>
      </c>
      <c r="R35" s="22">
        <f>71*E35</f>
        <v>16188</v>
      </c>
      <c r="S35" s="43">
        <f>-38*E35</f>
        <v>-8664</v>
      </c>
      <c r="T35" s="137">
        <f>X35*F35*0.0045</f>
        <v>4181.0749962729351</v>
      </c>
      <c r="U35" s="22">
        <f>E35*5</f>
        <v>1140</v>
      </c>
      <c r="W35" s="22">
        <v>0.3</v>
      </c>
      <c r="X35" s="22">
        <f>((O35*F35)+Q35+R35+S35+U35)/G35</f>
        <v>38.086811926605506</v>
      </c>
      <c r="Y35" s="22">
        <f>((O35*F35)+Q35+R35+S35+T35+U35)/G35+W35</f>
        <v>38.626552465382616</v>
      </c>
      <c r="Z35" s="3">
        <f>Y35*G35</f>
        <v>673647.0749962728</v>
      </c>
      <c r="AA35" s="44">
        <v>43244</v>
      </c>
      <c r="AB35" s="3"/>
    </row>
    <row r="36" spans="1:29" x14ac:dyDescent="0.25">
      <c r="A36" s="175"/>
      <c r="B36" s="34" t="s">
        <v>340</v>
      </c>
      <c r="C36" t="s">
        <v>341</v>
      </c>
      <c r="D36" s="35" t="s">
        <v>1047</v>
      </c>
      <c r="E36">
        <v>100</v>
      </c>
      <c r="F36" s="36">
        <v>11500</v>
      </c>
      <c r="G36" s="38">
        <v>10920</v>
      </c>
      <c r="H36" s="38">
        <f t="shared" si="10"/>
        <v>-580</v>
      </c>
      <c r="I36" s="35" t="s">
        <v>2596</v>
      </c>
      <c r="J36">
        <v>128</v>
      </c>
      <c r="K36" s="39"/>
      <c r="L36" s="39">
        <v>43231</v>
      </c>
      <c r="M36" s="35" t="s">
        <v>345</v>
      </c>
      <c r="O36" s="22">
        <v>26</v>
      </c>
      <c r="P36" s="40"/>
      <c r="Q36" s="22">
        <v>16900</v>
      </c>
      <c r="R36" s="22">
        <f>71*E36</f>
        <v>7100</v>
      </c>
      <c r="S36" s="43">
        <f>-38*E36</f>
        <v>-3800</v>
      </c>
      <c r="T36" s="137">
        <f>X36*F36*0.0045</f>
        <v>1515.0618131868132</v>
      </c>
      <c r="U36" s="22">
        <f>E36*5</f>
        <v>500</v>
      </c>
      <c r="W36" s="22">
        <v>0.3</v>
      </c>
      <c r="X36" s="22">
        <f>((O36*F36)+Q36+R36+S36+U36)/G36</f>
        <v>29.276556776556777</v>
      </c>
      <c r="Y36" s="22">
        <f>((O36*F36)+Q36+R36+S36+T36+U36)/G36+W36</f>
        <v>29.715298700841281</v>
      </c>
      <c r="Z36" s="3">
        <f>Y36*G36</f>
        <v>324491.0618131868</v>
      </c>
      <c r="AA36" s="44">
        <v>43244</v>
      </c>
      <c r="AB36" s="3">
        <v>35.19</v>
      </c>
      <c r="AC36" s="119" t="s">
        <v>2606</v>
      </c>
    </row>
    <row r="37" spans="1:29" x14ac:dyDescent="0.25">
      <c r="A37" s="175"/>
      <c r="B37" s="34" t="s">
        <v>1063</v>
      </c>
      <c r="C37" t="s">
        <v>2079</v>
      </c>
      <c r="D37" s="35" t="s">
        <v>1065</v>
      </c>
      <c r="E37" t="s">
        <v>2727</v>
      </c>
      <c r="F37" s="36">
        <v>10068.200000000001</v>
      </c>
      <c r="G37" s="38">
        <v>10068.700000000001</v>
      </c>
      <c r="H37" s="38">
        <f t="shared" ref="H37:H39" si="11">G37-F37</f>
        <v>0.5</v>
      </c>
      <c r="I37" s="35" t="s">
        <v>2686</v>
      </c>
      <c r="K37" s="39"/>
      <c r="L37" s="39">
        <v>43231</v>
      </c>
      <c r="M37" s="35" t="s">
        <v>345</v>
      </c>
      <c r="N37" s="35"/>
      <c r="O37" s="22">
        <v>86</v>
      </c>
      <c r="P37" s="40"/>
      <c r="Q37" s="22"/>
      <c r="R37" s="22"/>
      <c r="S37" s="45"/>
      <c r="T37" s="43"/>
      <c r="V37" s="22"/>
      <c r="W37" s="22"/>
      <c r="X37" s="22">
        <f>IF(O37&gt;0,O37,((P37*2.2046*S37)+(Q37+R37)/G37)+V37)</f>
        <v>86</v>
      </c>
      <c r="Y37" s="22">
        <f>IF(O37&gt;0,O37,((P37*2.2046*S37)+(Q37+R37+T37)/G37)+V37+W37)</f>
        <v>86</v>
      </c>
      <c r="Z37" s="3">
        <f>Y37*F37</f>
        <v>865865.20000000007</v>
      </c>
      <c r="AA37" s="44">
        <v>43243</v>
      </c>
      <c r="AB37" s="3"/>
      <c r="AC37" s="119"/>
    </row>
    <row r="38" spans="1:29" x14ac:dyDescent="0.25">
      <c r="A38" s="175"/>
      <c r="B38" s="34" t="s">
        <v>1501</v>
      </c>
      <c r="C38" t="s">
        <v>343</v>
      </c>
      <c r="D38" s="35" t="s">
        <v>1106</v>
      </c>
      <c r="E38" t="s">
        <v>1652</v>
      </c>
      <c r="F38" s="36">
        <v>3710.4</v>
      </c>
      <c r="G38" s="38">
        <v>3710.4</v>
      </c>
      <c r="H38" s="38">
        <f t="shared" si="11"/>
        <v>0</v>
      </c>
      <c r="I38" s="35" t="s">
        <v>2691</v>
      </c>
      <c r="K38" s="39"/>
      <c r="L38" s="39">
        <v>43231</v>
      </c>
      <c r="M38" s="35" t="s">
        <v>345</v>
      </c>
      <c r="N38" s="35"/>
      <c r="O38" s="22">
        <v>19</v>
      </c>
      <c r="P38" s="40"/>
      <c r="Q38" s="22"/>
      <c r="R38" s="22"/>
      <c r="S38" s="45"/>
      <c r="T38" s="43"/>
      <c r="V38" s="22"/>
      <c r="W38" s="22"/>
      <c r="X38" s="22">
        <f>IF(O38&gt;0,O38,((P38*2.2046*S38)+(Q38+R38)/G38)+V38)</f>
        <v>19</v>
      </c>
      <c r="Y38" s="22">
        <f>IF(O38&gt;0,O38,((P38*2.2046*S38)+(Q38+R38+T38)/G38)+V38+W38)</f>
        <v>19</v>
      </c>
      <c r="Z38" s="3">
        <f>Y38*F38</f>
        <v>70497.600000000006</v>
      </c>
      <c r="AA38" s="44">
        <v>43238</v>
      </c>
      <c r="AB38" s="3"/>
      <c r="AC38" s="119"/>
    </row>
    <row r="39" spans="1:29" x14ac:dyDescent="0.25">
      <c r="A39" s="175"/>
      <c r="B39" s="34" t="s">
        <v>2369</v>
      </c>
      <c r="C39" t="s">
        <v>2690</v>
      </c>
      <c r="D39" s="35" t="s">
        <v>1106</v>
      </c>
      <c r="E39" t="s">
        <v>2378</v>
      </c>
      <c r="F39" s="36">
        <v>200</v>
      </c>
      <c r="G39" s="38">
        <v>200</v>
      </c>
      <c r="H39" s="38">
        <f t="shared" si="11"/>
        <v>0</v>
      </c>
      <c r="I39" s="35" t="s">
        <v>2691</v>
      </c>
      <c r="K39" s="39"/>
      <c r="L39" s="39">
        <v>43231</v>
      </c>
      <c r="M39" s="35" t="s">
        <v>345</v>
      </c>
      <c r="N39" s="35"/>
      <c r="O39" s="22">
        <v>26</v>
      </c>
      <c r="P39" s="40"/>
      <c r="Q39" s="22"/>
      <c r="R39" s="22"/>
      <c r="S39" s="45"/>
      <c r="T39" s="43"/>
      <c r="V39" s="22"/>
      <c r="W39" s="22"/>
      <c r="X39" s="22">
        <f>IF(O39&gt;0,O39,((P39*2.2046*S39)+(Q39+R39)/G39)+V39)</f>
        <v>26</v>
      </c>
      <c r="Y39" s="22">
        <f>IF(O39&gt;0,O39,((P39*2.2046*S39)+(Q39+R39+T39)/G39)+V39+W39)</f>
        <v>26</v>
      </c>
      <c r="Z39" s="3">
        <f>Y39*F39</f>
        <v>5200</v>
      </c>
      <c r="AA39" s="44">
        <v>43238</v>
      </c>
      <c r="AB39" s="3"/>
      <c r="AC39" s="119"/>
    </row>
    <row r="40" spans="1:29" x14ac:dyDescent="0.25">
      <c r="A40" s="175"/>
      <c r="B40" s="34" t="s">
        <v>328</v>
      </c>
      <c r="C40" t="s">
        <v>343</v>
      </c>
      <c r="D40" s="35" t="s">
        <v>343</v>
      </c>
      <c r="E40" t="s">
        <v>1040</v>
      </c>
      <c r="F40" s="36">
        <f>42320*0.4536</f>
        <v>19196.351999999999</v>
      </c>
      <c r="G40" s="38">
        <v>19178.46</v>
      </c>
      <c r="H40" s="38">
        <f t="shared" si="10"/>
        <v>-17.891999999999825</v>
      </c>
      <c r="I40" s="35" t="s">
        <v>2493</v>
      </c>
      <c r="J40" s="5" t="s">
        <v>1022</v>
      </c>
      <c r="K40" s="39">
        <v>43231</v>
      </c>
      <c r="L40" s="39">
        <v>43232</v>
      </c>
      <c r="M40" s="35" t="s">
        <v>348</v>
      </c>
      <c r="N40" s="35" t="s">
        <v>2487</v>
      </c>
      <c r="O40" s="22"/>
      <c r="P40" s="40">
        <f>0.4979+0.105</f>
        <v>0.60289999999999999</v>
      </c>
      <c r="Q40" s="22">
        <v>26000</v>
      </c>
      <c r="R40" s="22">
        <v>9400</v>
      </c>
      <c r="S40" s="45">
        <v>19.53</v>
      </c>
      <c r="T40" s="137">
        <f>X40*F40*0.005</f>
        <v>2680.2124718535169</v>
      </c>
      <c r="V40" s="22">
        <v>0.12</v>
      </c>
      <c r="W40" s="22">
        <v>0.3</v>
      </c>
      <c r="X40" s="22">
        <f>IF(O40&gt;0,O40,((P40*2.2046*S40)+(Q40+R40)/G40)+V40)</f>
        <v>27.924185510387773</v>
      </c>
      <c r="Y40" s="22">
        <f>IF(O40&gt;0,O40,((P40*2.2046*S40)+(Q40+R40+T40)/G40)+V40+W40)</f>
        <v>28.363936693321833</v>
      </c>
      <c r="Z40" s="3">
        <f>Y40*F40</f>
        <v>544484.11287072196</v>
      </c>
      <c r="AA40" s="44">
        <v>43227</v>
      </c>
      <c r="AB40" s="3"/>
      <c r="AC40" s="119"/>
    </row>
    <row r="41" spans="1:29" x14ac:dyDescent="0.25">
      <c r="A41" s="175"/>
      <c r="B41" s="34" t="s">
        <v>1604</v>
      </c>
      <c r="C41" t="s">
        <v>1603</v>
      </c>
      <c r="D41" s="35" t="s">
        <v>1014</v>
      </c>
      <c r="E41" t="s">
        <v>1016</v>
      </c>
      <c r="F41" s="36">
        <v>45.4</v>
      </c>
      <c r="G41" s="38">
        <v>45.4</v>
      </c>
      <c r="H41" s="38">
        <f t="shared" si="10"/>
        <v>0</v>
      </c>
      <c r="I41" s="35" t="s">
        <v>2679</v>
      </c>
      <c r="K41" s="39"/>
      <c r="L41" s="39">
        <v>43232</v>
      </c>
      <c r="M41" s="35" t="s">
        <v>348</v>
      </c>
      <c r="N41" s="35"/>
      <c r="O41" s="22">
        <v>175</v>
      </c>
      <c r="P41" s="40"/>
      <c r="Q41" s="22"/>
      <c r="R41" s="22"/>
      <c r="S41" s="45"/>
      <c r="T41" s="43"/>
      <c r="V41" s="22"/>
      <c r="W41" s="22"/>
      <c r="X41" s="22">
        <f t="shared" ref="X41:X43" si="12">IF(O41&gt;0,O41,((P41*2.2046*S41)+(Q41+R41)/G41)+V41)</f>
        <v>175</v>
      </c>
      <c r="Y41" s="22">
        <f t="shared" ref="Y41:Y43" si="13">IF(O41&gt;0,O41,((P41*2.2046*S41)+(Q41+R41+T41)/G41)+V41+W41)</f>
        <v>175</v>
      </c>
      <c r="Z41" s="3">
        <f t="shared" ref="Z41:Z43" si="14">Y41*F41</f>
        <v>7945</v>
      </c>
      <c r="AA41" s="44">
        <v>43234</v>
      </c>
      <c r="AB41" s="3"/>
      <c r="AC41" s="119"/>
    </row>
    <row r="42" spans="1:29" x14ac:dyDescent="0.25">
      <c r="A42" s="175"/>
      <c r="B42" s="34" t="s">
        <v>1602</v>
      </c>
      <c r="C42" s="191" t="s">
        <v>2681</v>
      </c>
      <c r="D42" s="35" t="s">
        <v>1014</v>
      </c>
      <c r="E42" t="s">
        <v>1016</v>
      </c>
      <c r="F42" s="36">
        <v>100</v>
      </c>
      <c r="G42" s="38">
        <v>100</v>
      </c>
      <c r="H42" s="38">
        <f t="shared" si="10"/>
        <v>0</v>
      </c>
      <c r="I42" s="35" t="s">
        <v>2680</v>
      </c>
      <c r="K42" s="39"/>
      <c r="L42" s="39">
        <v>43232</v>
      </c>
      <c r="M42" s="35" t="s">
        <v>348</v>
      </c>
      <c r="N42" s="35"/>
      <c r="O42" s="22">
        <v>170</v>
      </c>
      <c r="P42" s="40"/>
      <c r="Q42" s="22"/>
      <c r="R42" s="22"/>
      <c r="S42" s="45"/>
      <c r="T42" s="43"/>
      <c r="V42" s="22"/>
      <c r="W42" s="22"/>
      <c r="X42" s="22">
        <f t="shared" si="12"/>
        <v>170</v>
      </c>
      <c r="Y42" s="22">
        <f t="shared" si="13"/>
        <v>170</v>
      </c>
      <c r="Z42" s="3">
        <f t="shared" si="14"/>
        <v>17000</v>
      </c>
      <c r="AA42" s="44">
        <v>43234</v>
      </c>
      <c r="AB42" s="3"/>
      <c r="AC42" s="119"/>
    </row>
    <row r="43" spans="1:29" x14ac:dyDescent="0.25">
      <c r="A43" s="175"/>
      <c r="B43" s="34" t="s">
        <v>1010</v>
      </c>
      <c r="C43" t="s">
        <v>2682</v>
      </c>
      <c r="D43" s="35" t="s">
        <v>1014</v>
      </c>
      <c r="E43" t="s">
        <v>2683</v>
      </c>
      <c r="F43" s="36">
        <v>2000</v>
      </c>
      <c r="G43" s="38">
        <v>2000</v>
      </c>
      <c r="H43" s="38">
        <f t="shared" si="10"/>
        <v>0</v>
      </c>
      <c r="I43" s="35" t="s">
        <v>2680</v>
      </c>
      <c r="K43" s="39"/>
      <c r="L43" s="39">
        <v>43232</v>
      </c>
      <c r="M43" s="35" t="s">
        <v>348</v>
      </c>
      <c r="N43" s="35"/>
      <c r="O43" s="22">
        <v>45</v>
      </c>
      <c r="P43" s="40"/>
      <c r="Q43" s="22"/>
      <c r="R43" s="22"/>
      <c r="S43" s="45"/>
      <c r="T43" s="43"/>
      <c r="V43" s="22"/>
      <c r="W43" s="22"/>
      <c r="X43" s="22">
        <f t="shared" si="12"/>
        <v>45</v>
      </c>
      <c r="Y43" s="22">
        <f t="shared" si="13"/>
        <v>45</v>
      </c>
      <c r="Z43" s="3">
        <f t="shared" si="14"/>
        <v>90000</v>
      </c>
      <c r="AA43" s="44">
        <v>43234</v>
      </c>
      <c r="AB43" s="3"/>
      <c r="AC43" s="119"/>
    </row>
    <row r="44" spans="1:29" ht="15.75" thickBot="1" x14ac:dyDescent="0.3">
      <c r="A44" s="176"/>
      <c r="B44" s="49"/>
      <c r="C44" s="23"/>
      <c r="D44" s="23"/>
      <c r="E44" s="23"/>
      <c r="F44" s="50"/>
      <c r="G44" s="50"/>
      <c r="H44" s="50"/>
      <c r="I44" s="26"/>
      <c r="J44" s="23"/>
      <c r="K44" s="27"/>
      <c r="L44" s="27"/>
      <c r="M44" s="23"/>
      <c r="N44" s="23"/>
      <c r="O44" s="28"/>
      <c r="P44" s="29"/>
      <c r="Q44" s="28"/>
      <c r="R44" s="28"/>
      <c r="S44" s="28"/>
      <c r="T44" s="28"/>
      <c r="U44" s="28"/>
      <c r="V44" s="28"/>
      <c r="W44" s="28"/>
      <c r="X44" s="28"/>
      <c r="Y44" s="28"/>
      <c r="Z44" s="32"/>
      <c r="AA44" s="51"/>
      <c r="AB44" s="3"/>
      <c r="AC44" s="119"/>
    </row>
    <row r="45" spans="1:29" ht="15.75" thickTop="1" x14ac:dyDescent="0.25">
      <c r="A45" s="178"/>
      <c r="B45" s="53" t="s">
        <v>340</v>
      </c>
      <c r="C45" s="53" t="s">
        <v>341</v>
      </c>
      <c r="D45" s="54" t="s">
        <v>1047</v>
      </c>
      <c r="E45" s="53">
        <f>250</f>
        <v>250</v>
      </c>
      <c r="F45" s="55">
        <f>27905</f>
        <v>27905</v>
      </c>
      <c r="G45" s="56">
        <f>17470</f>
        <v>17470</v>
      </c>
      <c r="H45" s="121">
        <f t="shared" ref="H45:H62" si="15">G45-F45</f>
        <v>-10435</v>
      </c>
      <c r="I45" s="57" t="s">
        <v>2608</v>
      </c>
      <c r="J45" s="53">
        <v>200</v>
      </c>
      <c r="K45" s="58"/>
      <c r="L45" s="58">
        <v>43233</v>
      </c>
      <c r="M45" s="54" t="s">
        <v>349</v>
      </c>
      <c r="N45" s="53"/>
      <c r="O45" s="59">
        <v>26</v>
      </c>
      <c r="P45" s="60"/>
      <c r="Q45" s="61">
        <f>21300</f>
        <v>21300</v>
      </c>
      <c r="R45" s="22">
        <f>71*E45</f>
        <v>17750</v>
      </c>
      <c r="S45" s="59">
        <f>-38*E45</f>
        <v>-9500</v>
      </c>
      <c r="T45" s="138">
        <f>X45*F45*0.0045</f>
        <v>5436.4195148826557</v>
      </c>
      <c r="U45" s="59">
        <f>E45*5</f>
        <v>1250</v>
      </c>
      <c r="V45" s="53"/>
      <c r="W45" s="59">
        <v>0.3</v>
      </c>
      <c r="X45" s="59">
        <f>((O45*F45)+Q45+R45+S45+U45)/G45</f>
        <v>43.293073840870065</v>
      </c>
      <c r="Y45" s="63">
        <f>((O45*F45)+Q45+R45+S45+T45+U45)/G45+W45</f>
        <v>43.904259846301237</v>
      </c>
      <c r="Z45" s="63">
        <f>Y45*G45</f>
        <v>767007.41951488261</v>
      </c>
      <c r="AA45" s="64">
        <v>43248</v>
      </c>
      <c r="AB45" s="3"/>
      <c r="AC45" s="3"/>
    </row>
    <row r="46" spans="1:29" x14ac:dyDescent="0.25">
      <c r="A46" s="179"/>
      <c r="B46" s="34" t="s">
        <v>340</v>
      </c>
      <c r="C46" t="s">
        <v>341</v>
      </c>
      <c r="D46" s="35" t="s">
        <v>1102</v>
      </c>
      <c r="E46">
        <v>80</v>
      </c>
      <c r="F46" s="36">
        <v>8550</v>
      </c>
      <c r="G46" s="38">
        <v>11230</v>
      </c>
      <c r="H46" s="38">
        <f t="shared" si="15"/>
        <v>2680</v>
      </c>
      <c r="I46" s="35" t="s">
        <v>2609</v>
      </c>
      <c r="J46">
        <v>130</v>
      </c>
      <c r="K46" s="39"/>
      <c r="L46" s="39">
        <v>43233</v>
      </c>
      <c r="M46" s="35" t="s">
        <v>349</v>
      </c>
      <c r="O46" s="22">
        <v>26</v>
      </c>
      <c r="P46" s="40"/>
      <c r="Q46" s="111">
        <v>16900</v>
      </c>
      <c r="R46" s="22">
        <f>71*E46</f>
        <v>5680</v>
      </c>
      <c r="S46" s="43">
        <f>-38*E46</f>
        <v>-3040</v>
      </c>
      <c r="T46" s="137">
        <f>X46*F46*0.0045</f>
        <v>829.93624220837034</v>
      </c>
      <c r="U46" s="22">
        <f>E46*5</f>
        <v>400</v>
      </c>
      <c r="W46" s="22">
        <v>0.3</v>
      </c>
      <c r="X46" s="22">
        <f>((O46*F46)+Q46+R46+S46+U46)/G46</f>
        <v>21.570792520035617</v>
      </c>
      <c r="Y46" s="22">
        <f>((O46*F46)+Q46+R46+S46+T46+U46)/G46+W46</f>
        <v>21.944696014444201</v>
      </c>
      <c r="Z46" s="3">
        <f>Y46*G46</f>
        <v>246438.93624220838</v>
      </c>
      <c r="AA46" s="44">
        <v>43248</v>
      </c>
      <c r="AB46" s="3">
        <v>35.299999999999997</v>
      </c>
      <c r="AC46" s="119" t="s">
        <v>2627</v>
      </c>
    </row>
    <row r="47" spans="1:29" x14ac:dyDescent="0.25">
      <c r="A47" s="179"/>
      <c r="B47" s="34" t="s">
        <v>340</v>
      </c>
      <c r="C47" t="s">
        <v>341</v>
      </c>
      <c r="D47" s="35" t="s">
        <v>1047</v>
      </c>
      <c r="E47">
        <v>200</v>
      </c>
      <c r="F47" s="36">
        <v>20020</v>
      </c>
      <c r="G47" s="38">
        <f>10170+5560</f>
        <v>15730</v>
      </c>
      <c r="H47" s="38">
        <f t="shared" ref="H47" si="16">G47-F47</f>
        <v>-4290</v>
      </c>
      <c r="I47" s="35" t="s">
        <v>2625</v>
      </c>
      <c r="K47" s="39"/>
      <c r="L47" s="39">
        <v>43234</v>
      </c>
      <c r="M47" s="35" t="s">
        <v>350</v>
      </c>
      <c r="O47" s="22">
        <v>26</v>
      </c>
      <c r="P47" s="40"/>
      <c r="Q47" s="47">
        <v>21300</v>
      </c>
      <c r="R47" s="22">
        <f>71*E47</f>
        <v>14200</v>
      </c>
      <c r="S47" s="43">
        <f>-38*E47</f>
        <v>-7600</v>
      </c>
      <c r="T47" s="137">
        <f>X47*F47*0.0045</f>
        <v>3146.6781818181812</v>
      </c>
      <c r="U47" s="22">
        <f>E47*5</f>
        <v>1000</v>
      </c>
      <c r="W47" s="22">
        <v>0.3</v>
      </c>
      <c r="X47" s="22">
        <f>((O47*F47)+Q47+R47+S47+U47)/G47</f>
        <v>34.928162746344562</v>
      </c>
      <c r="Y47" s="22">
        <f>((O47*F47)+Q47+R47+S47+T47+U47)/G47+W47</f>
        <v>35.428205860255446</v>
      </c>
      <c r="Z47" s="3">
        <f>Y47*G47</f>
        <v>557285.6781818181</v>
      </c>
      <c r="AA47" s="44">
        <v>43248</v>
      </c>
      <c r="AB47" s="3"/>
      <c r="AC47" s="119" t="s">
        <v>2628</v>
      </c>
    </row>
    <row r="48" spans="1:29" x14ac:dyDescent="0.25">
      <c r="A48" s="179"/>
      <c r="B48" s="34" t="s">
        <v>328</v>
      </c>
      <c r="C48" t="s">
        <v>329</v>
      </c>
      <c r="D48" s="35" t="s">
        <v>329</v>
      </c>
      <c r="E48" t="s">
        <v>1021</v>
      </c>
      <c r="F48" s="36">
        <f>42587*0.4536</f>
        <v>19317.463199999998</v>
      </c>
      <c r="G48" s="38">
        <v>19205.63</v>
      </c>
      <c r="H48" s="38">
        <f t="shared" si="15"/>
        <v>-111.8331999999973</v>
      </c>
      <c r="I48" s="35" t="s">
        <v>2515</v>
      </c>
      <c r="J48" s="5" t="s">
        <v>1022</v>
      </c>
      <c r="K48" s="39">
        <v>43234</v>
      </c>
      <c r="L48" s="39">
        <v>43235</v>
      </c>
      <c r="M48" s="35" t="s">
        <v>355</v>
      </c>
      <c r="N48" s="35" t="s">
        <v>2510</v>
      </c>
      <c r="O48" s="22"/>
      <c r="P48" s="40">
        <f>0.5092+0.095</f>
        <v>0.60419999999999996</v>
      </c>
      <c r="Q48" s="111">
        <v>26000</v>
      </c>
      <c r="R48" s="100">
        <v>9500</v>
      </c>
      <c r="S48" s="45">
        <v>19.75</v>
      </c>
      <c r="T48" s="137">
        <f t="shared" ref="T48:T54" si="17">X48*F48*0.005</f>
        <v>2731.0834263162542</v>
      </c>
      <c r="V48" s="22">
        <v>0.12</v>
      </c>
      <c r="W48" s="22">
        <v>0.3</v>
      </c>
      <c r="X48" s="22">
        <f>IF(O48&gt;0,O48,((P48*2.2046*S48)+(Q48+R48)/G48)+V48)</f>
        <v>28.275797893755062</v>
      </c>
      <c r="Y48" s="22">
        <f>IF(O48&gt;0,O48,((P48*2.2046*S48)+(Q48+R48+T48)/G48)+V48+W48)</f>
        <v>28.718000124367457</v>
      </c>
      <c r="Z48" s="3">
        <f>Y48*F48</f>
        <v>554758.9105800637</v>
      </c>
      <c r="AA48" s="44">
        <v>43245</v>
      </c>
      <c r="AB48" s="3"/>
      <c r="AC48" s="119"/>
    </row>
    <row r="49" spans="1:29" x14ac:dyDescent="0.25">
      <c r="A49" s="179"/>
      <c r="B49" s="34" t="s">
        <v>328</v>
      </c>
      <c r="C49" t="s">
        <v>336</v>
      </c>
      <c r="D49" s="35" t="s">
        <v>336</v>
      </c>
      <c r="E49" t="s">
        <v>1021</v>
      </c>
      <c r="F49" s="36">
        <f>42111*0.4536</f>
        <v>19101.549599999998</v>
      </c>
      <c r="G49" s="38">
        <v>19079.650000000001</v>
      </c>
      <c r="H49" s="38">
        <f t="shared" si="15"/>
        <v>-21.899599999997008</v>
      </c>
      <c r="I49" s="35" t="s">
        <v>2502</v>
      </c>
      <c r="J49" s="5" t="s">
        <v>1022</v>
      </c>
      <c r="K49" s="39">
        <v>43234</v>
      </c>
      <c r="L49" s="39">
        <v>43235</v>
      </c>
      <c r="M49" s="35" t="s">
        <v>355</v>
      </c>
      <c r="N49" s="35" t="s">
        <v>2511</v>
      </c>
      <c r="O49" s="22"/>
      <c r="P49" s="40">
        <f>0.5132+0.095</f>
        <v>0.60819999999999996</v>
      </c>
      <c r="Q49" s="111">
        <v>26000</v>
      </c>
      <c r="R49" s="22">
        <v>9400</v>
      </c>
      <c r="S49" s="45">
        <v>19.64</v>
      </c>
      <c r="T49" s="137">
        <f t="shared" si="17"/>
        <v>2703.7701707810588</v>
      </c>
      <c r="V49" s="22">
        <v>0.12</v>
      </c>
      <c r="W49" s="22">
        <v>0.3</v>
      </c>
      <c r="X49" s="22">
        <f>IF(O49&gt;0,O49,((P49*2.2046*S49)+(Q49+R49)/G49)+V49)</f>
        <v>28.309432767497135</v>
      </c>
      <c r="Y49" s="22">
        <f>IF(O49&gt;0,O49,((P49*2.2046*S49)+(Q49+R49+T49)/G49)+V49+W49)</f>
        <v>28.75114239900406</v>
      </c>
      <c r="Z49" s="3">
        <f>Y49*F49</f>
        <v>549191.37259123905</v>
      </c>
      <c r="AA49" s="44">
        <v>43228</v>
      </c>
      <c r="AB49" s="3"/>
      <c r="AC49" s="119"/>
    </row>
    <row r="50" spans="1:29" x14ac:dyDescent="0.25">
      <c r="A50" s="179"/>
      <c r="B50" s="34" t="s">
        <v>340</v>
      </c>
      <c r="C50" t="s">
        <v>341</v>
      </c>
      <c r="D50" s="35" t="s">
        <v>1047</v>
      </c>
      <c r="E50">
        <f>179+70</f>
        <v>249</v>
      </c>
      <c r="F50" s="36">
        <v>25380</v>
      </c>
      <c r="G50" s="38">
        <f>14140+5620</f>
        <v>19760</v>
      </c>
      <c r="H50" s="38">
        <f t="shared" si="15"/>
        <v>-5620</v>
      </c>
      <c r="I50" s="35" t="s">
        <v>2646</v>
      </c>
      <c r="K50" s="39"/>
      <c r="L50" s="39">
        <v>43235</v>
      </c>
      <c r="M50" s="35" t="s">
        <v>355</v>
      </c>
      <c r="O50" s="22">
        <v>26</v>
      </c>
      <c r="P50" s="40"/>
      <c r="Q50" s="47">
        <v>21300</v>
      </c>
      <c r="R50" s="22">
        <f>71*E50</f>
        <v>17679</v>
      </c>
      <c r="S50" s="43">
        <f>-38*E50</f>
        <v>-9462</v>
      </c>
      <c r="T50" s="137">
        <f t="shared" si="17"/>
        <v>4435.3476619433195</v>
      </c>
      <c r="U50" s="22">
        <f>E50*5</f>
        <v>1245</v>
      </c>
      <c r="W50" s="22">
        <v>0.3</v>
      </c>
      <c r="X50" s="22">
        <f>((O50*F50)+Q50+R50+S50+U50)/G50</f>
        <v>34.951518218623484</v>
      </c>
      <c r="Y50" s="22">
        <f>((O50*F50)+Q50+R50+S50+T50+U50)/G50+W50</f>
        <v>35.475979132689432</v>
      </c>
      <c r="Z50" s="3">
        <f>Y50*G50</f>
        <v>701005.34766194317</v>
      </c>
      <c r="AA50" s="44">
        <v>43248</v>
      </c>
      <c r="AB50" s="3"/>
      <c r="AC50" s="119" t="s">
        <v>2653</v>
      </c>
    </row>
    <row r="51" spans="1:29" x14ac:dyDescent="0.25">
      <c r="A51" s="179"/>
      <c r="B51" s="34" t="s">
        <v>340</v>
      </c>
      <c r="C51" t="s">
        <v>341</v>
      </c>
      <c r="D51" s="35" t="s">
        <v>1047</v>
      </c>
      <c r="E51">
        <f>250</f>
        <v>250</v>
      </c>
      <c r="F51" s="36">
        <f>26650</f>
        <v>26650</v>
      </c>
      <c r="G51" s="38">
        <f>16680</f>
        <v>16680</v>
      </c>
      <c r="H51" s="38">
        <f t="shared" si="15"/>
        <v>-9970</v>
      </c>
      <c r="I51" s="35" t="s">
        <v>2658</v>
      </c>
      <c r="J51">
        <v>200</v>
      </c>
      <c r="K51" s="39"/>
      <c r="L51" s="39">
        <v>43236</v>
      </c>
      <c r="M51" s="35" t="s">
        <v>331</v>
      </c>
      <c r="O51" s="22">
        <v>26</v>
      </c>
      <c r="P51" s="40"/>
      <c r="Q51" s="47">
        <f>21300</f>
        <v>21300</v>
      </c>
      <c r="R51" s="22">
        <f>71*E51</f>
        <v>17750</v>
      </c>
      <c r="S51" s="43">
        <f>-38*E51</f>
        <v>-9500</v>
      </c>
      <c r="T51" s="137">
        <f t="shared" si="17"/>
        <v>5781.3564148681053</v>
      </c>
      <c r="U51" s="22">
        <f>E51*5</f>
        <v>1250</v>
      </c>
      <c r="W51" s="22">
        <v>0.3</v>
      </c>
      <c r="X51" s="22">
        <f>((O51*F51)+Q51+R51+S51+U51)/G51</f>
        <v>43.387290167865707</v>
      </c>
      <c r="Y51" s="22">
        <f>((O51*F51)+Q51+R51+S51+T51+U51)/G51+W51</f>
        <v>44.033894269476505</v>
      </c>
      <c r="Z51" s="3">
        <f>Y51*G51</f>
        <v>734485.35641486815</v>
      </c>
      <c r="AA51" s="44">
        <v>43249</v>
      </c>
      <c r="AB51" s="3"/>
      <c r="AC51" s="119"/>
    </row>
    <row r="52" spans="1:29" x14ac:dyDescent="0.25">
      <c r="A52" s="179"/>
      <c r="B52" s="34" t="s">
        <v>340</v>
      </c>
      <c r="C52" t="s">
        <v>341</v>
      </c>
      <c r="D52" s="35" t="s">
        <v>1060</v>
      </c>
      <c r="E52">
        <v>80</v>
      </c>
      <c r="F52" s="36">
        <v>9320</v>
      </c>
      <c r="G52" s="38">
        <v>11650</v>
      </c>
      <c r="H52" s="38">
        <f t="shared" ref="H52:H53" si="18">G52-F52</f>
        <v>2330</v>
      </c>
      <c r="I52" s="35" t="s">
        <v>2659</v>
      </c>
      <c r="J52">
        <v>130</v>
      </c>
      <c r="K52" s="39"/>
      <c r="L52" s="39">
        <v>43236</v>
      </c>
      <c r="M52" s="35" t="s">
        <v>331</v>
      </c>
      <c r="O52" s="22">
        <v>26</v>
      </c>
      <c r="P52" s="40"/>
      <c r="Q52" s="111">
        <v>16900</v>
      </c>
      <c r="R52" s="22">
        <f>71*E52</f>
        <v>5680</v>
      </c>
      <c r="S52" s="43">
        <f>-38*E52</f>
        <v>-3040</v>
      </c>
      <c r="T52" s="209">
        <f t="shared" ref="T52" si="19">X52*F52*0.005</f>
        <v>1049.04</v>
      </c>
      <c r="U52" s="22">
        <f>E52*5</f>
        <v>400</v>
      </c>
      <c r="W52" s="22">
        <v>0.3</v>
      </c>
      <c r="X52" s="22">
        <f>((O52*F52)+Q52+R52+S52+U52)/G52</f>
        <v>22.511587982832619</v>
      </c>
      <c r="Y52" s="22">
        <f>((O52*F52)+Q52+R52+S52+T52+U52)/G52+W52</f>
        <v>22.901634334763948</v>
      </c>
      <c r="Z52" s="3">
        <f>Y52*G52</f>
        <v>266804.03999999998</v>
      </c>
      <c r="AA52" s="44">
        <v>43249</v>
      </c>
      <c r="AB52" s="3">
        <v>35.32</v>
      </c>
      <c r="AC52" s="119" t="s">
        <v>2660</v>
      </c>
    </row>
    <row r="53" spans="1:29" x14ac:dyDescent="0.25">
      <c r="A53" s="179"/>
      <c r="B53" s="34" t="s">
        <v>1501</v>
      </c>
      <c r="C53" t="s">
        <v>343</v>
      </c>
      <c r="D53" s="35" t="s">
        <v>1106</v>
      </c>
      <c r="E53" t="s">
        <v>1652</v>
      </c>
      <c r="F53" s="36">
        <v>3497.1</v>
      </c>
      <c r="G53" s="38">
        <v>3497.1</v>
      </c>
      <c r="H53" s="38">
        <f t="shared" si="18"/>
        <v>0</v>
      </c>
      <c r="I53" s="35" t="s">
        <v>775</v>
      </c>
      <c r="K53" s="39"/>
      <c r="L53" s="39">
        <v>43236</v>
      </c>
      <c r="M53" s="35" t="s">
        <v>331</v>
      </c>
      <c r="O53" s="22">
        <v>19</v>
      </c>
      <c r="P53" s="40"/>
      <c r="Q53" s="22"/>
      <c r="R53" s="22"/>
      <c r="S53" s="43"/>
      <c r="T53" s="43"/>
      <c r="U53" s="22"/>
      <c r="W53" s="22"/>
      <c r="X53" s="22">
        <f>IF(O53&gt;0,O53,((P53*2.2046*S53)+(Q53+R53)/G53)+V53)</f>
        <v>19</v>
      </c>
      <c r="Y53" s="22">
        <f>IF(O53&gt;0,O53,((P53*2.2046*S53)+(Q53+R53+T53)/G53)+V53+W53)</f>
        <v>19</v>
      </c>
      <c r="Z53" s="3">
        <f>Y53*F53</f>
        <v>66444.899999999994</v>
      </c>
      <c r="AA53" s="44">
        <v>43243</v>
      </c>
      <c r="AB53" s="3"/>
      <c r="AC53" s="119"/>
    </row>
    <row r="54" spans="1:29" x14ac:dyDescent="0.25">
      <c r="A54" s="179"/>
      <c r="B54" s="34" t="s">
        <v>328</v>
      </c>
      <c r="C54" s="35" t="s">
        <v>343</v>
      </c>
      <c r="D54" s="35" t="s">
        <v>343</v>
      </c>
      <c r="E54" t="s">
        <v>1040</v>
      </c>
      <c r="F54" s="36">
        <f>42566*0.4536</f>
        <v>19307.937600000001</v>
      </c>
      <c r="G54" s="38">
        <v>19209.38</v>
      </c>
      <c r="H54" s="38">
        <f t="shared" si="15"/>
        <v>-98.557600000000093</v>
      </c>
      <c r="I54" t="s">
        <v>2516</v>
      </c>
      <c r="J54" s="5" t="s">
        <v>1089</v>
      </c>
      <c r="K54" s="39">
        <v>43236</v>
      </c>
      <c r="L54" s="39">
        <v>43237</v>
      </c>
      <c r="M54" s="35" t="s">
        <v>342</v>
      </c>
      <c r="N54" s="35" t="s">
        <v>2512</v>
      </c>
      <c r="O54" s="22"/>
      <c r="P54" s="40">
        <f>0.4976+0.105</f>
        <v>0.60260000000000002</v>
      </c>
      <c r="Q54" s="111">
        <v>26000</v>
      </c>
      <c r="R54" s="22">
        <v>9400</v>
      </c>
      <c r="S54" s="45">
        <v>19.649000000000001</v>
      </c>
      <c r="T54" s="137">
        <f t="shared" si="17"/>
        <v>2709.5203613873209</v>
      </c>
      <c r="V54" s="22">
        <v>0.12</v>
      </c>
      <c r="W54" s="22">
        <v>0.3</v>
      </c>
      <c r="X54" s="22">
        <f>IF(O54&gt;0,O54,((P54*2.2046*S54)+(Q54+R54)/G54)+V54)</f>
        <v>28.066388213180478</v>
      </c>
      <c r="Y54" s="22">
        <f>IF(O54&gt;0,O54,((P54*2.2046*S54)+(Q54+R54+T54)/G54)+V54+W54)</f>
        <v>28.507440155585037</v>
      </c>
      <c r="Z54" s="3">
        <f>Y54*F54</f>
        <v>550419.87565977022</v>
      </c>
      <c r="AA54" s="44">
        <v>43230</v>
      </c>
      <c r="AB54" s="3"/>
      <c r="AC54" s="119"/>
    </row>
    <row r="55" spans="1:29" x14ac:dyDescent="0.25">
      <c r="A55" s="179"/>
      <c r="B55" s="34" t="s">
        <v>328</v>
      </c>
      <c r="C55" s="35" t="s">
        <v>2091</v>
      </c>
      <c r="D55" s="35" t="s">
        <v>1129</v>
      </c>
      <c r="E55" t="s">
        <v>1040</v>
      </c>
      <c r="F55" s="36">
        <f>41195*0.4536</f>
        <v>18686.052</v>
      </c>
      <c r="G55" s="38">
        <v>18514.21</v>
      </c>
      <c r="H55" s="38">
        <f t="shared" si="15"/>
        <v>-171.84200000000055</v>
      </c>
      <c r="I55" t="s">
        <v>2600</v>
      </c>
      <c r="J55" s="5" t="s">
        <v>1022</v>
      </c>
      <c r="K55" s="39">
        <v>43237</v>
      </c>
      <c r="L55" s="39">
        <v>43239</v>
      </c>
      <c r="M55" s="35" t="s">
        <v>348</v>
      </c>
      <c r="N55" s="35" t="s">
        <v>2598</v>
      </c>
      <c r="O55" s="22"/>
      <c r="P55" s="40">
        <f>0.4976+0.1</f>
        <v>0.59760000000000002</v>
      </c>
      <c r="Q55" s="111">
        <v>26000</v>
      </c>
      <c r="R55" s="22">
        <v>9400</v>
      </c>
      <c r="S55" s="45">
        <v>19.638999999999999</v>
      </c>
      <c r="T55" s="137">
        <f t="shared" ref="T55" si="20">X55*F55*0.005</f>
        <v>2607.2478089972446</v>
      </c>
      <c r="V55" s="22">
        <v>0.12</v>
      </c>
      <c r="W55" s="22">
        <v>0.3</v>
      </c>
      <c r="X55" s="22">
        <f>IF(O55&gt;0,O55,((P55*2.2046*S55)+(Q55+R55)/G55)+V55)</f>
        <v>27.905817761796282</v>
      </c>
      <c r="Y55" s="22">
        <f>IF(O55&gt;0,O55,((P55*2.2046*S55)+(Q55+R55+T55)/G55)+V55+W55)</f>
        <v>28.346641907627902</v>
      </c>
      <c r="Z55" s="3">
        <f>Y55*F55</f>
        <v>529686.82471131417</v>
      </c>
      <c r="AA55" s="44">
        <v>43237</v>
      </c>
      <c r="AB55" s="3"/>
      <c r="AC55" s="119"/>
    </row>
    <row r="56" spans="1:29" x14ac:dyDescent="0.25">
      <c r="A56" s="179"/>
      <c r="B56" s="34" t="s">
        <v>340</v>
      </c>
      <c r="C56" t="s">
        <v>341</v>
      </c>
      <c r="D56" s="35" t="s">
        <v>1244</v>
      </c>
      <c r="E56">
        <v>250</v>
      </c>
      <c r="F56" s="36">
        <v>26555</v>
      </c>
      <c r="G56" s="38">
        <v>20850</v>
      </c>
      <c r="H56" s="38">
        <f t="shared" si="15"/>
        <v>-5705</v>
      </c>
      <c r="I56" s="35" t="s">
        <v>2665</v>
      </c>
      <c r="K56" s="39"/>
      <c r="L56" s="39">
        <v>43237</v>
      </c>
      <c r="M56" s="35" t="s">
        <v>342</v>
      </c>
      <c r="O56" s="22">
        <v>26</v>
      </c>
      <c r="P56" s="40"/>
      <c r="Q56" s="47">
        <v>21300</v>
      </c>
      <c r="R56" s="22">
        <f>71*E56</f>
        <v>17750</v>
      </c>
      <c r="S56" s="43">
        <f>-38*E56</f>
        <v>-9500</v>
      </c>
      <c r="T56" s="137">
        <f>X56*F56*0.0045</f>
        <v>4133.5818669064747</v>
      </c>
      <c r="U56" s="22">
        <f>E56*5</f>
        <v>1250</v>
      </c>
      <c r="W56" s="22">
        <v>0.3</v>
      </c>
      <c r="X56" s="22">
        <f>((O56*F56)+Q56+R56+S56+U56)/G56</f>
        <v>34.591366906474818</v>
      </c>
      <c r="Y56" s="22">
        <f>((O56*F56)+Q56+R56+S56+T56+U56)/G56+W56</f>
        <v>35.089620233424768</v>
      </c>
      <c r="Z56" s="3">
        <f>Y56*G56</f>
        <v>731618.58186690637</v>
      </c>
      <c r="AA56" s="44">
        <v>43250</v>
      </c>
      <c r="AB56" s="3"/>
      <c r="AC56" s="119"/>
    </row>
    <row r="57" spans="1:29" x14ac:dyDescent="0.25">
      <c r="A57" s="179"/>
      <c r="B57" s="34" t="s">
        <v>340</v>
      </c>
      <c r="C57" t="s">
        <v>341</v>
      </c>
      <c r="D57" s="35" t="s">
        <v>1060</v>
      </c>
      <c r="E57">
        <v>130</v>
      </c>
      <c r="F57" s="36">
        <v>15225</v>
      </c>
      <c r="G57" s="38">
        <v>12120</v>
      </c>
      <c r="H57" s="38">
        <f t="shared" si="15"/>
        <v>-3105</v>
      </c>
      <c r="I57" s="35" t="s">
        <v>2666</v>
      </c>
      <c r="K57" s="39"/>
      <c r="L57" s="39">
        <v>43237</v>
      </c>
      <c r="M57" s="35" t="s">
        <v>342</v>
      </c>
      <c r="O57" s="22">
        <v>26</v>
      </c>
      <c r="P57" s="40"/>
      <c r="Q57" s="111">
        <v>16900</v>
      </c>
      <c r="R57" s="22">
        <f>71*E57</f>
        <v>9230</v>
      </c>
      <c r="S57" s="43">
        <f>-38*E57</f>
        <v>-4940</v>
      </c>
      <c r="T57" s="137">
        <f>X57*F57*0.0045</f>
        <v>2361.1374690594057</v>
      </c>
      <c r="U57" s="22">
        <f>E57*5</f>
        <v>650</v>
      </c>
      <c r="W57" s="22">
        <v>0.3</v>
      </c>
      <c r="X57" s="22">
        <f>((O57*F57)+Q57+R57+S57+U57)/G57</f>
        <v>34.462871287128714</v>
      </c>
      <c r="Y57" s="22">
        <f>((O57*F57)+Q57+R57+S57+T57+U57)/G57+W57</f>
        <v>34.957684609658365</v>
      </c>
      <c r="Z57" s="3">
        <f>Y57*G57</f>
        <v>423687.13746905938</v>
      </c>
      <c r="AA57" s="44">
        <v>43250</v>
      </c>
      <c r="AB57" s="3"/>
      <c r="AC57" s="119" t="s">
        <v>2667</v>
      </c>
    </row>
    <row r="58" spans="1:29" x14ac:dyDescent="0.25">
      <c r="A58" s="179"/>
      <c r="B58" s="34" t="s">
        <v>328</v>
      </c>
      <c r="C58" s="35" t="s">
        <v>329</v>
      </c>
      <c r="D58" s="35" t="s">
        <v>329</v>
      </c>
      <c r="E58" t="s">
        <v>1021</v>
      </c>
      <c r="F58" s="36">
        <f>41041*0.4536</f>
        <v>18616.1976</v>
      </c>
      <c r="G58" s="38">
        <v>18936.7</v>
      </c>
      <c r="H58" s="38">
        <f t="shared" si="15"/>
        <v>320.50240000000122</v>
      </c>
      <c r="I58" t="s">
        <v>2518</v>
      </c>
      <c r="J58" s="5" t="s">
        <v>1022</v>
      </c>
      <c r="K58" s="39">
        <v>43237</v>
      </c>
      <c r="L58" s="39">
        <v>43238</v>
      </c>
      <c r="M58" s="35" t="s">
        <v>345</v>
      </c>
      <c r="N58" s="35" t="s">
        <v>2513</v>
      </c>
      <c r="O58" s="22"/>
      <c r="P58" s="40">
        <f>0.4976+0.095</f>
        <v>0.59260000000000002</v>
      </c>
      <c r="Q58" s="111">
        <v>26000</v>
      </c>
      <c r="R58" s="120">
        <v>9500</v>
      </c>
      <c r="S58" s="45">
        <v>19.603000000000002</v>
      </c>
      <c r="T58" s="137">
        <f>X58*F58*0.005</f>
        <v>2569.4938608134162</v>
      </c>
      <c r="V58" s="22">
        <v>0.12</v>
      </c>
      <c r="W58" s="22">
        <v>0.3</v>
      </c>
      <c r="X58" s="22">
        <f>IF(O58&gt;0,O58,((P58*2.2046*S58)+(Q58+R58)/G58)+V58)</f>
        <v>27.604926806464668</v>
      </c>
      <c r="Y58" s="22">
        <f>IF(O58&gt;0,O58,((P58*2.2046*S58)+(Q58+R58+T58)/G58)+V58+W58)</f>
        <v>28.040615382658693</v>
      </c>
      <c r="Z58" s="3">
        <f>Y58*F58</f>
        <v>522009.63678917382</v>
      </c>
      <c r="AA58" s="44">
        <v>43249</v>
      </c>
      <c r="AB58" s="3"/>
      <c r="AC58" s="119"/>
    </row>
    <row r="59" spans="1:29" x14ac:dyDescent="0.25">
      <c r="A59" s="179"/>
      <c r="B59" s="34" t="s">
        <v>328</v>
      </c>
      <c r="C59" t="s">
        <v>336</v>
      </c>
      <c r="D59" s="35" t="s">
        <v>336</v>
      </c>
      <c r="E59" t="s">
        <v>1021</v>
      </c>
      <c r="F59" s="36">
        <f>41999*0.4536</f>
        <v>19050.7464</v>
      </c>
      <c r="G59" s="38">
        <v>18999.5</v>
      </c>
      <c r="H59" s="38">
        <f>G59-F59</f>
        <v>-51.246399999999994</v>
      </c>
      <c r="I59" t="s">
        <v>2503</v>
      </c>
      <c r="J59" s="5" t="s">
        <v>1022</v>
      </c>
      <c r="K59" s="39">
        <v>43237</v>
      </c>
      <c r="L59" s="39">
        <v>43238</v>
      </c>
      <c r="M59" s="35" t="s">
        <v>345</v>
      </c>
      <c r="N59" s="35" t="s">
        <v>2661</v>
      </c>
      <c r="O59" s="22"/>
      <c r="P59" s="40">
        <f>0.4951+0.095</f>
        <v>0.59009999999999996</v>
      </c>
      <c r="Q59" s="111">
        <v>26000</v>
      </c>
      <c r="R59" s="22">
        <v>9400</v>
      </c>
      <c r="S59" s="45">
        <v>19.619</v>
      </c>
      <c r="T59" s="137">
        <f>X59*F59*0.005</f>
        <v>2620.0720225499686</v>
      </c>
      <c r="V59" s="22">
        <v>0.12</v>
      </c>
      <c r="W59" s="22">
        <v>0.3</v>
      </c>
      <c r="X59" s="22">
        <f>IF(O59&gt;0,O59,((P59*2.2046*S59)+(Q59+R59)/G59)+V59)</f>
        <v>27.506240097238063</v>
      </c>
      <c r="Y59" s="22">
        <f>IF(O59&gt;0,O59,((P59*2.2046*S59)+(Q59+R59+T59)/G59)+V59+W59)</f>
        <v>27.944142253744811</v>
      </c>
      <c r="Z59" s="3">
        <f>Y59*F59</f>
        <v>532356.76744161686</v>
      </c>
      <c r="AA59" s="44">
        <v>43231</v>
      </c>
      <c r="AB59" s="3" t="s">
        <v>2662</v>
      </c>
      <c r="AC59" s="119"/>
    </row>
    <row r="60" spans="1:29" x14ac:dyDescent="0.25">
      <c r="A60" s="179"/>
      <c r="B60" s="34" t="s">
        <v>340</v>
      </c>
      <c r="C60" t="s">
        <v>341</v>
      </c>
      <c r="D60" s="35" t="s">
        <v>1047</v>
      </c>
      <c r="E60">
        <f>248</f>
        <v>248</v>
      </c>
      <c r="F60" s="36">
        <f>23255</f>
        <v>23255</v>
      </c>
      <c r="G60" s="38">
        <f>20900</f>
        <v>20900</v>
      </c>
      <c r="H60" s="38">
        <f t="shared" si="15"/>
        <v>-2355</v>
      </c>
      <c r="I60" t="s">
        <v>2669</v>
      </c>
      <c r="K60" s="39"/>
      <c r="L60" s="39">
        <v>43238</v>
      </c>
      <c r="M60" s="35" t="s">
        <v>345</v>
      </c>
      <c r="O60" s="22">
        <v>26</v>
      </c>
      <c r="P60" s="40"/>
      <c r="Q60" s="47">
        <f>21300</f>
        <v>21300</v>
      </c>
      <c r="R60" s="22">
        <f>71*E60</f>
        <v>17608</v>
      </c>
      <c r="S60" s="43">
        <f>-38*E60</f>
        <v>-9424</v>
      </c>
      <c r="T60" s="137">
        <f>X60*F60*0.0045</f>
        <v>3181.2539576555023</v>
      </c>
      <c r="U60" s="22">
        <f>E60*5</f>
        <v>1240</v>
      </c>
      <c r="W60" s="22">
        <v>0.3</v>
      </c>
      <c r="X60" s="22">
        <f>((O60*F60)+Q60+R60+S60+U60)/G60</f>
        <v>30.399712918660288</v>
      </c>
      <c r="Y60" s="22">
        <f>((O60*F60)+Q60+R60+S60+T60+U60)/G60+W60</f>
        <v>30.851926026682083</v>
      </c>
      <c r="Z60" s="3">
        <f>Y60*G60</f>
        <v>644805.25395765551</v>
      </c>
      <c r="AA60" s="44">
        <v>43251</v>
      </c>
      <c r="AB60" s="3"/>
      <c r="AC60" s="119"/>
    </row>
    <row r="61" spans="1:29" x14ac:dyDescent="0.25">
      <c r="A61" s="179"/>
      <c r="B61" s="34" t="s">
        <v>340</v>
      </c>
      <c r="C61" t="s">
        <v>341</v>
      </c>
      <c r="D61" s="35" t="s">
        <v>1048</v>
      </c>
      <c r="E61">
        <v>127</v>
      </c>
      <c r="F61" s="36">
        <v>15485</v>
      </c>
      <c r="G61" s="38">
        <v>9170</v>
      </c>
      <c r="H61" s="38">
        <f t="shared" si="15"/>
        <v>-6315</v>
      </c>
      <c r="I61" s="35" t="s">
        <v>2670</v>
      </c>
      <c r="K61" s="39"/>
      <c r="L61" s="39">
        <v>43238</v>
      </c>
      <c r="M61" s="35" t="s">
        <v>345</v>
      </c>
      <c r="O61" s="22">
        <v>26</v>
      </c>
      <c r="P61" s="40"/>
      <c r="Q61" s="111">
        <v>16900</v>
      </c>
      <c r="R61" s="22">
        <f>71*E61</f>
        <v>9017</v>
      </c>
      <c r="S61" s="43">
        <f>-38*E61</f>
        <v>-4826</v>
      </c>
      <c r="T61" s="137">
        <f>X61*F61*0.0045</f>
        <v>3224.5139934569247</v>
      </c>
      <c r="U61" s="22">
        <f>E61*5</f>
        <v>635</v>
      </c>
      <c r="W61" s="22">
        <v>0.3</v>
      </c>
      <c r="X61" s="22">
        <f>((O61*F61)+Q61+R61+S61+U61)/G61</f>
        <v>46.274372955288989</v>
      </c>
      <c r="Y61" s="22">
        <f>((O61*F61)+Q61+R61+S61+T61+U61)/G61+W61</f>
        <v>46.926010250104348</v>
      </c>
      <c r="Z61" s="3">
        <f>Y61*G61</f>
        <v>430311.51399345684</v>
      </c>
      <c r="AA61" s="44">
        <v>43251</v>
      </c>
      <c r="AB61" s="3">
        <v>35.75</v>
      </c>
      <c r="AC61" s="119" t="s">
        <v>2708</v>
      </c>
    </row>
    <row r="62" spans="1:29" x14ac:dyDescent="0.25">
      <c r="A62" s="179"/>
      <c r="B62" s="34" t="s">
        <v>1501</v>
      </c>
      <c r="C62" t="s">
        <v>343</v>
      </c>
      <c r="D62" s="35" t="s">
        <v>1106</v>
      </c>
      <c r="E62" t="s">
        <v>1652</v>
      </c>
      <c r="F62" s="36">
        <v>3641.4</v>
      </c>
      <c r="G62" s="38">
        <v>3641.4</v>
      </c>
      <c r="H62" s="38">
        <f t="shared" si="15"/>
        <v>0</v>
      </c>
      <c r="I62" s="35" t="s">
        <v>2698</v>
      </c>
      <c r="K62" s="39"/>
      <c r="L62" s="39">
        <v>43239</v>
      </c>
      <c r="M62" s="35" t="s">
        <v>348</v>
      </c>
      <c r="O62" s="22">
        <v>19</v>
      </c>
      <c r="P62" s="40"/>
      <c r="Q62" s="22"/>
      <c r="R62" s="22"/>
      <c r="S62" s="43"/>
      <c r="T62" s="43"/>
      <c r="U62" s="22"/>
      <c r="W62" s="22"/>
      <c r="X62" s="22">
        <f>IF(O62&gt;0,O62,((P62*2.2046*S62)+(Q62+R62)/G62)+V62)</f>
        <v>19</v>
      </c>
      <c r="Y62" s="22">
        <f>IF(O62&gt;0,O62,((P62*2.2046*S62)+(Q62+R62+T62)/G62)+V62+W62)</f>
        <v>19</v>
      </c>
      <c r="Z62" s="3">
        <f>Y62*F62</f>
        <v>69186.600000000006</v>
      </c>
      <c r="AA62" s="44">
        <v>43248</v>
      </c>
      <c r="AB62" s="3"/>
      <c r="AC62" s="119"/>
    </row>
    <row r="63" spans="1:29" ht="15.75" thickBot="1" x14ac:dyDescent="0.3">
      <c r="A63" s="180"/>
      <c r="B63" s="49"/>
      <c r="C63" s="23"/>
      <c r="D63" s="23"/>
      <c r="E63" s="23"/>
      <c r="F63" s="50"/>
      <c r="G63" s="50"/>
      <c r="H63" s="50"/>
      <c r="I63" s="26"/>
      <c r="J63" s="23"/>
      <c r="K63" s="27"/>
      <c r="L63" s="27"/>
      <c r="M63" s="23"/>
      <c r="N63" s="23"/>
      <c r="O63" s="28"/>
      <c r="P63" s="29"/>
      <c r="Q63" s="28"/>
      <c r="R63" s="28"/>
      <c r="S63" s="28"/>
      <c r="T63" s="28"/>
      <c r="U63" s="28"/>
      <c r="V63" s="28"/>
      <c r="W63" s="28"/>
      <c r="X63" s="28"/>
      <c r="Y63" s="28"/>
      <c r="Z63" s="32"/>
      <c r="AA63" s="51"/>
      <c r="AB63" s="3"/>
      <c r="AC63" s="119"/>
    </row>
    <row r="64" spans="1:29" ht="15.75" thickTop="1" x14ac:dyDescent="0.25">
      <c r="A64" s="162"/>
      <c r="B64" s="53" t="s">
        <v>340</v>
      </c>
      <c r="C64" s="53" t="s">
        <v>341</v>
      </c>
      <c r="D64" s="54" t="s">
        <v>1048</v>
      </c>
      <c r="E64" s="53">
        <f>250</f>
        <v>250</v>
      </c>
      <c r="F64" s="55">
        <f>27160</f>
        <v>27160</v>
      </c>
      <c r="G64" s="56">
        <f>17060</f>
        <v>17060</v>
      </c>
      <c r="H64" s="121">
        <f t="shared" ref="H64:H83" si="21">G64-F64</f>
        <v>-10100</v>
      </c>
      <c r="I64" s="57" t="s">
        <v>2705</v>
      </c>
      <c r="J64" s="53">
        <v>200</v>
      </c>
      <c r="K64" s="58"/>
      <c r="L64" s="58">
        <v>43240</v>
      </c>
      <c r="M64" s="54" t="s">
        <v>349</v>
      </c>
      <c r="N64" s="53"/>
      <c r="O64" s="59">
        <v>25.5</v>
      </c>
      <c r="P64" s="60"/>
      <c r="Q64" s="61">
        <f>21300</f>
        <v>21300</v>
      </c>
      <c r="R64" s="22">
        <f>72*E64</f>
        <v>18000</v>
      </c>
      <c r="S64" s="59">
        <f>-38*E64</f>
        <v>-9500</v>
      </c>
      <c r="T64" s="138">
        <f>X64*F64*0.0045</f>
        <v>5184.1769402110194</v>
      </c>
      <c r="U64" s="59">
        <f>E64*5</f>
        <v>1250</v>
      </c>
      <c r="V64" s="53"/>
      <c r="W64" s="59">
        <v>0.3</v>
      </c>
      <c r="X64" s="59">
        <f>((O64*F64)+Q64+R64+S64+U64)/G64</f>
        <v>42.416764361078549</v>
      </c>
      <c r="Y64" s="63">
        <f>((O64*F64)+Q64+R64+S64+T64+U64)/G64+W64</f>
        <v>43.020643431430884</v>
      </c>
      <c r="Z64" s="63">
        <f>Y64*G64</f>
        <v>733932.17694021086</v>
      </c>
      <c r="AA64" s="64">
        <v>43255</v>
      </c>
      <c r="AB64" s="3"/>
      <c r="AC64" s="3"/>
    </row>
    <row r="65" spans="1:29" x14ac:dyDescent="0.25">
      <c r="A65" s="163"/>
      <c r="B65" s="34" t="s">
        <v>340</v>
      </c>
      <c r="C65" t="s">
        <v>341</v>
      </c>
      <c r="D65" s="35" t="s">
        <v>1060</v>
      </c>
      <c r="E65">
        <v>80</v>
      </c>
      <c r="F65" s="36">
        <v>9265</v>
      </c>
      <c r="G65" s="38">
        <v>11600</v>
      </c>
      <c r="H65" s="38">
        <f t="shared" ref="H65" si="22">G65-F65</f>
        <v>2335</v>
      </c>
      <c r="I65" s="35" t="s">
        <v>2706</v>
      </c>
      <c r="J65">
        <v>130</v>
      </c>
      <c r="K65" s="39"/>
      <c r="L65" s="39">
        <v>43240</v>
      </c>
      <c r="M65" s="35" t="s">
        <v>349</v>
      </c>
      <c r="O65" s="22">
        <v>25.5</v>
      </c>
      <c r="P65" s="40"/>
      <c r="Q65" s="111">
        <v>16900</v>
      </c>
      <c r="R65" s="22">
        <f>72*E65</f>
        <v>5760</v>
      </c>
      <c r="S65" s="43">
        <f>-38*E65</f>
        <v>-3040</v>
      </c>
      <c r="T65" s="137">
        <f>X65*F65*0.0045</f>
        <v>921.10773006465513</v>
      </c>
      <c r="U65" s="22">
        <f>E65*5</f>
        <v>400</v>
      </c>
      <c r="W65" s="22">
        <v>0.3</v>
      </c>
      <c r="X65" s="22">
        <f>((O65*F65)+Q65+R65+S65+U65)/G65</f>
        <v>22.092887931034483</v>
      </c>
      <c r="Y65" s="22">
        <f>((O65*F65)+Q65+R65+S65+T65+U65)/G65+W65</f>
        <v>22.472293769833161</v>
      </c>
      <c r="Z65" s="3">
        <f>Y65*G65</f>
        <v>260678.60773006466</v>
      </c>
      <c r="AA65" s="44">
        <v>43255</v>
      </c>
      <c r="AB65" s="3">
        <v>34.67</v>
      </c>
      <c r="AC65" s="119" t="s">
        <v>2709</v>
      </c>
    </row>
    <row r="66" spans="1:29" x14ac:dyDescent="0.25">
      <c r="A66" s="163"/>
      <c r="B66" s="34" t="s">
        <v>351</v>
      </c>
      <c r="C66" t="s">
        <v>1938</v>
      </c>
      <c r="D66" s="35" t="s">
        <v>1065</v>
      </c>
      <c r="E66" t="s">
        <v>2810</v>
      </c>
      <c r="F66" s="36">
        <v>9363.68</v>
      </c>
      <c r="G66" s="38">
        <v>9363.68</v>
      </c>
      <c r="H66" s="38">
        <f>G66-F66</f>
        <v>0</v>
      </c>
      <c r="I66" s="35" t="s">
        <v>2798</v>
      </c>
      <c r="K66" s="39"/>
      <c r="L66" s="39">
        <v>43241</v>
      </c>
      <c r="M66" s="35" t="s">
        <v>350</v>
      </c>
      <c r="N66" s="35"/>
      <c r="O66" s="22">
        <v>38.5</v>
      </c>
      <c r="P66" s="40"/>
      <c r="Q66" s="22"/>
      <c r="R66" s="22"/>
      <c r="S66" s="45"/>
      <c r="T66" s="43"/>
      <c r="V66" s="22"/>
      <c r="W66" s="22"/>
      <c r="X66" s="22">
        <f>IF(O66&gt;0,O66,((P66*2.2046*S66)+(Q66+R66)/G66)+V66)</f>
        <v>38.5</v>
      </c>
      <c r="Y66" s="22">
        <f>IF(O66&gt;0,O66,((P66*2.2046*S66)+(Q66+R66+T66)/G66)+V66+W66)</f>
        <v>38.5</v>
      </c>
      <c r="Z66" s="3">
        <f>Y66*F66</f>
        <v>360501.68</v>
      </c>
      <c r="AA66" s="44">
        <v>43251</v>
      </c>
      <c r="AB66" s="3"/>
      <c r="AC66" s="119"/>
    </row>
    <row r="67" spans="1:29" x14ac:dyDescent="0.25">
      <c r="A67" s="163"/>
      <c r="B67" s="34" t="s">
        <v>340</v>
      </c>
      <c r="C67" t="s">
        <v>341</v>
      </c>
      <c r="D67" s="35" t="s">
        <v>1102</v>
      </c>
      <c r="E67">
        <v>200</v>
      </c>
      <c r="F67" s="36">
        <v>20750</v>
      </c>
      <c r="G67" s="38">
        <f>10780+5540</f>
        <v>16320</v>
      </c>
      <c r="H67" s="38">
        <f t="shared" si="21"/>
        <v>-4430</v>
      </c>
      <c r="I67" s="35" t="s">
        <v>2707</v>
      </c>
      <c r="K67" s="39"/>
      <c r="L67" s="39">
        <v>43241</v>
      </c>
      <c r="M67" s="35" t="s">
        <v>350</v>
      </c>
      <c r="O67" s="22">
        <v>25.5</v>
      </c>
      <c r="P67" s="40"/>
      <c r="Q67" s="47">
        <v>21300</v>
      </c>
      <c r="R67" s="22">
        <f>72*E67</f>
        <v>14400</v>
      </c>
      <c r="S67" s="43">
        <f>-38*E67</f>
        <v>-7600</v>
      </c>
      <c r="T67" s="137">
        <f>X67*F67*0.0045</f>
        <v>3193.8884420955878</v>
      </c>
      <c r="U67" s="22">
        <f>E67*5</f>
        <v>1000</v>
      </c>
      <c r="W67" s="22">
        <v>0.3</v>
      </c>
      <c r="X67" s="22">
        <f>((O67*F67)+Q67+R67+S67+U67)/G67</f>
        <v>34.204963235294116</v>
      </c>
      <c r="Y67" s="22">
        <f>((O67*F67)+Q67+R67+S67+T67+U67)/G67+W67</f>
        <v>34.700667183951936</v>
      </c>
      <c r="Z67" s="3">
        <f>Y67*G67</f>
        <v>566314.8884420956</v>
      </c>
      <c r="AA67" s="44">
        <v>43255</v>
      </c>
      <c r="AB67" s="3"/>
      <c r="AC67" s="119" t="s">
        <v>2710</v>
      </c>
    </row>
    <row r="68" spans="1:29" x14ac:dyDescent="0.25">
      <c r="A68" s="163"/>
      <c r="B68" s="34" t="s">
        <v>328</v>
      </c>
      <c r="C68" t="s">
        <v>343</v>
      </c>
      <c r="D68" s="35" t="s">
        <v>343</v>
      </c>
      <c r="E68" t="s">
        <v>1040</v>
      </c>
      <c r="F68" s="36">
        <f>42742*0.4536</f>
        <v>19387.771199999999</v>
      </c>
      <c r="G68" s="38">
        <v>19267.22</v>
      </c>
      <c r="H68" s="38">
        <f>G68-F68</f>
        <v>-120.55119999999806</v>
      </c>
      <c r="I68" t="s">
        <v>2517</v>
      </c>
      <c r="J68" s="5" t="s">
        <v>1022</v>
      </c>
      <c r="K68" s="39">
        <v>43241</v>
      </c>
      <c r="L68" s="39">
        <v>43242</v>
      </c>
      <c r="M68" s="35" t="s">
        <v>355</v>
      </c>
      <c r="N68" s="35" t="s">
        <v>2514</v>
      </c>
      <c r="O68" s="22"/>
      <c r="P68" s="40">
        <f>0.49+0.105</f>
        <v>0.59499999999999997</v>
      </c>
      <c r="Q68" s="111">
        <v>26000</v>
      </c>
      <c r="R68" s="22">
        <v>12874.76</v>
      </c>
      <c r="S68" s="45">
        <v>19.29</v>
      </c>
      <c r="T68" s="137">
        <f>X68*F68*0.005</f>
        <v>2660.1059226048947</v>
      </c>
      <c r="V68" s="22">
        <v>0.12</v>
      </c>
      <c r="W68" s="22">
        <v>0.3</v>
      </c>
      <c r="X68" s="22">
        <f>IF(O68&gt;0,O68,((P68*2.2046*S68)+(Q68+R68)/G68)+V68)</f>
        <v>27.441069890538987</v>
      </c>
      <c r="Y68" s="22">
        <f>IF(O68&gt;0,O68,((P68*2.2046*S68)+(Q68+R68+T68)/G68)+V68+W68)</f>
        <v>27.879133706834484</v>
      </c>
      <c r="Z68" s="3">
        <f>Y68*F68</f>
        <v>540514.26556231477</v>
      </c>
      <c r="AA68" s="44">
        <v>43234</v>
      </c>
      <c r="AB68" s="3"/>
      <c r="AC68" s="119"/>
    </row>
    <row r="69" spans="1:29" x14ac:dyDescent="0.25">
      <c r="A69" s="163"/>
      <c r="B69" s="34" t="s">
        <v>328</v>
      </c>
      <c r="C69" t="s">
        <v>329</v>
      </c>
      <c r="D69" s="35" t="s">
        <v>329</v>
      </c>
      <c r="E69" t="s">
        <v>1168</v>
      </c>
      <c r="F69" s="36">
        <f>39820*0.4536</f>
        <v>18062.351999999999</v>
      </c>
      <c r="G69" s="38">
        <v>17956.72</v>
      </c>
      <c r="H69" s="38">
        <f t="shared" si="21"/>
        <v>-105.63199999999779</v>
      </c>
      <c r="I69" s="35" t="s">
        <v>2577</v>
      </c>
      <c r="J69" s="5" t="s">
        <v>1022</v>
      </c>
      <c r="K69" s="39">
        <v>43241</v>
      </c>
      <c r="L69" s="39">
        <v>43243</v>
      </c>
      <c r="M69" s="35" t="s">
        <v>331</v>
      </c>
      <c r="N69" s="35" t="s">
        <v>2607</v>
      </c>
      <c r="O69" s="22"/>
      <c r="P69" s="40">
        <f>0.4948+0.095</f>
        <v>0.58979999999999999</v>
      </c>
      <c r="Q69" s="111">
        <v>26000</v>
      </c>
      <c r="R69" s="120">
        <v>9500</v>
      </c>
      <c r="S69" s="45">
        <v>19.789000000000001</v>
      </c>
      <c r="T69" s="137">
        <f t="shared" ref="T69:T77" si="23">X69*F69*0.005</f>
        <v>2513.2028579000698</v>
      </c>
      <c r="V69" s="22">
        <v>0.12</v>
      </c>
      <c r="W69" s="22">
        <v>0.3</v>
      </c>
      <c r="X69" s="22">
        <f>IF(O69&gt;0,O69,((P69*2.2046*S69)+(Q69+R69)/G69)+V69)</f>
        <v>27.828079730702513</v>
      </c>
      <c r="Y69" s="22">
        <f>IF(O69&gt;0,O69,((P69*2.2046*S69)+(Q69+R69+T69)/G69)+V69+W69)</f>
        <v>28.268038635107107</v>
      </c>
      <c r="Z69" s="3">
        <f>Y69*F69</f>
        <v>510587.26417690411</v>
      </c>
      <c r="AA69" s="44">
        <v>43251</v>
      </c>
      <c r="AB69" s="3"/>
      <c r="AC69" s="119"/>
    </row>
    <row r="70" spans="1:29" x14ac:dyDescent="0.25">
      <c r="A70" s="163"/>
      <c r="B70" s="34" t="s">
        <v>328</v>
      </c>
      <c r="C70" t="s">
        <v>336</v>
      </c>
      <c r="D70" s="35" t="s">
        <v>1129</v>
      </c>
      <c r="E70" t="s">
        <v>1021</v>
      </c>
      <c r="F70" s="36">
        <f>42157*0.4536</f>
        <v>19122.415199999999</v>
      </c>
      <c r="G70" s="38">
        <v>19099.34</v>
      </c>
      <c r="H70" s="38">
        <f t="shared" si="21"/>
        <v>-23.075199999999313</v>
      </c>
      <c r="I70" s="35" t="s">
        <v>2578</v>
      </c>
      <c r="J70" s="5" t="s">
        <v>1022</v>
      </c>
      <c r="K70" s="39">
        <v>43241</v>
      </c>
      <c r="L70" s="39">
        <v>43242</v>
      </c>
      <c r="M70" s="35" t="s">
        <v>355</v>
      </c>
      <c r="N70" s="35" t="s">
        <v>2572</v>
      </c>
      <c r="O70" s="22"/>
      <c r="P70" s="40">
        <f>0.4948+0.105</f>
        <v>0.5998</v>
      </c>
      <c r="Q70" s="111">
        <v>26000</v>
      </c>
      <c r="R70" s="22">
        <v>9400</v>
      </c>
      <c r="S70" s="45">
        <v>19.809999999999999</v>
      </c>
      <c r="T70" s="137">
        <f t="shared" si="23"/>
        <v>2693.2591044635592</v>
      </c>
      <c r="V70" s="22">
        <v>0.12</v>
      </c>
      <c r="W70" s="22">
        <v>0.3</v>
      </c>
      <c r="X70" s="22">
        <f>IF(O70&gt;0,O70,((P70*2.2046*S70)+(Q70+R70)/G70)+V70)</f>
        <v>28.168608162671411</v>
      </c>
      <c r="Y70" s="22">
        <f>IF(O70&gt;0,O70,((P70*2.2046*S70)+(Q70+R70+T70)/G70)+V70+W70)</f>
        <v>28.60962136545557</v>
      </c>
      <c r="Z70" s="3">
        <f>Y70*F70</f>
        <v>547085.05846503237</v>
      </c>
      <c r="AA70" s="44">
        <v>43242</v>
      </c>
      <c r="AB70" s="3"/>
      <c r="AC70" s="119"/>
    </row>
    <row r="71" spans="1:29" x14ac:dyDescent="0.25">
      <c r="A71" s="163"/>
      <c r="B71" s="34" t="s">
        <v>340</v>
      </c>
      <c r="C71" t="s">
        <v>341</v>
      </c>
      <c r="D71" s="35" t="s">
        <v>2718</v>
      </c>
      <c r="E71">
        <f>213+34</f>
        <v>247</v>
      </c>
      <c r="F71" s="36">
        <f>24395+3735</f>
        <v>28130</v>
      </c>
      <c r="G71" s="38">
        <f>15630+6100</f>
        <v>21730</v>
      </c>
      <c r="H71" s="38">
        <f t="shared" si="21"/>
        <v>-6400</v>
      </c>
      <c r="I71" s="35" t="s">
        <v>2719</v>
      </c>
      <c r="K71" s="39"/>
      <c r="L71" s="39">
        <v>43242</v>
      </c>
      <c r="M71" s="35" t="s">
        <v>355</v>
      </c>
      <c r="O71" s="22">
        <v>25.5</v>
      </c>
      <c r="P71" s="40"/>
      <c r="Q71" s="47">
        <v>21300</v>
      </c>
      <c r="R71" s="22">
        <f>72*E71</f>
        <v>17784</v>
      </c>
      <c r="S71" s="43">
        <f>-38*E71</f>
        <v>-9386</v>
      </c>
      <c r="T71" s="137">
        <f t="shared" si="23"/>
        <v>4843.1238472158302</v>
      </c>
      <c r="U71" s="22">
        <f>E71*5</f>
        <v>1235</v>
      </c>
      <c r="W71" s="22">
        <v>0.3</v>
      </c>
      <c r="X71" s="22">
        <f>((O71*F71)+Q71+R71+S71+U71)/G71</f>
        <v>34.433870225494708</v>
      </c>
      <c r="Y71" s="22">
        <f>((O71*F71)+Q71+R71+S71+T71+U71)/G71+W71</f>
        <v>34.956747530934919</v>
      </c>
      <c r="Z71" s="3">
        <f>Y71*G71</f>
        <v>759610.12384721579</v>
      </c>
      <c r="AA71" s="44">
        <v>43255</v>
      </c>
      <c r="AB71" s="3"/>
      <c r="AC71" s="119" t="s">
        <v>2720</v>
      </c>
    </row>
    <row r="72" spans="1:29" x14ac:dyDescent="0.25">
      <c r="A72" s="163"/>
      <c r="B72" s="34" t="s">
        <v>328</v>
      </c>
      <c r="C72" t="s">
        <v>336</v>
      </c>
      <c r="D72" s="35" t="s">
        <v>336</v>
      </c>
      <c r="E72" t="s">
        <v>1021</v>
      </c>
      <c r="F72" s="36">
        <f>42272*0.4536</f>
        <v>19174.5792</v>
      </c>
      <c r="G72" s="38">
        <v>19143.400000000001</v>
      </c>
      <c r="H72" s="38">
        <f t="shared" si="21"/>
        <v>-31.179199999998673</v>
      </c>
      <c r="I72" t="s">
        <v>2702</v>
      </c>
      <c r="J72" s="5" t="s">
        <v>1022</v>
      </c>
      <c r="K72" s="39">
        <v>43241</v>
      </c>
      <c r="L72" s="39">
        <v>43242</v>
      </c>
      <c r="M72" s="35" t="s">
        <v>355</v>
      </c>
      <c r="N72" s="35" t="s">
        <v>2607</v>
      </c>
      <c r="O72" s="22"/>
      <c r="P72" s="40">
        <v>0.58979999999999999</v>
      </c>
      <c r="Q72" s="111">
        <v>26000</v>
      </c>
      <c r="R72" s="22">
        <v>9400</v>
      </c>
      <c r="S72" s="45">
        <v>19.786999999999999</v>
      </c>
      <c r="T72" s="137">
        <f t="shared" si="23"/>
        <v>2655.459164564199</v>
      </c>
      <c r="V72" s="22">
        <v>0.12</v>
      </c>
      <c r="W72" s="22">
        <v>0.3</v>
      </c>
      <c r="X72" s="22">
        <f>IF(O72&gt;0,O72,((P72*2.2046*S72)+(Q72+R72)/G72)+V72)</f>
        <v>27.697704725266661</v>
      </c>
      <c r="Y72" s="22">
        <f>IF(O72&gt;0,O72,((P72*2.2046*S72)+(Q72+R72+T72)/G72)+V72+W72)</f>
        <v>28.136418807643054</v>
      </c>
      <c r="Z72" s="3">
        <f>Y72*F72</f>
        <v>539503.99083152134</v>
      </c>
      <c r="AA72" s="44">
        <v>43236</v>
      </c>
      <c r="AB72" s="3"/>
      <c r="AC72" s="119"/>
    </row>
    <row r="73" spans="1:29" x14ac:dyDescent="0.25">
      <c r="A73" s="163"/>
      <c r="B73" s="34" t="s">
        <v>328</v>
      </c>
      <c r="C73" s="35" t="s">
        <v>343</v>
      </c>
      <c r="D73" s="35" t="s">
        <v>343</v>
      </c>
      <c r="E73" t="s">
        <v>1040</v>
      </c>
      <c r="F73" s="36">
        <f>43396*0.4536</f>
        <v>19684.425599999999</v>
      </c>
      <c r="G73" s="38">
        <v>19601.669999999998</v>
      </c>
      <c r="H73" s="38">
        <f t="shared" ref="H73" si="24">G73-F73</f>
        <v>-82.755600000000413</v>
      </c>
      <c r="I73" s="35" t="s">
        <v>2579</v>
      </c>
      <c r="J73" s="5" t="s">
        <v>1089</v>
      </c>
      <c r="K73" s="39">
        <v>43242</v>
      </c>
      <c r="L73" s="39">
        <v>43243</v>
      </c>
      <c r="M73" s="35" t="s">
        <v>331</v>
      </c>
      <c r="N73" s="35" t="s">
        <v>2573</v>
      </c>
      <c r="O73" s="22"/>
      <c r="P73" s="40">
        <f>0.4988+0.105</f>
        <v>0.6038</v>
      </c>
      <c r="Q73" s="111">
        <v>26000</v>
      </c>
      <c r="R73" s="22">
        <v>9400</v>
      </c>
      <c r="S73" s="45">
        <v>19.768000000000001</v>
      </c>
      <c r="T73" s="137">
        <f t="shared" ref="T73" si="25">X73*F73*0.005</f>
        <v>2779.430489308802</v>
      </c>
      <c r="V73" s="22">
        <v>0.12</v>
      </c>
      <c r="W73" s="22">
        <v>0.3</v>
      </c>
      <c r="X73" s="22">
        <f>IF(O73&gt;0,O73,((P73*2.2046*S73)+(Q73+R73)/G73)+V73)</f>
        <v>28.239894277725863</v>
      </c>
      <c r="Y73" s="22">
        <f>IF(O73&gt;0,O73,((P73*2.2046*S73)+(Q73+R73+T73)/G73)+V73+W73)</f>
        <v>28.681689874188248</v>
      </c>
      <c r="Z73" s="3">
        <f>Y73*F73</f>
        <v>564582.59041073185</v>
      </c>
      <c r="AA73" s="44">
        <v>43236</v>
      </c>
      <c r="AB73" s="3"/>
      <c r="AC73" s="119"/>
    </row>
    <row r="74" spans="1:29" x14ac:dyDescent="0.25">
      <c r="A74" s="163"/>
      <c r="B74" s="34" t="s">
        <v>340</v>
      </c>
      <c r="C74" t="s">
        <v>341</v>
      </c>
      <c r="D74" s="35" t="s">
        <v>1102</v>
      </c>
      <c r="E74">
        <v>200</v>
      </c>
      <c r="F74" s="36">
        <v>24720</v>
      </c>
      <c r="G74" s="38">
        <f>6880+12480</f>
        <v>19360</v>
      </c>
      <c r="H74" s="38">
        <f t="shared" si="21"/>
        <v>-5360</v>
      </c>
      <c r="I74" s="35" t="s">
        <v>2728</v>
      </c>
      <c r="J74" s="193">
        <v>199</v>
      </c>
      <c r="K74" s="39"/>
      <c r="L74" s="39">
        <v>43243</v>
      </c>
      <c r="M74" s="35" t="s">
        <v>331</v>
      </c>
      <c r="O74" s="22">
        <v>25.5</v>
      </c>
      <c r="P74" s="40"/>
      <c r="Q74" s="47">
        <v>21300</v>
      </c>
      <c r="R74" s="22">
        <f>72*E74</f>
        <v>14400</v>
      </c>
      <c r="S74" s="43">
        <f>-38*E74</f>
        <v>-7600</v>
      </c>
      <c r="T74" s="137">
        <f t="shared" si="23"/>
        <v>4210.1888429752071</v>
      </c>
      <c r="U74" s="22">
        <f>E74*5</f>
        <v>1000</v>
      </c>
      <c r="W74" s="22">
        <v>0.3</v>
      </c>
      <c r="X74" s="22">
        <f>((O74*F74)+Q74+R74+S74+U74)/G74</f>
        <v>34.063016528925623</v>
      </c>
      <c r="Y74" s="22">
        <f>((O74*F74)+Q74+R74+S74+T74+U74)/G74+W74</f>
        <v>34.580484960897479</v>
      </c>
      <c r="Z74" s="3">
        <f>Y74*G74</f>
        <v>669478.18884297519</v>
      </c>
      <c r="AA74" s="44">
        <v>43256</v>
      </c>
      <c r="AB74" s="3"/>
      <c r="AC74" s="119" t="s">
        <v>2729</v>
      </c>
    </row>
    <row r="75" spans="1:29" x14ac:dyDescent="0.25">
      <c r="A75" s="163"/>
      <c r="B75" s="34" t="s">
        <v>1501</v>
      </c>
      <c r="C75" t="s">
        <v>343</v>
      </c>
      <c r="D75" s="35" t="s">
        <v>1106</v>
      </c>
      <c r="E75" t="s">
        <v>1652</v>
      </c>
      <c r="F75" s="36">
        <v>3735.8</v>
      </c>
      <c r="G75" s="38">
        <v>3735.8</v>
      </c>
      <c r="H75" s="38">
        <f t="shared" si="21"/>
        <v>0</v>
      </c>
      <c r="I75" s="35" t="s">
        <v>2800</v>
      </c>
      <c r="K75" s="39"/>
      <c r="L75" s="39">
        <v>43243</v>
      </c>
      <c r="M75" s="35" t="s">
        <v>331</v>
      </c>
      <c r="O75" s="22">
        <v>19</v>
      </c>
      <c r="P75" s="40"/>
      <c r="Q75" s="22"/>
      <c r="R75" s="22"/>
      <c r="S75" s="43"/>
      <c r="T75" s="43"/>
      <c r="U75" s="22"/>
      <c r="W75" s="22"/>
      <c r="X75" s="22">
        <f t="shared" ref="X75:X76" si="26">IF(O75&gt;0,O75,((P75*2.2046*S75)+(Q75+R75)/G75)+V75)</f>
        <v>19</v>
      </c>
      <c r="Y75" s="22">
        <f t="shared" ref="Y75:Y76" si="27">IF(O75&gt;0,O75,((P75*2.2046*S75)+(Q75+R75+T75)/G75)+V75+W75)</f>
        <v>19</v>
      </c>
      <c r="Z75" s="3">
        <f t="shared" ref="Z75:Z76" si="28">Y75*F75</f>
        <v>70980.2</v>
      </c>
      <c r="AA75" s="44">
        <v>43251</v>
      </c>
      <c r="AB75" s="3"/>
      <c r="AC75" s="119"/>
    </row>
    <row r="76" spans="1:29" x14ac:dyDescent="0.25">
      <c r="A76" s="163"/>
      <c r="B76" s="34" t="s">
        <v>2804</v>
      </c>
      <c r="C76" t="s">
        <v>2803</v>
      </c>
      <c r="D76" s="35" t="s">
        <v>1106</v>
      </c>
      <c r="E76" t="s">
        <v>2805</v>
      </c>
      <c r="F76" s="36">
        <v>1000</v>
      </c>
      <c r="G76" s="38">
        <v>1000</v>
      </c>
      <c r="H76" s="38">
        <f t="shared" si="21"/>
        <v>0</v>
      </c>
      <c r="I76" s="35" t="s">
        <v>2800</v>
      </c>
      <c r="K76" s="39"/>
      <c r="L76" s="39">
        <v>43243</v>
      </c>
      <c r="M76" s="35" t="s">
        <v>331</v>
      </c>
      <c r="O76" s="22">
        <v>23.5</v>
      </c>
      <c r="P76" s="40"/>
      <c r="Q76" s="22"/>
      <c r="R76" s="22"/>
      <c r="S76" s="43"/>
      <c r="T76" s="43"/>
      <c r="U76" s="22"/>
      <c r="W76" s="22"/>
      <c r="X76" s="22">
        <f t="shared" si="26"/>
        <v>23.5</v>
      </c>
      <c r="Y76" s="22">
        <f t="shared" si="27"/>
        <v>23.5</v>
      </c>
      <c r="Z76" s="3">
        <f t="shared" si="28"/>
        <v>23500</v>
      </c>
      <c r="AA76" s="44">
        <v>43251</v>
      </c>
      <c r="AB76" s="3"/>
      <c r="AC76" s="119"/>
    </row>
    <row r="77" spans="1:29" x14ac:dyDescent="0.25">
      <c r="A77" s="163"/>
      <c r="B77" s="34" t="s">
        <v>328</v>
      </c>
      <c r="C77" s="35" t="s">
        <v>343</v>
      </c>
      <c r="D77" s="35" t="s">
        <v>343</v>
      </c>
      <c r="E77" t="s">
        <v>1040</v>
      </c>
      <c r="F77" s="36">
        <f>43228*0.4536</f>
        <v>19608.220799999999</v>
      </c>
      <c r="G77" s="38">
        <v>19527.39</v>
      </c>
      <c r="H77" s="38">
        <f t="shared" si="21"/>
        <v>-80.830799999999726</v>
      </c>
      <c r="I77" t="s">
        <v>2580</v>
      </c>
      <c r="J77" s="5" t="s">
        <v>1022</v>
      </c>
      <c r="K77" s="39">
        <v>43243</v>
      </c>
      <c r="L77" s="39">
        <v>43244</v>
      </c>
      <c r="M77" s="35" t="s">
        <v>342</v>
      </c>
      <c r="N77" s="35" t="s">
        <v>2574</v>
      </c>
      <c r="O77" s="22"/>
      <c r="P77" s="40">
        <f>0.5299+0.105</f>
        <v>0.63490000000000002</v>
      </c>
      <c r="Q77" s="111">
        <v>26000</v>
      </c>
      <c r="R77" s="22">
        <v>9400</v>
      </c>
      <c r="S77" s="45">
        <v>19.727</v>
      </c>
      <c r="T77" s="137">
        <f t="shared" si="23"/>
        <v>2896.5980277044573</v>
      </c>
      <c r="V77" s="22">
        <v>0.12</v>
      </c>
      <c r="W77" s="22">
        <v>0.3</v>
      </c>
      <c r="X77" s="22">
        <f>IF(O77&gt;0,O77,((P77*2.2046*S77)+(Q77+R77)/G77)+V77)</f>
        <v>29.544730827433941</v>
      </c>
      <c r="Y77" s="22">
        <f>IF(O77&gt;0,O77,((P77*2.2046*S77)+(Q77+R77+T77)/G77)+V77+W77)</f>
        <v>29.99306596222177</v>
      </c>
      <c r="Z77" s="3">
        <f>Y77*F77</f>
        <v>588110.65985620895</v>
      </c>
      <c r="AA77" s="44">
        <v>43237</v>
      </c>
      <c r="AB77" s="3"/>
      <c r="AC77" s="119"/>
    </row>
    <row r="78" spans="1:29" x14ac:dyDescent="0.25">
      <c r="A78" s="163"/>
      <c r="B78" s="34" t="s">
        <v>340</v>
      </c>
      <c r="C78" t="s">
        <v>341</v>
      </c>
      <c r="D78" s="35" t="s">
        <v>1102</v>
      </c>
      <c r="E78">
        <f>234</f>
        <v>234</v>
      </c>
      <c r="F78" s="36">
        <f>24830</f>
        <v>24830</v>
      </c>
      <c r="G78" s="38">
        <f>22850</f>
        <v>22850</v>
      </c>
      <c r="H78" s="38">
        <f t="shared" si="21"/>
        <v>-1980</v>
      </c>
      <c r="I78" s="35" t="s">
        <v>2731</v>
      </c>
      <c r="J78">
        <v>251</v>
      </c>
      <c r="K78" s="39"/>
      <c r="L78" s="39">
        <v>43244</v>
      </c>
      <c r="M78" s="35" t="s">
        <v>342</v>
      </c>
      <c r="O78" s="22">
        <v>25.5</v>
      </c>
      <c r="P78" s="40"/>
      <c r="Q78" s="47">
        <f>21300</f>
        <v>21300</v>
      </c>
      <c r="R78" s="22">
        <f t="shared" ref="R78:R79" si="29">72*E78</f>
        <v>16848</v>
      </c>
      <c r="S78" s="43">
        <f>-38*E78</f>
        <v>-8892</v>
      </c>
      <c r="T78" s="137">
        <f>X78*F78*0.0045</f>
        <v>3244.916428227571</v>
      </c>
      <c r="U78" s="22">
        <f>E78*5</f>
        <v>1170</v>
      </c>
      <c r="W78" s="22">
        <v>0.3</v>
      </c>
      <c r="X78" s="22">
        <f>((O78*F78)+Q78+R78+S78+U78)/G78</f>
        <v>29.041181619256019</v>
      </c>
      <c r="Y78" s="22">
        <f>((O78*F78)+Q78+R78+S78+T78+U78)/G78+W78</f>
        <v>29.483191090950879</v>
      </c>
      <c r="Z78" s="3">
        <f>Y78*G78</f>
        <v>673690.91642822756</v>
      </c>
      <c r="AA78" s="44">
        <v>43257</v>
      </c>
      <c r="AB78" s="3"/>
      <c r="AC78" s="119"/>
    </row>
    <row r="79" spans="1:29" x14ac:dyDescent="0.25">
      <c r="A79" s="163"/>
      <c r="B79" s="34" t="s">
        <v>340</v>
      </c>
      <c r="C79" t="s">
        <v>341</v>
      </c>
      <c r="D79" s="35" t="s">
        <v>1048</v>
      </c>
      <c r="E79">
        <v>216</v>
      </c>
      <c r="F79" s="36">
        <v>25370</v>
      </c>
      <c r="G79" s="38">
        <v>16550</v>
      </c>
      <c r="H79" s="38">
        <f t="shared" si="21"/>
        <v>-8820</v>
      </c>
      <c r="I79" s="35" t="s">
        <v>2732</v>
      </c>
      <c r="J79">
        <v>199</v>
      </c>
      <c r="K79" s="39"/>
      <c r="L79" s="39">
        <v>43244</v>
      </c>
      <c r="M79" s="35" t="s">
        <v>342</v>
      </c>
      <c r="O79" s="22">
        <v>25.5</v>
      </c>
      <c r="P79" s="40"/>
      <c r="Q79" s="111">
        <v>21300</v>
      </c>
      <c r="R79" s="22">
        <f t="shared" si="29"/>
        <v>15552</v>
      </c>
      <c r="S79" s="43">
        <f>-38*E79</f>
        <v>-8208</v>
      </c>
      <c r="T79" s="137">
        <f>X79*F79*0.0045</f>
        <v>4667.7205277945613</v>
      </c>
      <c r="U79" s="22">
        <f>E79*5</f>
        <v>1080</v>
      </c>
      <c r="W79" s="22">
        <v>0.3</v>
      </c>
      <c r="X79" s="22">
        <f>((O79*F79)+Q79+R79+S79+U79)/G79</f>
        <v>40.885740181268879</v>
      </c>
      <c r="Y79" s="22">
        <f>((O79*F79)+Q79+R79+S79+T79+U79)/G79+W79</f>
        <v>41.467777675395439</v>
      </c>
      <c r="Z79" s="3">
        <f>Y79*G79</f>
        <v>686291.72052779456</v>
      </c>
      <c r="AA79" s="44">
        <v>43257</v>
      </c>
      <c r="AB79" s="3">
        <v>34.5</v>
      </c>
      <c r="AC79" s="119" t="s">
        <v>2734</v>
      </c>
    </row>
    <row r="80" spans="1:29" x14ac:dyDescent="0.25">
      <c r="A80" s="163"/>
      <c r="B80" s="34" t="s">
        <v>328</v>
      </c>
      <c r="C80" s="35" t="s">
        <v>329</v>
      </c>
      <c r="D80" s="35" t="s">
        <v>329</v>
      </c>
      <c r="E80" t="s">
        <v>1021</v>
      </c>
      <c r="F80" s="36">
        <f>42452*0.4536</f>
        <v>19256.227200000001</v>
      </c>
      <c r="G80" s="38">
        <v>19331.27</v>
      </c>
      <c r="H80" s="38">
        <f t="shared" si="21"/>
        <v>75.042799999999261</v>
      </c>
      <c r="I80" t="s">
        <v>2581</v>
      </c>
      <c r="J80" s="5" t="s">
        <v>1022</v>
      </c>
      <c r="K80" s="39">
        <v>43244</v>
      </c>
      <c r="L80" s="39">
        <v>43245</v>
      </c>
      <c r="M80" s="35" t="s">
        <v>345</v>
      </c>
      <c r="N80" s="35" t="s">
        <v>2575</v>
      </c>
      <c r="O80" s="22"/>
      <c r="P80" s="40">
        <f>0.5299+0.095</f>
        <v>0.62490000000000001</v>
      </c>
      <c r="Q80" s="111">
        <v>26000</v>
      </c>
      <c r="R80" s="120">
        <v>9500</v>
      </c>
      <c r="S80" s="45">
        <v>19.885000000000002</v>
      </c>
      <c r="T80" s="137">
        <f>X80*F80*0.005</f>
        <v>2825.9537282084552</v>
      </c>
      <c r="V80" s="22">
        <v>0.12</v>
      </c>
      <c r="W80" s="22">
        <v>0.3</v>
      </c>
      <c r="X80" s="22">
        <f>IF(O80&gt;0,O80,((P80*2.2046*S80)+(Q80+R80)/G80)+V80)</f>
        <v>29.351063412966532</v>
      </c>
      <c r="Y80" s="22">
        <f>IF(O80&gt;0,O80,((P80*2.2046*S80)+(Q80+R80+T80)/G80)+V80+W80)</f>
        <v>29.797249034925589</v>
      </c>
      <c r="Z80" s="3">
        <f>Y80*F80</f>
        <v>573782.59735150787</v>
      </c>
      <c r="AA80" s="44">
        <v>43256</v>
      </c>
      <c r="AB80" s="3"/>
      <c r="AC80" s="119"/>
    </row>
    <row r="81" spans="1:29" x14ac:dyDescent="0.25">
      <c r="A81" s="163"/>
      <c r="B81" s="34" t="s">
        <v>340</v>
      </c>
      <c r="C81" t="s">
        <v>341</v>
      </c>
      <c r="D81" s="35" t="s">
        <v>1047</v>
      </c>
      <c r="E81">
        <v>251</v>
      </c>
      <c r="F81" s="36">
        <v>27755</v>
      </c>
      <c r="G81" s="38">
        <v>22030</v>
      </c>
      <c r="H81" s="38">
        <f t="shared" si="21"/>
        <v>-5725</v>
      </c>
      <c r="I81" s="35" t="s">
        <v>2738</v>
      </c>
      <c r="K81" s="39"/>
      <c r="L81" s="39">
        <v>43245</v>
      </c>
      <c r="M81" s="35" t="s">
        <v>345</v>
      </c>
      <c r="O81" s="22">
        <v>25.5</v>
      </c>
      <c r="P81" s="40"/>
      <c r="Q81" s="47">
        <v>21300</v>
      </c>
      <c r="R81" s="22">
        <f t="shared" ref="R81:R82" si="30">72*E81</f>
        <v>18072</v>
      </c>
      <c r="S81" s="43">
        <f>-38*E81</f>
        <v>-9538</v>
      </c>
      <c r="T81" s="137">
        <f>X81*F81*0.0045</f>
        <v>4188.8087265660461</v>
      </c>
      <c r="U81" s="22">
        <f>E81*5</f>
        <v>1255</v>
      </c>
      <c r="W81" s="22">
        <v>0.3</v>
      </c>
      <c r="X81" s="22">
        <f>((O81*F81)+Q81+R81+S81+U81)/G81</f>
        <v>33.53797094870631</v>
      </c>
      <c r="Y81" s="22">
        <f>((O81*F81)+Q81+R81+S81+T81+U81)/G81+W81</f>
        <v>34.028112062032044</v>
      </c>
      <c r="Z81" s="3">
        <f>Y81*G81</f>
        <v>749639.30872656591</v>
      </c>
      <c r="AA81" s="44">
        <v>43258</v>
      </c>
      <c r="AB81" s="3"/>
      <c r="AC81" s="119"/>
    </row>
    <row r="82" spans="1:29" x14ac:dyDescent="0.25">
      <c r="A82" s="163"/>
      <c r="B82" s="34" t="s">
        <v>340</v>
      </c>
      <c r="C82" t="s">
        <v>341</v>
      </c>
      <c r="D82" s="35" t="s">
        <v>1048</v>
      </c>
      <c r="E82">
        <v>130</v>
      </c>
      <c r="F82" s="36">
        <v>13915</v>
      </c>
      <c r="G82" s="38">
        <v>10940</v>
      </c>
      <c r="H82" s="38">
        <f t="shared" si="21"/>
        <v>-2975</v>
      </c>
      <c r="I82" s="35" t="s">
        <v>2737</v>
      </c>
      <c r="K82" s="39"/>
      <c r="L82" s="39">
        <v>43245</v>
      </c>
      <c r="M82" s="35" t="s">
        <v>345</v>
      </c>
      <c r="O82" s="22">
        <v>25.5</v>
      </c>
      <c r="P82" s="40"/>
      <c r="Q82" s="111">
        <v>16900</v>
      </c>
      <c r="R82" s="22">
        <f t="shared" si="30"/>
        <v>9360</v>
      </c>
      <c r="S82" s="43">
        <f>-38*E82</f>
        <v>-4940</v>
      </c>
      <c r="T82" s="137">
        <f>X82*F82*0.0045</f>
        <v>2156.7121155164532</v>
      </c>
      <c r="U82" s="22">
        <f>E82*5</f>
        <v>650</v>
      </c>
      <c r="W82" s="22">
        <v>0.3</v>
      </c>
      <c r="X82" s="22">
        <f>((O82*F82)+Q82+R82+S82+U82)/G82</f>
        <v>34.442641681901279</v>
      </c>
      <c r="Y82" s="22">
        <f>((O82*F82)+Q82+R82+S82+T82+U82)/G82+W82</f>
        <v>34.939781729023444</v>
      </c>
      <c r="Z82" s="3">
        <f>Y82*G82</f>
        <v>382241.21211551648</v>
      </c>
      <c r="AA82" s="44">
        <v>43258</v>
      </c>
      <c r="AB82" s="3"/>
      <c r="AC82" s="119" t="s">
        <v>2741</v>
      </c>
    </row>
    <row r="83" spans="1:29" x14ac:dyDescent="0.25">
      <c r="A83" s="163"/>
      <c r="B83" s="34" t="s">
        <v>328</v>
      </c>
      <c r="C83" t="s">
        <v>343</v>
      </c>
      <c r="D83" s="35" t="s">
        <v>343</v>
      </c>
      <c r="E83" t="s">
        <v>1040</v>
      </c>
      <c r="F83" s="36">
        <f>42070*0.4536</f>
        <v>19082.952000000001</v>
      </c>
      <c r="G83" s="38">
        <v>19033.150000000001</v>
      </c>
      <c r="H83" s="38">
        <f t="shared" si="21"/>
        <v>-49.80199999999968</v>
      </c>
      <c r="I83" s="35" t="s">
        <v>2582</v>
      </c>
      <c r="J83" s="5" t="s">
        <v>1022</v>
      </c>
      <c r="K83" s="39">
        <v>43245</v>
      </c>
      <c r="L83" s="39">
        <v>43246</v>
      </c>
      <c r="M83" s="35" t="s">
        <v>348</v>
      </c>
      <c r="N83" s="35" t="s">
        <v>2576</v>
      </c>
      <c r="O83" s="22"/>
      <c r="P83" s="40">
        <f>0.5256+0.105</f>
        <v>0.63059999999999994</v>
      </c>
      <c r="Q83" s="111">
        <v>26000</v>
      </c>
      <c r="R83" s="22">
        <v>15147.8</v>
      </c>
      <c r="S83" s="45">
        <v>19.95</v>
      </c>
      <c r="T83" s="137">
        <f>X83*F83*0.005</f>
        <v>2864.0463305911649</v>
      </c>
      <c r="V83" s="22">
        <v>0.12</v>
      </c>
      <c r="W83" s="22">
        <v>0.3</v>
      </c>
      <c r="X83" s="22">
        <f>IF(O83&gt;0,O83,((P83*2.2046*S83)+(Q83+R83)/G83)+V83)</f>
        <v>30.016805896605145</v>
      </c>
      <c r="Y83" s="22">
        <f>IF(O83&gt;0,O83,((P83*2.2046*S83)+(Q83+R83+T83)/G83)+V83+W83)</f>
        <v>30.467282634853476</v>
      </c>
      <c r="Z83" s="3">
        <f>Y83*F83</f>
        <v>581405.69209134241</v>
      </c>
      <c r="AA83" s="44">
        <v>43241</v>
      </c>
      <c r="AB83" s="3"/>
      <c r="AC83" s="119"/>
    </row>
    <row r="84" spans="1:29" ht="15.75" thickBot="1" x14ac:dyDescent="0.3">
      <c r="A84" s="164"/>
      <c r="B84" s="49"/>
      <c r="C84" s="23"/>
      <c r="D84" s="23"/>
      <c r="E84" s="23"/>
      <c r="F84" s="50"/>
      <c r="G84" s="50"/>
      <c r="H84" s="50"/>
      <c r="I84" s="26"/>
      <c r="J84" s="23"/>
      <c r="K84" s="27"/>
      <c r="L84" s="27"/>
      <c r="M84" s="23"/>
      <c r="N84" s="23"/>
      <c r="O84" s="28"/>
      <c r="P84" s="29"/>
      <c r="Q84" s="28"/>
      <c r="R84" s="28"/>
      <c r="S84" s="28"/>
      <c r="T84" s="28"/>
      <c r="U84" s="28"/>
      <c r="V84" s="28"/>
      <c r="W84" s="28"/>
      <c r="X84" s="28"/>
      <c r="Y84" s="28"/>
      <c r="Z84" s="32"/>
      <c r="AA84" s="51"/>
      <c r="AB84" s="3"/>
      <c r="AC84" s="119"/>
    </row>
    <row r="85" spans="1:29" ht="15.75" thickTop="1" x14ac:dyDescent="0.25">
      <c r="A85" s="52"/>
      <c r="B85" s="53" t="s">
        <v>340</v>
      </c>
      <c r="C85" s="53" t="s">
        <v>341</v>
      </c>
      <c r="D85" s="54" t="s">
        <v>1389</v>
      </c>
      <c r="E85" s="53">
        <v>200</v>
      </c>
      <c r="F85" s="55">
        <v>22990</v>
      </c>
      <c r="G85" s="56">
        <v>17460</v>
      </c>
      <c r="H85" s="121">
        <f t="shared" ref="H85:H98" si="31">G85-F85</f>
        <v>-5530</v>
      </c>
      <c r="I85" s="57" t="s">
        <v>2739</v>
      </c>
      <c r="J85" s="53"/>
      <c r="K85" s="58"/>
      <c r="L85" s="58">
        <v>43247</v>
      </c>
      <c r="M85" s="54" t="s">
        <v>349</v>
      </c>
      <c r="N85" s="53"/>
      <c r="O85" s="59">
        <v>25.5</v>
      </c>
      <c r="P85" s="60"/>
      <c r="Q85" s="61">
        <v>21300</v>
      </c>
      <c r="R85" s="22">
        <f t="shared" ref="R85:R87" si="32">72*E85</f>
        <v>14400</v>
      </c>
      <c r="S85" s="59">
        <f>-38*E85</f>
        <v>-7600</v>
      </c>
      <c r="T85" s="138">
        <f>X85*F85*0.0045</f>
        <v>3646.0777190721647</v>
      </c>
      <c r="U85" s="59">
        <f>E85*5</f>
        <v>1000</v>
      </c>
      <c r="V85" s="53"/>
      <c r="W85" s="59">
        <v>0.3</v>
      </c>
      <c r="X85" s="59">
        <f>((O85*F85)+Q85+R85+S85+U85)/G85</f>
        <v>35.243127147766323</v>
      </c>
      <c r="Y85" s="63">
        <f>((O85*F85)+Q85+R85+S85+T85+U85)/G85+W85</f>
        <v>35.751951759397024</v>
      </c>
      <c r="Z85" s="63">
        <f>Y85*G85</f>
        <v>624229.077719072</v>
      </c>
      <c r="AA85" s="64">
        <v>43262</v>
      </c>
      <c r="AB85" s="3"/>
      <c r="AC85" s="3"/>
    </row>
    <row r="86" spans="1:29" x14ac:dyDescent="0.25">
      <c r="A86" s="65"/>
      <c r="B86" s="34" t="s">
        <v>340</v>
      </c>
      <c r="C86" t="s">
        <v>341</v>
      </c>
      <c r="D86" s="35" t="s">
        <v>1244</v>
      </c>
      <c r="E86">
        <v>129</v>
      </c>
      <c r="F86" s="36">
        <v>14060</v>
      </c>
      <c r="G86" s="38">
        <v>11580</v>
      </c>
      <c r="H86" s="38">
        <f t="shared" ref="H86" si="33">G86-F86</f>
        <v>-2480</v>
      </c>
      <c r="I86" s="35" t="s">
        <v>2740</v>
      </c>
      <c r="K86" s="39"/>
      <c r="L86" s="39">
        <v>43247</v>
      </c>
      <c r="M86" s="35" t="s">
        <v>349</v>
      </c>
      <c r="O86" s="22">
        <v>25.5</v>
      </c>
      <c r="P86" s="40"/>
      <c r="Q86" s="111">
        <v>16900</v>
      </c>
      <c r="R86" s="22">
        <f t="shared" ref="R86" si="34">72*E86</f>
        <v>9288</v>
      </c>
      <c r="S86" s="43">
        <f>-38*E86</f>
        <v>-4902</v>
      </c>
      <c r="T86" s="137">
        <f>X86*F86*0.0045</f>
        <v>2078.7363963730568</v>
      </c>
      <c r="U86" s="22">
        <f>E86*5</f>
        <v>645</v>
      </c>
      <c r="W86" s="22">
        <v>0.3</v>
      </c>
      <c r="X86" s="22">
        <f>((O86*F86)+Q86+R86+S86+U86)/G86</f>
        <v>32.855008635578585</v>
      </c>
      <c r="Y86" s="22">
        <f>((O86*F86)+Q86+R86+S86+T86+U86)/G86+W86</f>
        <v>33.334519550636706</v>
      </c>
      <c r="Z86" s="3">
        <f>Y86*G86</f>
        <v>386013.73639637307</v>
      </c>
      <c r="AA86" s="44">
        <v>43262</v>
      </c>
      <c r="AB86" s="3">
        <v>34.94</v>
      </c>
      <c r="AC86" s="119" t="s">
        <v>2742</v>
      </c>
    </row>
    <row r="87" spans="1:29" x14ac:dyDescent="0.25">
      <c r="A87" s="65"/>
      <c r="B87" s="34" t="s">
        <v>340</v>
      </c>
      <c r="C87" t="s">
        <v>341</v>
      </c>
      <c r="D87" s="35" t="s">
        <v>1389</v>
      </c>
      <c r="E87">
        <v>248</v>
      </c>
      <c r="F87" s="36">
        <v>25670</v>
      </c>
      <c r="G87" s="38">
        <f>14660+5530</f>
        <v>20190</v>
      </c>
      <c r="H87" s="38">
        <f t="shared" si="31"/>
        <v>-5480</v>
      </c>
      <c r="I87" s="35" t="s">
        <v>2755</v>
      </c>
      <c r="K87" s="39"/>
      <c r="L87" s="39">
        <v>43248</v>
      </c>
      <c r="M87" s="35" t="s">
        <v>350</v>
      </c>
      <c r="O87" s="22">
        <v>25.5</v>
      </c>
      <c r="P87" s="40"/>
      <c r="Q87" s="47">
        <v>21300</v>
      </c>
      <c r="R87" s="22">
        <f t="shared" si="32"/>
        <v>17856</v>
      </c>
      <c r="S87" s="43">
        <f>-38*E87</f>
        <v>-9424</v>
      </c>
      <c r="T87" s="137">
        <f>X87*F87*0.0045</f>
        <v>3922.343578751857</v>
      </c>
      <c r="U87" s="22">
        <f>E87*5</f>
        <v>1240</v>
      </c>
      <c r="W87" s="22">
        <v>0.3</v>
      </c>
      <c r="X87" s="22">
        <f>((O87*F87)+Q87+R87+S87+U87)/G87</f>
        <v>33.955274888558691</v>
      </c>
      <c r="Y87" s="22">
        <f>((O87*F87)+Q87+R87+S87+T87+U87)/G87+W87</f>
        <v>34.449546487308162</v>
      </c>
      <c r="Z87" s="3">
        <f>Y87*G87</f>
        <v>695536.34357875178</v>
      </c>
      <c r="AA87" s="44">
        <v>43262</v>
      </c>
      <c r="AB87" s="3"/>
      <c r="AC87" s="119" t="s">
        <v>2756</v>
      </c>
    </row>
    <row r="88" spans="1:29" x14ac:dyDescent="0.25">
      <c r="A88" s="65"/>
      <c r="B88" s="34" t="s">
        <v>1501</v>
      </c>
      <c r="C88" t="s">
        <v>343</v>
      </c>
      <c r="D88" s="35" t="s">
        <v>2760</v>
      </c>
      <c r="E88" t="s">
        <v>2814</v>
      </c>
      <c r="F88" s="36">
        <v>9243</v>
      </c>
      <c r="G88" s="38">
        <v>9260</v>
      </c>
      <c r="H88" s="38">
        <f t="shared" si="31"/>
        <v>17</v>
      </c>
      <c r="I88" s="35" t="s">
        <v>2876</v>
      </c>
      <c r="K88" s="39"/>
      <c r="L88" s="39">
        <v>43248</v>
      </c>
      <c r="M88" s="35" t="s">
        <v>350</v>
      </c>
      <c r="O88" s="22">
        <v>18.8</v>
      </c>
      <c r="P88" s="40"/>
      <c r="Q88" s="22"/>
      <c r="R88" s="22"/>
      <c r="S88" s="43"/>
      <c r="T88" s="43"/>
      <c r="U88" s="22"/>
      <c r="W88" s="22"/>
      <c r="X88" s="22">
        <f>IF(O88&gt;0,O88,((P88*2.2046*S88)+(Q88+R88)/G88)+V88)</f>
        <v>18.8</v>
      </c>
      <c r="Y88" s="22">
        <f>IF(O88&gt;0,O88,((P88*2.2046*S88)+(Q88+R88+T88)/G88)+V88+W88)</f>
        <v>18.8</v>
      </c>
      <c r="Z88" s="3">
        <f>Y88*F88</f>
        <v>173768.4</v>
      </c>
      <c r="AA88" s="44">
        <v>43255</v>
      </c>
      <c r="AB88" s="3"/>
      <c r="AC88" s="119"/>
    </row>
    <row r="89" spans="1:29" x14ac:dyDescent="0.25">
      <c r="A89" s="65"/>
      <c r="B89" s="34" t="s">
        <v>328</v>
      </c>
      <c r="C89" t="s">
        <v>329</v>
      </c>
      <c r="D89" s="35" t="s">
        <v>329</v>
      </c>
      <c r="E89" t="s">
        <v>1168</v>
      </c>
      <c r="F89" s="36">
        <f>40418*0.4536</f>
        <v>18333.604800000001</v>
      </c>
      <c r="G89" s="38">
        <v>18320.240000000002</v>
      </c>
      <c r="H89" s="38">
        <f t="shared" si="31"/>
        <v>-13.364799999999377</v>
      </c>
      <c r="I89" s="35" t="s">
        <v>2583</v>
      </c>
      <c r="J89" s="5" t="s">
        <v>1022</v>
      </c>
      <c r="K89" s="39">
        <v>43248</v>
      </c>
      <c r="L89" s="39">
        <v>43249</v>
      </c>
      <c r="M89" s="35" t="s">
        <v>355</v>
      </c>
      <c r="N89" s="35" t="s">
        <v>2584</v>
      </c>
      <c r="O89" s="22"/>
      <c r="P89" s="40">
        <f>0.5596+0.095</f>
        <v>0.65459999999999996</v>
      </c>
      <c r="Q89" s="111">
        <v>26000</v>
      </c>
      <c r="R89" s="120">
        <v>9500</v>
      </c>
      <c r="S89" s="45">
        <v>20.48</v>
      </c>
      <c r="T89" s="137">
        <f t="shared" ref="T89:T94" si="35">X89*F89*0.005</f>
        <v>2897.9079983910119</v>
      </c>
      <c r="V89" s="22">
        <v>0.12</v>
      </c>
      <c r="W89" s="22">
        <v>0.3</v>
      </c>
      <c r="X89" s="22">
        <f>IF(O89&gt;0,O89,((P89*2.2046*S89)+(Q89+R89)/G89)+V89)</f>
        <v>31.613073697225239</v>
      </c>
      <c r="Y89" s="22">
        <f>IF(O89&gt;0,O89,((P89*2.2046*S89)+(Q89+R89+T89)/G89)+V89+W89)</f>
        <v>32.071254375993149</v>
      </c>
      <c r="Z89" s="3">
        <f>Y89*F89</f>
        <v>587981.70316972898</v>
      </c>
      <c r="AA89" s="44">
        <v>43259</v>
      </c>
      <c r="AB89" s="3"/>
      <c r="AC89" s="119"/>
    </row>
    <row r="90" spans="1:29" x14ac:dyDescent="0.25">
      <c r="A90" s="65"/>
      <c r="B90" s="34" t="s">
        <v>328</v>
      </c>
      <c r="C90" t="s">
        <v>336</v>
      </c>
      <c r="D90" s="35" t="s">
        <v>336</v>
      </c>
      <c r="E90" t="s">
        <v>1021</v>
      </c>
      <c r="F90" s="36">
        <f>41633*0.4536</f>
        <v>18884.728800000001</v>
      </c>
      <c r="G90" s="38">
        <v>18804.27</v>
      </c>
      <c r="H90" s="38">
        <f t="shared" si="31"/>
        <v>-80.458800000000338</v>
      </c>
      <c r="I90" s="35" t="s">
        <v>2505</v>
      </c>
      <c r="J90" s="5" t="s">
        <v>1022</v>
      </c>
      <c r="K90" s="39">
        <v>43248</v>
      </c>
      <c r="L90" s="39">
        <v>43249</v>
      </c>
      <c r="M90" s="35" t="s">
        <v>355</v>
      </c>
      <c r="N90" s="35" t="s">
        <v>2585</v>
      </c>
      <c r="O90" s="22"/>
      <c r="P90" s="40">
        <v>0.63180000000000003</v>
      </c>
      <c r="Q90" s="111">
        <v>26000</v>
      </c>
      <c r="R90" s="22">
        <v>9400</v>
      </c>
      <c r="S90" s="45">
        <v>19.888999999999999</v>
      </c>
      <c r="T90" s="137">
        <f t="shared" si="35"/>
        <v>2804.8797059727808</v>
      </c>
      <c r="V90" s="22">
        <v>0.12</v>
      </c>
      <c r="W90" s="22">
        <v>0.3</v>
      </c>
      <c r="X90" s="22">
        <f>IF(O90&gt;0,O90,((P90*2.2046*S90)+(Q90+R90)/G90)+V90)</f>
        <v>29.705268586888902</v>
      </c>
      <c r="Y90" s="22">
        <f>IF(O90&gt;0,O90,((P90*2.2046*S90)+(Q90+R90+T90)/G90)+V90+W90)</f>
        <v>30.154430437148061</v>
      </c>
      <c r="Z90" s="3">
        <f>Y90*F90</f>
        <v>569458.24092400656</v>
      </c>
      <c r="AA90" s="44">
        <v>43242</v>
      </c>
      <c r="AB90" s="3"/>
      <c r="AC90" s="119" t="s">
        <v>2745</v>
      </c>
    </row>
    <row r="91" spans="1:29" x14ac:dyDescent="0.25">
      <c r="A91" s="65"/>
      <c r="B91" s="34" t="s">
        <v>340</v>
      </c>
      <c r="C91" t="s">
        <v>341</v>
      </c>
      <c r="D91" s="35" t="s">
        <v>1060</v>
      </c>
      <c r="E91">
        <v>250</v>
      </c>
      <c r="F91" s="36">
        <v>27150</v>
      </c>
      <c r="G91" s="38">
        <f>5920+15310</f>
        <v>21230</v>
      </c>
      <c r="H91" s="38">
        <f t="shared" si="31"/>
        <v>-5920</v>
      </c>
      <c r="I91" s="35" t="s">
        <v>2759</v>
      </c>
      <c r="K91" s="39"/>
      <c r="L91" s="39">
        <v>43249</v>
      </c>
      <c r="M91" s="35" t="s">
        <v>355</v>
      </c>
      <c r="O91" s="22">
        <v>25.5</v>
      </c>
      <c r="P91" s="40"/>
      <c r="Q91" s="47">
        <v>21300</v>
      </c>
      <c r="R91" s="22">
        <f>72*E91</f>
        <v>18000</v>
      </c>
      <c r="S91" s="43">
        <f>-38*E91</f>
        <v>-9500</v>
      </c>
      <c r="T91" s="137">
        <f t="shared" si="35"/>
        <v>4625.4430640602923</v>
      </c>
      <c r="U91" s="22">
        <f>E91*5</f>
        <v>1250</v>
      </c>
      <c r="W91" s="22">
        <v>0.3</v>
      </c>
      <c r="X91" s="22">
        <f>((O91*F91)+Q91+R91+S91+U91)/G91</f>
        <v>34.0732454074423</v>
      </c>
      <c r="Y91" s="22">
        <f>((O91*F91)+Q91+R91+S91+T91+U91)/G91+W91</f>
        <v>34.591118373248243</v>
      </c>
      <c r="Z91" s="3">
        <f>Y91*G91</f>
        <v>734369.44306406018</v>
      </c>
      <c r="AA91" s="44">
        <v>43262</v>
      </c>
      <c r="AB91" s="3"/>
      <c r="AC91" s="119" t="s">
        <v>2761</v>
      </c>
    </row>
    <row r="92" spans="1:29" x14ac:dyDescent="0.25">
      <c r="A92" s="65"/>
      <c r="B92" s="34" t="s">
        <v>328</v>
      </c>
      <c r="C92" s="35" t="s">
        <v>329</v>
      </c>
      <c r="D92" s="35" t="s">
        <v>329</v>
      </c>
      <c r="E92" t="s">
        <v>1021</v>
      </c>
      <c r="F92" s="36">
        <f>42688*0.4536</f>
        <v>19363.2768</v>
      </c>
      <c r="G92" s="38">
        <v>19260</v>
      </c>
      <c r="H92" s="38">
        <f>G92-F92</f>
        <v>-103.27679999999964</v>
      </c>
      <c r="I92" t="s">
        <v>2586</v>
      </c>
      <c r="J92" s="5" t="s">
        <v>1089</v>
      </c>
      <c r="K92" s="39">
        <v>43249</v>
      </c>
      <c r="L92" s="39">
        <v>43250</v>
      </c>
      <c r="M92" s="35" t="s">
        <v>331</v>
      </c>
      <c r="N92" s="35" t="s">
        <v>2587</v>
      </c>
      <c r="O92" s="22"/>
      <c r="P92" s="40">
        <f>0.5596+0.095</f>
        <v>0.65459999999999996</v>
      </c>
      <c r="Q92" s="111">
        <v>26000</v>
      </c>
      <c r="R92" s="120">
        <v>9500</v>
      </c>
      <c r="S92" s="45">
        <v>20.48</v>
      </c>
      <c r="T92" s="137">
        <f>X92*F92*0.005</f>
        <v>3051.5095706528346</v>
      </c>
      <c r="V92" s="22">
        <v>0.12</v>
      </c>
      <c r="W92" s="22">
        <v>0.3</v>
      </c>
      <c r="X92" s="22">
        <f>IF(O92&gt;0,O92,((P92*2.2046*S92)+(Q92+R92)/G92)+V92)</f>
        <v>31.518524495325444</v>
      </c>
      <c r="Y92" s="22">
        <f>IF(O92&gt;0,O92,((P92*2.2046*S92)+(Q92+R92+T92)/G92)+V92+W92)</f>
        <v>31.976962167737327</v>
      </c>
      <c r="Z92" s="3">
        <f>Y92*F92</f>
        <v>619178.76967702585</v>
      </c>
      <c r="AA92" s="44">
        <v>43259</v>
      </c>
      <c r="AB92" s="119" t="s">
        <v>2764</v>
      </c>
    </row>
    <row r="93" spans="1:29" x14ac:dyDescent="0.25">
      <c r="A93" s="65"/>
      <c r="B93" s="34" t="s">
        <v>328</v>
      </c>
      <c r="C93" t="s">
        <v>336</v>
      </c>
      <c r="D93" s="35" t="s">
        <v>336</v>
      </c>
      <c r="E93" s="75" t="s">
        <v>384</v>
      </c>
      <c r="F93" s="36">
        <v>18500</v>
      </c>
      <c r="G93" s="38">
        <v>18500</v>
      </c>
      <c r="H93" s="38">
        <f t="shared" si="31"/>
        <v>0</v>
      </c>
      <c r="I93" s="35" t="s">
        <v>2506</v>
      </c>
      <c r="J93" s="75" t="s">
        <v>384</v>
      </c>
      <c r="K93" s="39">
        <v>43249</v>
      </c>
      <c r="L93" s="39">
        <v>43250</v>
      </c>
      <c r="M93" s="35" t="s">
        <v>331</v>
      </c>
      <c r="N93" s="35" t="s">
        <v>2587</v>
      </c>
      <c r="O93" s="22"/>
      <c r="P93" s="40">
        <v>0.65459999999999996</v>
      </c>
      <c r="Q93" s="111">
        <v>26000</v>
      </c>
      <c r="R93" s="22">
        <v>9500</v>
      </c>
      <c r="S93" s="45">
        <v>19.77</v>
      </c>
      <c r="T93" s="137">
        <f t="shared" si="35"/>
        <v>2827.6900305710005</v>
      </c>
      <c r="V93" s="22">
        <v>0.12</v>
      </c>
      <c r="W93" s="22">
        <v>0.3</v>
      </c>
      <c r="X93" s="22">
        <f>IF(O93&gt;0,O93,((P93*2.2046*S93)+(Q93+R93)/G93)+V93)</f>
        <v>30.569621952118922</v>
      </c>
      <c r="Y93" s="22">
        <f>IF(O93&gt;0,O93,((P93*2.2046*S93)+(Q93+R93+T93)/G93)+V93+W93)</f>
        <v>31.022470061879517</v>
      </c>
      <c r="Z93" s="3">
        <f>Y93*F93</f>
        <v>573915.69614477106</v>
      </c>
      <c r="AA93" s="75" t="s">
        <v>384</v>
      </c>
      <c r="AB93" s="3"/>
    </row>
    <row r="94" spans="1:29" x14ac:dyDescent="0.25">
      <c r="A94" s="65"/>
      <c r="B94" s="34" t="s">
        <v>340</v>
      </c>
      <c r="C94" t="s">
        <v>341</v>
      </c>
      <c r="D94" s="35" t="s">
        <v>1060</v>
      </c>
      <c r="E94">
        <v>248</v>
      </c>
      <c r="F94" s="36">
        <v>26955</v>
      </c>
      <c r="G94" s="38">
        <f>15240+5870</f>
        <v>21110</v>
      </c>
      <c r="H94" s="38">
        <f t="shared" si="31"/>
        <v>-5845</v>
      </c>
      <c r="I94" s="35" t="s">
        <v>2795</v>
      </c>
      <c r="K94" s="39"/>
      <c r="L94" s="39">
        <v>43250</v>
      </c>
      <c r="M94" s="35" t="s">
        <v>331</v>
      </c>
      <c r="O94" s="22">
        <v>25.5</v>
      </c>
      <c r="P94" s="40"/>
      <c r="Q94" s="47">
        <v>21300</v>
      </c>
      <c r="R94" s="22">
        <f>72*E94</f>
        <v>17856</v>
      </c>
      <c r="S94" s="43">
        <f>-38*E94</f>
        <v>-9424</v>
      </c>
      <c r="T94" s="137">
        <f t="shared" si="35"/>
        <v>4586.081690549503</v>
      </c>
      <c r="U94" s="22">
        <f>E94*5</f>
        <v>1240</v>
      </c>
      <c r="W94" s="22">
        <v>0.3</v>
      </c>
      <c r="X94" s="22">
        <f>((O94*F94)+Q94+R94+S94+U94)/G94</f>
        <v>34.027688299384181</v>
      </c>
      <c r="Y94" s="22">
        <f>((O94*F94)+Q94+R94+S94+T94+U94)/G94+W94</f>
        <v>34.544935181930342</v>
      </c>
      <c r="Z94" s="3">
        <f>Y94*G94</f>
        <v>729243.5816905495</v>
      </c>
      <c r="AA94" s="44">
        <v>43263</v>
      </c>
      <c r="AB94" s="3"/>
      <c r="AC94" s="119" t="s">
        <v>2802</v>
      </c>
    </row>
    <row r="95" spans="1:29" x14ac:dyDescent="0.25">
      <c r="A95" s="65"/>
      <c r="B95" s="34" t="s">
        <v>351</v>
      </c>
      <c r="C95" t="s">
        <v>1938</v>
      </c>
      <c r="D95" s="35" t="s">
        <v>1065</v>
      </c>
      <c r="E95" t="s">
        <v>2824</v>
      </c>
      <c r="F95" s="36">
        <v>9254.7999999999993</v>
      </c>
      <c r="G95" s="38">
        <v>9254.7999999999993</v>
      </c>
      <c r="H95" s="38">
        <f t="shared" si="31"/>
        <v>0</v>
      </c>
      <c r="I95" s="35" t="s">
        <v>2825</v>
      </c>
      <c r="K95" s="39"/>
      <c r="L95" s="39">
        <v>43251</v>
      </c>
      <c r="M95" s="35" t="s">
        <v>342</v>
      </c>
      <c r="O95" s="22">
        <v>38.5</v>
      </c>
      <c r="P95" s="40"/>
      <c r="Q95" s="22"/>
      <c r="R95" s="22"/>
      <c r="S95" s="43"/>
      <c r="T95" s="43"/>
      <c r="U95" s="22"/>
      <c r="V95" s="22"/>
      <c r="W95" s="22"/>
      <c r="X95" s="22">
        <f>IF(O95&gt;0,O95,((P95*2.2046*S95)+(Q95+R95)/G95)+V95)</f>
        <v>38.5</v>
      </c>
      <c r="Y95" s="22">
        <f>IF(O95&gt;0,O95,((P95*2.2046*S95)+(Q95+R95+T95)/G95)+V95+W95)</f>
        <v>38.5</v>
      </c>
      <c r="Z95" s="3">
        <f>Y95*F95</f>
        <v>356309.8</v>
      </c>
      <c r="AA95" s="44">
        <v>43259</v>
      </c>
      <c r="AB95" s="3"/>
      <c r="AC95" s="119"/>
    </row>
    <row r="96" spans="1:29" x14ac:dyDescent="0.25">
      <c r="A96" s="65"/>
      <c r="B96" s="34" t="s">
        <v>340</v>
      </c>
      <c r="C96" t="s">
        <v>341</v>
      </c>
      <c r="D96" s="35" t="s">
        <v>1048</v>
      </c>
      <c r="E96">
        <v>249</v>
      </c>
      <c r="F96" s="36">
        <v>27770</v>
      </c>
      <c r="G96" s="38">
        <v>21500</v>
      </c>
      <c r="H96" s="38">
        <f t="shared" si="31"/>
        <v>-6270</v>
      </c>
      <c r="I96" s="35" t="s">
        <v>2808</v>
      </c>
      <c r="K96" s="39"/>
      <c r="L96" s="39">
        <v>43251</v>
      </c>
      <c r="M96" s="35" t="s">
        <v>342</v>
      </c>
      <c r="O96" s="22">
        <v>25.5</v>
      </c>
      <c r="P96" s="40"/>
      <c r="Q96" s="47">
        <v>21300</v>
      </c>
      <c r="R96" s="22">
        <f t="shared" ref="R96:R97" si="36">72*E96</f>
        <v>17928</v>
      </c>
      <c r="S96" s="43">
        <f>-38*E96</f>
        <v>-9462</v>
      </c>
      <c r="T96" s="137">
        <f>X96*F96*0.0045</f>
        <v>4296.1572041860463</v>
      </c>
      <c r="U96" s="22">
        <f>E96*5</f>
        <v>1245</v>
      </c>
      <c r="W96" s="22">
        <v>0.3</v>
      </c>
      <c r="X96" s="22">
        <f>((O96*F96)+Q96+R96+S96+U96)/G96</f>
        <v>34.378883720930233</v>
      </c>
      <c r="Y96" s="22">
        <f>((O96*F96)+Q96+R96+S96+T96+U96)/G96+W96</f>
        <v>34.87870498624121</v>
      </c>
      <c r="Z96" s="3">
        <f>Y96*G96</f>
        <v>749892.15720418608</v>
      </c>
      <c r="AA96" s="44">
        <v>43264</v>
      </c>
      <c r="AB96" s="3"/>
      <c r="AC96" s="119"/>
    </row>
    <row r="97" spans="1:29" x14ac:dyDescent="0.25">
      <c r="A97" s="65"/>
      <c r="B97" s="34" t="s">
        <v>340</v>
      </c>
      <c r="C97" t="s">
        <v>341</v>
      </c>
      <c r="D97" s="35" t="s">
        <v>1047</v>
      </c>
      <c r="E97">
        <v>130</v>
      </c>
      <c r="F97" s="36">
        <v>14050</v>
      </c>
      <c r="G97" s="38">
        <v>11180</v>
      </c>
      <c r="H97" s="38">
        <f t="shared" si="31"/>
        <v>-2870</v>
      </c>
      <c r="I97" s="35" t="s">
        <v>2809</v>
      </c>
      <c r="J97" s="106">
        <v>129</v>
      </c>
      <c r="K97" s="39"/>
      <c r="L97" s="39">
        <v>43251</v>
      </c>
      <c r="M97" s="35" t="s">
        <v>342</v>
      </c>
      <c r="O97" s="22">
        <v>25.5</v>
      </c>
      <c r="P97" s="40"/>
      <c r="Q97" s="111">
        <v>16900</v>
      </c>
      <c r="R97" s="22">
        <f t="shared" si="36"/>
        <v>9360</v>
      </c>
      <c r="S97" s="43">
        <f>-38*E97</f>
        <v>-4940</v>
      </c>
      <c r="T97" s="137">
        <f>X97*F97*0.0045</f>
        <v>2150.3568984794274</v>
      </c>
      <c r="U97" s="22">
        <f>E97*5</f>
        <v>650</v>
      </c>
      <c r="W97" s="22">
        <v>0.3</v>
      </c>
      <c r="X97" s="22">
        <f>((O97*F97)+Q97+R97+S97+U97)/G97</f>
        <v>34.011180679785333</v>
      </c>
      <c r="Y97" s="22">
        <f>((O97*F97)+Q97+R97+S97+T97+U97)/G97+W97</f>
        <v>34.503520295033937</v>
      </c>
      <c r="Z97" s="3">
        <f>Y97*G97</f>
        <v>385749.3568984794</v>
      </c>
      <c r="AA97" s="44">
        <v>43264</v>
      </c>
      <c r="AB97" s="3"/>
      <c r="AC97" s="119" t="s">
        <v>2832</v>
      </c>
    </row>
    <row r="98" spans="1:29" x14ac:dyDescent="0.25">
      <c r="A98" s="65"/>
      <c r="B98" s="34" t="s">
        <v>328</v>
      </c>
      <c r="C98" t="s">
        <v>2813</v>
      </c>
      <c r="D98" s="35" t="s">
        <v>1065</v>
      </c>
      <c r="E98" t="s">
        <v>2814</v>
      </c>
      <c r="F98" s="36">
        <v>9463</v>
      </c>
      <c r="G98" s="38">
        <v>9516.7999999999993</v>
      </c>
      <c r="H98" s="38">
        <f t="shared" si="31"/>
        <v>53.799999999999272</v>
      </c>
      <c r="I98" s="35" t="s">
        <v>2828</v>
      </c>
      <c r="K98" s="39"/>
      <c r="L98" s="39">
        <v>43251</v>
      </c>
      <c r="M98" s="35" t="s">
        <v>342</v>
      </c>
      <c r="O98" s="22">
        <v>31</v>
      </c>
      <c r="P98" s="40"/>
      <c r="Q98" s="22"/>
      <c r="R98" s="22"/>
      <c r="S98" s="43"/>
      <c r="T98" s="43"/>
      <c r="U98" s="22"/>
      <c r="W98" s="22"/>
      <c r="X98" s="22">
        <f>IF(O98&gt;0,O98,((P98*2.2046*S98)+(Q98+R98)/G98)+V98)</f>
        <v>31</v>
      </c>
      <c r="Y98" s="22">
        <f>IF(O98&gt;0,O98,((P98*2.2046*S98)+(Q98+R98+T98)/G98)+V98+W98)</f>
        <v>31</v>
      </c>
      <c r="Z98" s="3">
        <f>Y98*F98</f>
        <v>293353</v>
      </c>
      <c r="AA98" s="44">
        <v>43259</v>
      </c>
      <c r="AB98" s="3"/>
      <c r="AC98" s="119"/>
    </row>
    <row r="99" spans="1:29" ht="15.75" thickBot="1" x14ac:dyDescent="0.3">
      <c r="A99" s="66"/>
      <c r="B99" s="49"/>
      <c r="C99" s="23"/>
      <c r="D99" s="23"/>
      <c r="E99" s="23"/>
      <c r="F99" s="50"/>
      <c r="G99" s="50"/>
      <c r="H99" s="50"/>
      <c r="I99" s="26"/>
      <c r="J99" s="23"/>
      <c r="K99" s="27"/>
      <c r="L99" s="27"/>
      <c r="M99" s="23"/>
      <c r="N99" s="23"/>
      <c r="O99" s="28"/>
      <c r="P99" s="29"/>
      <c r="Q99" s="28"/>
      <c r="R99" s="28"/>
      <c r="S99" s="28"/>
      <c r="T99" s="28"/>
      <c r="U99" s="28"/>
      <c r="V99" s="28"/>
      <c r="W99" s="28"/>
      <c r="X99" s="28"/>
      <c r="Y99" s="28"/>
      <c r="Z99" s="32"/>
      <c r="AA99" s="51"/>
      <c r="AB99" s="3"/>
      <c r="AC99" s="119"/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AM95"/>
  <sheetViews>
    <sheetView topLeftCell="A25" zoomScale="80" zoomScaleNormal="80" workbookViewId="0">
      <selection activeCell="T18" sqref="T18"/>
    </sheetView>
  </sheetViews>
  <sheetFormatPr baseColWidth="10" defaultRowHeight="15" x14ac:dyDescent="0.25"/>
  <cols>
    <col min="1" max="1" width="4.140625" customWidth="1"/>
    <col min="2" max="2" width="17.85546875" customWidth="1"/>
    <col min="3" max="3" width="13.140625" customWidth="1"/>
    <col min="4" max="4" width="24.140625" bestFit="1" customWidth="1"/>
    <col min="5" max="5" width="11.42578125" customWidth="1"/>
    <col min="8" max="8" width="10.28515625" customWidth="1"/>
    <col min="13" max="13" width="6" customWidth="1"/>
    <col min="14" max="14" width="9.28515625" customWidth="1"/>
    <col min="18" max="18" width="14" customWidth="1"/>
    <col min="22" max="22" width="7.42578125" customWidth="1"/>
    <col min="23" max="23" width="9.85546875" customWidth="1"/>
    <col min="24" max="24" width="11.42578125" hidden="1" customWidth="1"/>
    <col min="26" max="26" width="17.140625" customWidth="1"/>
  </cols>
  <sheetData>
    <row r="2" spans="1:30" x14ac:dyDescent="0.25">
      <c r="A2" s="21" t="s">
        <v>2656</v>
      </c>
      <c r="S2" s="22"/>
      <c r="W2" s="22"/>
      <c r="Z2" s="3"/>
    </row>
    <row r="3" spans="1:30" ht="30.75" thickBot="1" x14ac:dyDescent="0.3">
      <c r="A3" s="23"/>
      <c r="B3" s="23" t="s">
        <v>303</v>
      </c>
      <c r="C3" s="23" t="s">
        <v>304</v>
      </c>
      <c r="D3" s="23" t="s">
        <v>305</v>
      </c>
      <c r="E3" s="23" t="s">
        <v>306</v>
      </c>
      <c r="F3" s="24" t="s">
        <v>307</v>
      </c>
      <c r="G3" s="24" t="s">
        <v>308</v>
      </c>
      <c r="H3" s="25" t="s">
        <v>309</v>
      </c>
      <c r="I3" s="26" t="s">
        <v>310</v>
      </c>
      <c r="J3" s="23" t="s">
        <v>311</v>
      </c>
      <c r="K3" s="27" t="s">
        <v>312</v>
      </c>
      <c r="L3" s="27" t="s">
        <v>313</v>
      </c>
      <c r="M3" s="23" t="s">
        <v>314</v>
      </c>
      <c r="N3" s="23" t="s">
        <v>315</v>
      </c>
      <c r="O3" s="28" t="s">
        <v>316</v>
      </c>
      <c r="P3" s="29" t="s">
        <v>317</v>
      </c>
      <c r="Q3" s="28" t="s">
        <v>318</v>
      </c>
      <c r="R3" s="30" t="s">
        <v>319</v>
      </c>
      <c r="S3" s="30" t="s">
        <v>320</v>
      </c>
      <c r="T3" s="31" t="s">
        <v>321</v>
      </c>
      <c r="U3" s="28" t="s">
        <v>322</v>
      </c>
      <c r="V3" s="28" t="s">
        <v>323</v>
      </c>
      <c r="W3" s="31" t="s">
        <v>324</v>
      </c>
      <c r="X3" s="28" t="s">
        <v>325</v>
      </c>
      <c r="Y3" s="28" t="s">
        <v>326</v>
      </c>
      <c r="Z3" s="32" t="s">
        <v>327</v>
      </c>
      <c r="AA3" s="28"/>
    </row>
    <row r="4" spans="1:30" x14ac:dyDescent="0.25">
      <c r="A4" s="65"/>
      <c r="B4" s="34" t="s">
        <v>328</v>
      </c>
      <c r="C4" s="35" t="s">
        <v>343</v>
      </c>
      <c r="D4" s="35" t="s">
        <v>343</v>
      </c>
      <c r="E4" t="s">
        <v>1040</v>
      </c>
      <c r="F4" s="36">
        <f>42620*0.4536</f>
        <v>19332.432000000001</v>
      </c>
      <c r="G4" s="38">
        <v>19237.8</v>
      </c>
      <c r="H4" s="38">
        <f>G4-F4</f>
        <v>-94.632000000001426</v>
      </c>
      <c r="I4" t="s">
        <v>2589</v>
      </c>
      <c r="J4" s="5" t="s">
        <v>1022</v>
      </c>
      <c r="K4" s="39">
        <v>43251</v>
      </c>
      <c r="L4" s="39">
        <v>43252</v>
      </c>
      <c r="M4" s="35" t="s">
        <v>345</v>
      </c>
      <c r="N4" s="35" t="s">
        <v>2588</v>
      </c>
      <c r="O4" s="22"/>
      <c r="P4" s="40">
        <f>0.577+0.105</f>
        <v>0.68199999999999994</v>
      </c>
      <c r="Q4" s="111">
        <v>26000</v>
      </c>
      <c r="R4" s="22">
        <v>9400</v>
      </c>
      <c r="S4" s="45">
        <v>19.693999999999999</v>
      </c>
      <c r="T4" s="137">
        <f>X4*F4*0.005</f>
        <v>3051.700644718343</v>
      </c>
      <c r="V4" s="22">
        <v>0.12</v>
      </c>
      <c r="W4" s="22">
        <v>0.3</v>
      </c>
      <c r="X4" s="22">
        <f>IF(O4&gt;0,O4,((P4*2.2046*S4)+(Q4+R4)/G4)+V4)</f>
        <v>31.570788866277589</v>
      </c>
      <c r="Y4" s="22">
        <f>IF(O4&gt;0,O4,((P4*2.2046*S4)+(Q4+R4+T4)/G4)+V4+W4)</f>
        <v>32.029419304514725</v>
      </c>
      <c r="Z4" s="3">
        <f>Y4*F4</f>
        <v>619206.57070401823</v>
      </c>
      <c r="AA4" s="44">
        <v>43244</v>
      </c>
      <c r="AB4" s="3"/>
      <c r="AC4" s="119"/>
    </row>
    <row r="5" spans="1:30" x14ac:dyDescent="0.25">
      <c r="A5" s="65"/>
      <c r="B5" s="34" t="s">
        <v>340</v>
      </c>
      <c r="C5" t="s">
        <v>341</v>
      </c>
      <c r="D5" s="35" t="s">
        <v>2829</v>
      </c>
      <c r="E5">
        <v>250</v>
      </c>
      <c r="F5" s="36">
        <v>26930</v>
      </c>
      <c r="G5" s="38">
        <v>20960</v>
      </c>
      <c r="H5" s="38">
        <f t="shared" ref="H5:H8" si="0">G5-F5</f>
        <v>-5970</v>
      </c>
      <c r="I5" t="s">
        <v>2830</v>
      </c>
      <c r="K5" s="39"/>
      <c r="L5" s="39">
        <v>43252</v>
      </c>
      <c r="M5" s="35" t="s">
        <v>345</v>
      </c>
      <c r="O5" s="22">
        <v>25.5</v>
      </c>
      <c r="P5" s="40"/>
      <c r="Q5" s="47">
        <v>21300</v>
      </c>
      <c r="R5" s="22">
        <f t="shared" ref="R5" si="1">72*E5</f>
        <v>18000</v>
      </c>
      <c r="S5" s="43">
        <f>-38*E5</f>
        <v>-9500</v>
      </c>
      <c r="T5" s="43">
        <f>X5*F5*0.0045</f>
        <v>4149.9213513835875</v>
      </c>
      <c r="U5" s="22">
        <f>E5*5</f>
        <v>1250</v>
      </c>
      <c r="W5" s="22">
        <v>0.3</v>
      </c>
      <c r="X5" s="22">
        <f>((O5*F5)+Q5+R5+S5+U5)/G5</f>
        <v>34.244513358778626</v>
      </c>
      <c r="Y5" s="22">
        <f>((O5*F5)+Q5+R5+S5+T5+U5)/G5+W5</f>
        <v>34.742505789665245</v>
      </c>
      <c r="Z5" s="3">
        <f>Y5*G5</f>
        <v>728202.92135138356</v>
      </c>
      <c r="AA5" s="44">
        <v>43265</v>
      </c>
      <c r="AB5" s="3"/>
      <c r="AC5" s="119"/>
    </row>
    <row r="6" spans="1:30" x14ac:dyDescent="0.25">
      <c r="A6" s="65"/>
      <c r="B6" s="34" t="s">
        <v>340</v>
      </c>
      <c r="C6" t="s">
        <v>341</v>
      </c>
      <c r="D6" s="35" t="s">
        <v>1244</v>
      </c>
      <c r="E6">
        <v>130</v>
      </c>
      <c r="F6" s="36">
        <v>13750</v>
      </c>
      <c r="G6" s="38">
        <v>11330</v>
      </c>
      <c r="H6" s="38">
        <f t="shared" si="0"/>
        <v>-2420</v>
      </c>
      <c r="I6" s="35" t="s">
        <v>2831</v>
      </c>
      <c r="K6" s="39"/>
      <c r="L6" s="39">
        <v>43252</v>
      </c>
      <c r="M6" s="35" t="s">
        <v>345</v>
      </c>
      <c r="O6" s="22">
        <v>25.5</v>
      </c>
      <c r="P6" s="40"/>
      <c r="Q6" s="111">
        <v>16900</v>
      </c>
      <c r="R6" s="22">
        <f>72*E6</f>
        <v>9360</v>
      </c>
      <c r="S6" s="43">
        <f>-38*E6</f>
        <v>-4940</v>
      </c>
      <c r="T6" s="43">
        <f>X6*F6*0.0045</f>
        <v>2034.8027912621358</v>
      </c>
      <c r="U6" s="22">
        <f>E6*5</f>
        <v>650</v>
      </c>
      <c r="W6" s="22">
        <v>0.3</v>
      </c>
      <c r="X6" s="22">
        <f>((O6*F6)+Q6+R6+S6+U6)/G6</f>
        <v>32.885701676963812</v>
      </c>
      <c r="Y6" s="22">
        <f>((O6*F6)+Q6+R6+S6+T6+U6)/G6+W6</f>
        <v>33.365295921558882</v>
      </c>
      <c r="Z6" s="3">
        <f>Y6*G6</f>
        <v>378028.80279126216</v>
      </c>
      <c r="AA6" s="44">
        <v>43265</v>
      </c>
      <c r="AB6" s="3"/>
      <c r="AC6" s="119" t="s">
        <v>2833</v>
      </c>
    </row>
    <row r="7" spans="1:30" x14ac:dyDescent="0.25">
      <c r="A7" s="65"/>
      <c r="B7" s="34" t="s">
        <v>328</v>
      </c>
      <c r="C7" t="s">
        <v>343</v>
      </c>
      <c r="D7" s="35" t="s">
        <v>343</v>
      </c>
      <c r="E7" t="s">
        <v>1040</v>
      </c>
      <c r="F7" s="36">
        <f>42504*0.4536</f>
        <v>19279.814399999999</v>
      </c>
      <c r="G7" s="38">
        <v>19234.53</v>
      </c>
      <c r="H7" s="38">
        <f t="shared" si="0"/>
        <v>-45.28440000000046</v>
      </c>
      <c r="I7" s="35" t="s">
        <v>2591</v>
      </c>
      <c r="J7" s="5" t="s">
        <v>1022</v>
      </c>
      <c r="K7" s="39">
        <v>43252</v>
      </c>
      <c r="L7" s="39">
        <v>43253</v>
      </c>
      <c r="M7" s="35" t="s">
        <v>348</v>
      </c>
      <c r="N7" s="35" t="s">
        <v>2590</v>
      </c>
      <c r="O7" s="22"/>
      <c r="P7" s="40">
        <f>0.6048+0.105</f>
        <v>0.70979999999999999</v>
      </c>
      <c r="Q7" s="111">
        <v>26000</v>
      </c>
      <c r="R7" s="22">
        <v>9400</v>
      </c>
      <c r="S7" s="45">
        <v>19.603000000000002</v>
      </c>
      <c r="T7" s="43">
        <f>X7*F7*0.005</f>
        <v>3146.051784686043</v>
      </c>
      <c r="V7" s="22">
        <v>0.12</v>
      </c>
      <c r="W7" s="22">
        <v>0.3</v>
      </c>
      <c r="X7" s="22">
        <f>IF(O7&gt;0,O7,((P7*2.2046*S7)+(Q7+R7)/G7)+V7)</f>
        <v>32.635706126777265</v>
      </c>
      <c r="Y7" s="22">
        <f>IF(O7&gt;0,O7,((P7*2.2046*S7)+(Q7+R7+T7)/G7)+V7+W7)</f>
        <v>33.099268833258058</v>
      </c>
      <c r="Z7" s="3">
        <f>Y7*F7</f>
        <v>638147.75988091994</v>
      </c>
      <c r="AA7" s="44">
        <v>43249</v>
      </c>
      <c r="AB7" s="3"/>
      <c r="AC7" s="119"/>
    </row>
    <row r="8" spans="1:30" x14ac:dyDescent="0.25">
      <c r="A8" s="65"/>
      <c r="B8" s="34" t="s">
        <v>328</v>
      </c>
      <c r="C8" t="s">
        <v>2813</v>
      </c>
      <c r="D8" s="35" t="s">
        <v>1065</v>
      </c>
      <c r="E8" t="s">
        <v>2984</v>
      </c>
      <c r="F8" s="36">
        <v>6995</v>
      </c>
      <c r="G8" s="38">
        <v>7047.9</v>
      </c>
      <c r="H8" s="38">
        <f t="shared" si="0"/>
        <v>52.899999999999636</v>
      </c>
      <c r="I8" s="35"/>
      <c r="K8" s="39"/>
      <c r="L8" s="39">
        <v>43253</v>
      </c>
      <c r="M8" s="35" t="s">
        <v>348</v>
      </c>
      <c r="N8" s="35"/>
      <c r="O8" s="22">
        <v>31</v>
      </c>
      <c r="P8" s="40"/>
      <c r="Q8" s="22"/>
      <c r="R8" s="22"/>
      <c r="S8" s="45"/>
      <c r="T8" s="43"/>
      <c r="V8" s="22"/>
      <c r="W8" s="22"/>
      <c r="X8" s="22">
        <f>IF(O8&gt;0,O8,((P8*2.2046*S8)+(Q8+R8)/G8)+V8)</f>
        <v>31</v>
      </c>
      <c r="Y8" s="22">
        <f>IF(O8&gt;0,O8,((P8*2.2046*S8)+(Q8+R8+T8)/G8)+V8+W8)</f>
        <v>31</v>
      </c>
      <c r="Z8" s="3">
        <f>Y8*F8</f>
        <v>216845</v>
      </c>
      <c r="AA8" s="44">
        <v>43263</v>
      </c>
      <c r="AB8" s="3"/>
      <c r="AC8" s="119"/>
    </row>
    <row r="9" spans="1:30" ht="15.75" thickBot="1" x14ac:dyDescent="0.3">
      <c r="A9" s="66"/>
      <c r="B9" s="49"/>
      <c r="C9" s="23"/>
      <c r="D9" s="23"/>
      <c r="E9" s="23"/>
      <c r="F9" s="50"/>
      <c r="G9" s="50"/>
      <c r="H9" s="50"/>
      <c r="I9" s="26"/>
      <c r="J9" s="23"/>
      <c r="K9" s="27"/>
      <c r="L9" s="27"/>
      <c r="M9" s="23"/>
      <c r="N9" s="23"/>
      <c r="O9" s="28"/>
      <c r="P9" s="29"/>
      <c r="Q9" s="28"/>
      <c r="R9" s="28"/>
      <c r="S9" s="28"/>
      <c r="T9" s="28"/>
      <c r="U9" s="28"/>
      <c r="V9" s="28"/>
      <c r="W9" s="28"/>
      <c r="X9" s="28"/>
      <c r="Y9" s="28"/>
      <c r="Z9" s="32"/>
      <c r="AA9" s="51"/>
      <c r="AB9" s="3"/>
      <c r="AC9" s="119"/>
    </row>
    <row r="10" spans="1:30" ht="15.75" thickTop="1" x14ac:dyDescent="0.25">
      <c r="A10" s="194"/>
      <c r="B10" s="53" t="s">
        <v>340</v>
      </c>
      <c r="C10" s="53" t="s">
        <v>341</v>
      </c>
      <c r="D10" s="54" t="s">
        <v>2879</v>
      </c>
      <c r="E10" s="53">
        <f>250+10</f>
        <v>260</v>
      </c>
      <c r="F10" s="55">
        <f>26910+1155</f>
        <v>28065</v>
      </c>
      <c r="G10" s="56">
        <f>11140+11070</f>
        <v>22210</v>
      </c>
      <c r="H10" s="121">
        <f t="shared" ref="H10:H30" si="2">G10-F10</f>
        <v>-5855</v>
      </c>
      <c r="I10" s="57" t="s">
        <v>2880</v>
      </c>
      <c r="J10" s="53"/>
      <c r="K10" s="58"/>
      <c r="L10" s="58">
        <v>43254</v>
      </c>
      <c r="M10" s="54" t="s">
        <v>349</v>
      </c>
      <c r="N10" s="53"/>
      <c r="O10" s="59">
        <v>26</v>
      </c>
      <c r="P10" s="60"/>
      <c r="Q10" s="61">
        <v>21300</v>
      </c>
      <c r="R10" s="22">
        <f>72*E10</f>
        <v>18720</v>
      </c>
      <c r="S10" s="59">
        <f>-38*E10</f>
        <v>-9880</v>
      </c>
      <c r="T10" s="62">
        <f>X10*F10*0.0045</f>
        <v>4328.0058768572717</v>
      </c>
      <c r="U10" s="59">
        <f>E10*5</f>
        <v>1300</v>
      </c>
      <c r="V10" s="53"/>
      <c r="W10" s="59">
        <v>0.3</v>
      </c>
      <c r="X10" s="59">
        <f>((O10*F10)+Q10+R10+S10+U10)/G10</f>
        <v>34.269698334083749</v>
      </c>
      <c r="Y10" s="63">
        <f>((O10*F10)+Q10+R10+S10+T10+U10)/G10+W10</f>
        <v>34.764565775635177</v>
      </c>
      <c r="Z10" s="63">
        <f>Y10*G10</f>
        <v>772121.00587685732</v>
      </c>
      <c r="AA10" s="64">
        <v>43269</v>
      </c>
      <c r="AB10" s="3"/>
      <c r="AC10" s="3" t="s">
        <v>2884</v>
      </c>
    </row>
    <row r="11" spans="1:30" x14ac:dyDescent="0.25">
      <c r="A11" s="195"/>
      <c r="B11" s="34" t="s">
        <v>340</v>
      </c>
      <c r="C11" t="s">
        <v>341</v>
      </c>
      <c r="D11" s="35" t="s">
        <v>2881</v>
      </c>
      <c r="E11">
        <v>199</v>
      </c>
      <c r="F11" s="36">
        <v>23360</v>
      </c>
      <c r="G11" s="38">
        <f>12000+6730</f>
        <v>18730</v>
      </c>
      <c r="H11" s="38">
        <f t="shared" si="2"/>
        <v>-4630</v>
      </c>
      <c r="I11" s="35" t="s">
        <v>2882</v>
      </c>
      <c r="J11" s="10">
        <v>198</v>
      </c>
      <c r="K11" s="39"/>
      <c r="L11" s="39">
        <v>43255</v>
      </c>
      <c r="M11" s="35" t="s">
        <v>350</v>
      </c>
      <c r="O11" s="22">
        <v>26</v>
      </c>
      <c r="P11" s="40"/>
      <c r="Q11" s="47">
        <v>21300</v>
      </c>
      <c r="R11" s="22">
        <f>72*E11</f>
        <v>14328</v>
      </c>
      <c r="S11" s="43">
        <f>-38*E11</f>
        <v>-7562</v>
      </c>
      <c r="T11" s="43">
        <f>X11*F11*0.0045</f>
        <v>3571.8406577682858</v>
      </c>
      <c r="U11" s="22">
        <f>E11*5</f>
        <v>995</v>
      </c>
      <c r="W11" s="22">
        <v>0.3</v>
      </c>
      <c r="X11" s="22">
        <f>((O11*F11)+Q11+R11+S11+U11)/G11</f>
        <v>33.97869727709557</v>
      </c>
      <c r="Y11" s="22">
        <f>((O11*F11)+Q11+R11+S11+T11+U11)/G11+W11</f>
        <v>34.469398860532209</v>
      </c>
      <c r="Z11" s="3">
        <f>Y11*G11</f>
        <v>645611.84065776831</v>
      </c>
      <c r="AA11" s="44">
        <v>43269</v>
      </c>
      <c r="AB11" s="3"/>
      <c r="AC11" s="119" t="s">
        <v>2885</v>
      </c>
    </row>
    <row r="12" spans="1:30" x14ac:dyDescent="0.25">
      <c r="A12" s="195"/>
      <c r="B12" s="34" t="s">
        <v>328</v>
      </c>
      <c r="C12" t="s">
        <v>329</v>
      </c>
      <c r="D12" s="35" t="s">
        <v>329</v>
      </c>
      <c r="E12" t="s">
        <v>1021</v>
      </c>
      <c r="F12" s="36">
        <f>41787*0.4536</f>
        <v>18954.583200000001</v>
      </c>
      <c r="G12" s="38">
        <v>18900.28</v>
      </c>
      <c r="H12" s="38">
        <f t="shared" si="2"/>
        <v>-54.303200000002107</v>
      </c>
      <c r="I12" s="35" t="s">
        <v>2817</v>
      </c>
      <c r="J12" s="5" t="s">
        <v>1022</v>
      </c>
      <c r="K12" s="39">
        <v>43255</v>
      </c>
      <c r="L12" s="39">
        <v>43256</v>
      </c>
      <c r="M12" s="35" t="s">
        <v>355</v>
      </c>
      <c r="N12" s="35" t="s">
        <v>2815</v>
      </c>
      <c r="O12" s="22"/>
      <c r="P12" s="40">
        <f>0.6466+0.095</f>
        <v>0.74159999999999993</v>
      </c>
      <c r="Q12" s="111">
        <v>26000</v>
      </c>
      <c r="R12" s="100">
        <v>9500</v>
      </c>
      <c r="S12" s="45">
        <v>20.704999999999998</v>
      </c>
      <c r="T12" s="43">
        <f t="shared" ref="T12:T20" si="3">X12*F12*0.005</f>
        <v>3397.5647664511521</v>
      </c>
      <c r="V12" s="22">
        <v>0.12</v>
      </c>
      <c r="W12" s="22">
        <v>0.3</v>
      </c>
      <c r="X12" s="22">
        <f>IF(O12&gt;0,O12,((P12*2.2046*S12)+(Q12+R12)/G12)+V12)</f>
        <v>35.84953286075055</v>
      </c>
      <c r="Y12" s="22">
        <f>IF(O12&gt;0,O12,((P12*2.2046*S12)+(Q12+R12+T12)/G12)+V12+W12)</f>
        <v>36.329295529158159</v>
      </c>
      <c r="Z12" s="3">
        <f>Y12*F12</f>
        <v>688606.65470481641</v>
      </c>
      <c r="AA12" s="44">
        <v>43266</v>
      </c>
      <c r="AB12" s="197" t="s">
        <v>2878</v>
      </c>
      <c r="AC12" s="198"/>
    </row>
    <row r="13" spans="1:30" x14ac:dyDescent="0.25">
      <c r="A13" s="195"/>
      <c r="B13" s="34" t="s">
        <v>328</v>
      </c>
      <c r="C13" t="s">
        <v>336</v>
      </c>
      <c r="D13" s="35" t="s">
        <v>1129</v>
      </c>
      <c r="E13" t="s">
        <v>1021</v>
      </c>
      <c r="F13" s="36">
        <f>41090*0.4536</f>
        <v>18638.423999999999</v>
      </c>
      <c r="G13" s="38">
        <v>18582.669999999998</v>
      </c>
      <c r="H13" s="38">
        <f t="shared" si="2"/>
        <v>-55.754000000000815</v>
      </c>
      <c r="I13" s="35" t="s">
        <v>2818</v>
      </c>
      <c r="J13" s="5" t="s">
        <v>1022</v>
      </c>
      <c r="K13" s="39">
        <v>43255</v>
      </c>
      <c r="L13" s="39">
        <v>43256</v>
      </c>
      <c r="M13" s="35" t="s">
        <v>355</v>
      </c>
      <c r="N13" s="35" t="s">
        <v>2816</v>
      </c>
      <c r="O13" s="22"/>
      <c r="P13" s="40">
        <f>0.6167+0.105</f>
        <v>0.72170000000000001</v>
      </c>
      <c r="Q13" s="111">
        <v>26000</v>
      </c>
      <c r="R13" s="22">
        <v>9400</v>
      </c>
      <c r="S13" s="45">
        <v>20.37</v>
      </c>
      <c r="T13" s="43">
        <f t="shared" si="3"/>
        <v>3209.0603328460088</v>
      </c>
      <c r="V13" s="22">
        <v>0.12</v>
      </c>
      <c r="W13" s="22">
        <v>0.3</v>
      </c>
      <c r="X13" s="22">
        <f>IF(O13&gt;0,O13,((P13*2.2046*S13)+(Q13+R13)/G13)+V13)</f>
        <v>34.43488926795537</v>
      </c>
      <c r="Y13" s="22">
        <f>IF(O13&gt;0,O13,((P13*2.2046*S13)+(Q13+R13+T13)/G13)+V13+W13)</f>
        <v>34.907580293133456</v>
      </c>
      <c r="Z13" s="3">
        <f>Y13*F13</f>
        <v>650622.28231746564</v>
      </c>
      <c r="AA13" s="44">
        <v>43256</v>
      </c>
      <c r="AB13" s="3">
        <v>39</v>
      </c>
      <c r="AC13" s="119"/>
    </row>
    <row r="14" spans="1:30" x14ac:dyDescent="0.25">
      <c r="A14" s="195"/>
      <c r="B14" s="34" t="s">
        <v>340</v>
      </c>
      <c r="C14" t="s">
        <v>341</v>
      </c>
      <c r="D14" s="35" t="s">
        <v>1102</v>
      </c>
      <c r="E14">
        <v>200</v>
      </c>
      <c r="F14" s="36">
        <v>20280</v>
      </c>
      <c r="G14" s="38">
        <f>10400+5640</f>
        <v>16040</v>
      </c>
      <c r="H14" s="38">
        <f t="shared" si="2"/>
        <v>-4240</v>
      </c>
      <c r="I14" s="35" t="s">
        <v>2890</v>
      </c>
      <c r="K14" s="39"/>
      <c r="L14" s="39">
        <v>43256</v>
      </c>
      <c r="M14" s="35" t="s">
        <v>355</v>
      </c>
      <c r="O14" s="22">
        <v>26.5</v>
      </c>
      <c r="P14" s="40"/>
      <c r="Q14" s="47">
        <v>21300</v>
      </c>
      <c r="R14" s="22">
        <f>72*E14</f>
        <v>14400</v>
      </c>
      <c r="S14" s="43">
        <f>-38*E14</f>
        <v>-7600</v>
      </c>
      <c r="T14" s="43">
        <f t="shared" si="3"/>
        <v>3581.3670822942649</v>
      </c>
      <c r="U14" s="22">
        <f>E14*5</f>
        <v>1000</v>
      </c>
      <c r="W14" s="22">
        <v>0.3</v>
      </c>
      <c r="X14" s="22">
        <f>((O14*F14)+Q14+R14+S14+U14)/G14</f>
        <v>35.31920199501247</v>
      </c>
      <c r="Y14" s="22">
        <f>((O14*F14)+Q14+R14+S14+T14+U14)/G14+W14</f>
        <v>35.842479244532065</v>
      </c>
      <c r="Z14" s="3">
        <f>Y14*G14</f>
        <v>574913.36708229431</v>
      </c>
      <c r="AA14" s="44">
        <v>43269</v>
      </c>
      <c r="AB14" s="3"/>
      <c r="AC14" s="119" t="s">
        <v>2891</v>
      </c>
    </row>
    <row r="15" spans="1:30" x14ac:dyDescent="0.25">
      <c r="A15" s="195"/>
      <c r="B15" s="34" t="s">
        <v>1596</v>
      </c>
      <c r="C15" t="s">
        <v>1349</v>
      </c>
      <c r="D15" s="35" t="s">
        <v>1065</v>
      </c>
      <c r="E15" t="s">
        <v>2980</v>
      </c>
      <c r="F15" s="36">
        <v>4191.97</v>
      </c>
      <c r="G15" s="38">
        <v>191.97</v>
      </c>
      <c r="H15" s="38">
        <f t="shared" si="2"/>
        <v>-4000.0000000000005</v>
      </c>
      <c r="I15" s="35"/>
      <c r="K15" s="39"/>
      <c r="L15" s="39">
        <v>43257</v>
      </c>
      <c r="M15" s="35" t="s">
        <v>331</v>
      </c>
      <c r="O15" s="22">
        <v>93.4</v>
      </c>
      <c r="P15" s="40"/>
      <c r="Q15" s="22"/>
      <c r="R15" s="22"/>
      <c r="S15" s="43"/>
      <c r="T15" s="43"/>
      <c r="U15" s="22"/>
      <c r="W15" s="22"/>
      <c r="X15" s="22">
        <f t="shared" ref="X15" si="4">IF(O15&gt;0,O15,((P15*2.2046*S15)+(Q15+R15)/G15)+V15)</f>
        <v>93.4</v>
      </c>
      <c r="Y15" s="22">
        <f t="shared" ref="Y15" si="5">IF(O15&gt;0,O15,((P15*2.2046*S15)+(Q15+R15+T15)/G15)+V15+W15)</f>
        <v>93.4</v>
      </c>
      <c r="Z15" s="3">
        <f t="shared" ref="Z15" si="6">Y15*F15</f>
        <v>391529.99800000002</v>
      </c>
      <c r="AA15" s="44">
        <v>43266</v>
      </c>
      <c r="AB15" s="3"/>
      <c r="AC15" s="119"/>
    </row>
    <row r="16" spans="1:30" x14ac:dyDescent="0.25">
      <c r="A16" s="195"/>
      <c r="B16" s="34" t="s">
        <v>328</v>
      </c>
      <c r="C16" t="s">
        <v>336</v>
      </c>
      <c r="D16" s="35" t="s">
        <v>336</v>
      </c>
      <c r="E16" t="s">
        <v>1021</v>
      </c>
      <c r="F16" s="36">
        <f>41354*0.4536</f>
        <v>18758.1744</v>
      </c>
      <c r="G16" s="38">
        <v>18658.71</v>
      </c>
      <c r="H16" s="38">
        <f>G16-F16</f>
        <v>-99.464400000000751</v>
      </c>
      <c r="I16" s="35" t="s">
        <v>2507</v>
      </c>
      <c r="J16" s="5" t="s">
        <v>1089</v>
      </c>
      <c r="K16" s="39">
        <v>43256</v>
      </c>
      <c r="L16" s="39">
        <v>43257</v>
      </c>
      <c r="M16" s="35" t="s">
        <v>331</v>
      </c>
      <c r="N16" s="35" t="s">
        <v>2815</v>
      </c>
      <c r="O16" s="22"/>
      <c r="P16" s="40">
        <f>0.6466+0.095</f>
        <v>0.74159999999999993</v>
      </c>
      <c r="Q16" s="111">
        <v>26000</v>
      </c>
      <c r="R16" s="22">
        <v>70283</v>
      </c>
      <c r="S16" s="45">
        <v>19.77</v>
      </c>
      <c r="T16" s="43">
        <f>X16*F16*0.005</f>
        <v>3526.8003758482805</v>
      </c>
      <c r="V16" s="22">
        <v>0.12</v>
      </c>
      <c r="W16" s="22">
        <v>0.3</v>
      </c>
      <c r="X16" s="22">
        <f>IF(O16&gt;0,O16,((P16*2.2046*S16)+(Q16+R16)/G16)+V16)</f>
        <v>37.602810387009519</v>
      </c>
      <c r="Y16" s="22">
        <f>IF(O16&gt;0,O16,((P16*2.2046*S16)+(Q16+R16+T16)/G16)+V16+W16)</f>
        <v>38.091826689628952</v>
      </c>
      <c r="Z16" s="3">
        <f>Y16*F16</f>
        <v>714533.12825863459</v>
      </c>
      <c r="AA16" s="44">
        <v>43243</v>
      </c>
      <c r="AB16" s="3">
        <v>39</v>
      </c>
      <c r="AC16" s="198" t="s">
        <v>2883</v>
      </c>
      <c r="AD16" s="199"/>
    </row>
    <row r="17" spans="1:35" x14ac:dyDescent="0.25">
      <c r="A17" s="195"/>
      <c r="B17" s="34" t="s">
        <v>328</v>
      </c>
      <c r="C17" t="s">
        <v>336</v>
      </c>
      <c r="D17" s="35" t="s">
        <v>336</v>
      </c>
      <c r="E17" t="s">
        <v>1021</v>
      </c>
      <c r="F17" s="36">
        <f>41210*0.4536</f>
        <v>18692.856</v>
      </c>
      <c r="G17" s="38">
        <v>18635.43</v>
      </c>
      <c r="H17" s="38">
        <f t="shared" si="2"/>
        <v>-57.425999999999476</v>
      </c>
      <c r="I17" s="35" t="s">
        <v>2508</v>
      </c>
      <c r="J17" s="5" t="s">
        <v>1022</v>
      </c>
      <c r="K17" s="39">
        <v>43256</v>
      </c>
      <c r="L17" s="39">
        <v>43257</v>
      </c>
      <c r="M17" s="35" t="s">
        <v>331</v>
      </c>
      <c r="N17" s="35" t="s">
        <v>2815</v>
      </c>
      <c r="O17" s="22"/>
      <c r="P17" s="40">
        <f>0.6466+0.095</f>
        <v>0.74159999999999993</v>
      </c>
      <c r="Q17" s="111">
        <v>26000</v>
      </c>
      <c r="R17" s="22">
        <v>70495</v>
      </c>
      <c r="S17" s="45">
        <v>19.815000000000001</v>
      </c>
      <c r="T17" s="43">
        <f>X17*F17*0.005</f>
        <v>3523.061711185273</v>
      </c>
      <c r="V17" s="22">
        <v>0.12</v>
      </c>
      <c r="W17" s="22">
        <v>0.3</v>
      </c>
      <c r="X17" s="22">
        <f>IF(O17&gt;0,O17,((P17*2.2046*S17)+(Q17+R17)/G17)+V17)</f>
        <v>37.694204793374247</v>
      </c>
      <c r="Y17" s="22">
        <f>IF(O17&gt;0,O17,((P17*2.2046*S17)+(Q17+R17+T17)/G17)+V17+W17)</f>
        <v>38.183256600130797</v>
      </c>
      <c r="Z17" s="3">
        <f>Y17*F17</f>
        <v>713754.11723729456</v>
      </c>
      <c r="AA17" s="44">
        <v>43249</v>
      </c>
      <c r="AB17" s="3">
        <v>39</v>
      </c>
      <c r="AC17" s="119"/>
    </row>
    <row r="18" spans="1:35" x14ac:dyDescent="0.25">
      <c r="A18" s="195"/>
      <c r="B18" s="34" t="s">
        <v>340</v>
      </c>
      <c r="C18" t="s">
        <v>341</v>
      </c>
      <c r="D18" s="35" t="s">
        <v>2898</v>
      </c>
      <c r="E18">
        <f>250+10</f>
        <v>260</v>
      </c>
      <c r="F18" s="36">
        <f>26080+980</f>
        <v>27060</v>
      </c>
      <c r="G18" s="38">
        <f>10760+10840</f>
        <v>21600</v>
      </c>
      <c r="H18" s="38">
        <f t="shared" si="2"/>
        <v>-5460</v>
      </c>
      <c r="I18" s="35" t="s">
        <v>2897</v>
      </c>
      <c r="K18" s="39"/>
      <c r="L18" s="39">
        <v>43257</v>
      </c>
      <c r="M18" s="35" t="s">
        <v>331</v>
      </c>
      <c r="O18" s="22">
        <v>26.8</v>
      </c>
      <c r="P18" s="40"/>
      <c r="Q18" s="47">
        <v>21300</v>
      </c>
      <c r="R18" s="22">
        <f>72*E18</f>
        <v>18720</v>
      </c>
      <c r="S18" s="43">
        <f>-38*E18</f>
        <v>-9880</v>
      </c>
      <c r="T18" s="43">
        <f t="shared" si="3"/>
        <v>4739.5590000000002</v>
      </c>
      <c r="U18" s="22">
        <f>E18*5</f>
        <v>1300</v>
      </c>
      <c r="W18" s="22">
        <v>0.3</v>
      </c>
      <c r="X18" s="22">
        <f>((O18*F18)+Q18+R18+S18+U18)/G18</f>
        <v>35.03</v>
      </c>
      <c r="Y18" s="22">
        <f>((O18*F18)+Q18+R18+S18+T18+U18)/G18+W18</f>
        <v>35.549424027777775</v>
      </c>
      <c r="Z18" s="3">
        <f>Y18*G18</f>
        <v>767867.55899999989</v>
      </c>
      <c r="AA18" s="44">
        <v>43270</v>
      </c>
      <c r="AB18" s="3"/>
      <c r="AC18" s="119" t="s">
        <v>2899</v>
      </c>
    </row>
    <row r="19" spans="1:35" x14ac:dyDescent="0.25">
      <c r="A19" s="195"/>
      <c r="B19" s="34" t="s">
        <v>1501</v>
      </c>
      <c r="C19" t="s">
        <v>343</v>
      </c>
      <c r="D19" s="35" t="s">
        <v>1106</v>
      </c>
      <c r="E19" t="s">
        <v>1652</v>
      </c>
      <c r="F19" s="36">
        <v>3609.7</v>
      </c>
      <c r="G19" s="38">
        <v>3609.7</v>
      </c>
      <c r="H19" s="38">
        <f t="shared" si="2"/>
        <v>0</v>
      </c>
      <c r="I19" s="35" t="s">
        <v>3124</v>
      </c>
      <c r="K19" s="39"/>
      <c r="L19" s="39">
        <v>43257</v>
      </c>
      <c r="M19" s="35" t="s">
        <v>331</v>
      </c>
      <c r="O19" s="22">
        <v>19.5</v>
      </c>
      <c r="P19" s="40"/>
      <c r="Q19" s="22"/>
      <c r="R19" s="22"/>
      <c r="S19" s="43"/>
      <c r="T19" s="43"/>
      <c r="U19" s="22"/>
      <c r="W19" s="22"/>
      <c r="X19" s="22">
        <f>IF(O19&gt;0,O19,((P19*2.2046*S19)+(Q19+R19)/G19)+V19)</f>
        <v>19.5</v>
      </c>
      <c r="Y19" s="22">
        <f>IF(O19&gt;0,O19,((P19*2.2046*S19)+(Q19+R19+T19)/G19)+V19+W19)</f>
        <v>19.5</v>
      </c>
      <c r="Z19" s="3">
        <f>Y19*F19</f>
        <v>70389.149999999994</v>
      </c>
      <c r="AA19" s="44">
        <v>43264</v>
      </c>
      <c r="AB19" s="3"/>
      <c r="AC19" s="119"/>
    </row>
    <row r="20" spans="1:35" x14ac:dyDescent="0.25">
      <c r="A20" s="195"/>
      <c r="B20" s="34" t="s">
        <v>328</v>
      </c>
      <c r="C20" s="35" t="s">
        <v>343</v>
      </c>
      <c r="D20" s="35" t="s">
        <v>343</v>
      </c>
      <c r="E20" t="s">
        <v>1040</v>
      </c>
      <c r="F20" s="36">
        <f>42354*0.4536</f>
        <v>19211.774399999998</v>
      </c>
      <c r="G20" s="38">
        <v>19147.080000000002</v>
      </c>
      <c r="H20" s="38">
        <f t="shared" si="2"/>
        <v>-64.694399999996676</v>
      </c>
      <c r="I20" s="35" t="s">
        <v>2819</v>
      </c>
      <c r="J20" s="5" t="s">
        <v>1022</v>
      </c>
      <c r="K20" s="39">
        <v>43257</v>
      </c>
      <c r="L20" s="39">
        <v>43258</v>
      </c>
      <c r="M20" s="35" t="s">
        <v>342</v>
      </c>
      <c r="N20" s="35" t="s">
        <v>2820</v>
      </c>
      <c r="O20" s="22"/>
      <c r="P20" s="40">
        <f>0.626+0.105</f>
        <v>0.73099999999999998</v>
      </c>
      <c r="Q20" s="111">
        <v>26000</v>
      </c>
      <c r="R20" s="22">
        <v>71471</v>
      </c>
      <c r="S20" s="45">
        <v>19.789000000000001</v>
      </c>
      <c r="T20" s="43">
        <f t="shared" si="3"/>
        <v>3563.9626254023569</v>
      </c>
      <c r="V20" s="22">
        <v>0.12</v>
      </c>
      <c r="W20" s="22">
        <v>0.3</v>
      </c>
      <c r="X20" s="22">
        <f>IF(O20&gt;0,O20,((P20*2.2046*S20)+(Q20+R20)/G20)+V20)</f>
        <v>37.101857966876366</v>
      </c>
      <c r="Y20" s="22">
        <f>IF(O20&gt;0,O20,((P20*2.2046*S20)+(Q20+R20+T20)/G20)+V20+W20)</f>
        <v>37.58799405788357</v>
      </c>
      <c r="Z20" s="3">
        <f>Y20*F20</f>
        <v>722132.0619885996</v>
      </c>
      <c r="AA20" s="44">
        <v>43251</v>
      </c>
      <c r="AB20" s="3">
        <v>39</v>
      </c>
      <c r="AC20" s="119"/>
    </row>
    <row r="21" spans="1:35" x14ac:dyDescent="0.25">
      <c r="A21" s="195"/>
      <c r="B21" s="34" t="s">
        <v>340</v>
      </c>
      <c r="C21" t="s">
        <v>341</v>
      </c>
      <c r="D21" s="35" t="s">
        <v>2881</v>
      </c>
      <c r="E21">
        <v>249</v>
      </c>
      <c r="F21" s="36">
        <v>27705</v>
      </c>
      <c r="G21" s="38">
        <v>22970</v>
      </c>
      <c r="H21" s="38">
        <f t="shared" si="2"/>
        <v>-4735</v>
      </c>
      <c r="I21" s="35" t="s">
        <v>2912</v>
      </c>
      <c r="K21" s="39"/>
      <c r="L21" s="39">
        <v>43258</v>
      </c>
      <c r="M21" s="35" t="s">
        <v>342</v>
      </c>
      <c r="O21" s="22">
        <v>26.5</v>
      </c>
      <c r="P21" s="40"/>
      <c r="Q21" s="47">
        <v>21300</v>
      </c>
      <c r="R21" s="22">
        <f>72*E21</f>
        <v>17928</v>
      </c>
      <c r="S21" s="43">
        <f>-38*E21</f>
        <v>-9462</v>
      </c>
      <c r="T21" s="43">
        <f>X21*F21*0.0045</f>
        <v>4153.1818297235513</v>
      </c>
      <c r="U21" s="22">
        <f>E21*5</f>
        <v>1245</v>
      </c>
      <c r="W21" s="22">
        <v>0.3</v>
      </c>
      <c r="X21" s="22">
        <f>((O21*F21)+Q21+R21+S21+U21)/G21</f>
        <v>33.312734000870698</v>
      </c>
      <c r="Y21" s="22">
        <f>((O21*F21)+Q21+R21+S21+T21+U21)/G21+W21</f>
        <v>33.793542961677119</v>
      </c>
      <c r="Z21" s="3">
        <f>Y21*G21</f>
        <v>776237.68182972341</v>
      </c>
      <c r="AA21" s="44">
        <v>43271</v>
      </c>
      <c r="AB21" s="3"/>
      <c r="AC21" s="119"/>
    </row>
    <row r="22" spans="1:35" x14ac:dyDescent="0.25">
      <c r="A22" s="195"/>
      <c r="B22" s="34" t="s">
        <v>340</v>
      </c>
      <c r="C22" t="s">
        <v>341</v>
      </c>
      <c r="D22" s="35" t="s">
        <v>1060</v>
      </c>
      <c r="E22">
        <v>131</v>
      </c>
      <c r="F22" s="36">
        <v>15450</v>
      </c>
      <c r="G22" s="38">
        <v>11540</v>
      </c>
      <c r="H22" s="38">
        <f t="shared" si="2"/>
        <v>-3910</v>
      </c>
      <c r="I22" s="35" t="s">
        <v>2913</v>
      </c>
      <c r="K22" s="39"/>
      <c r="L22" s="39">
        <v>43258</v>
      </c>
      <c r="M22" s="35" t="s">
        <v>342</v>
      </c>
      <c r="O22" s="22">
        <v>26.5</v>
      </c>
      <c r="P22" s="40"/>
      <c r="Q22" s="111">
        <v>16900</v>
      </c>
      <c r="R22" s="22">
        <f>72*E22</f>
        <v>9432</v>
      </c>
      <c r="S22" s="43">
        <f>-38*E22</f>
        <v>-4978</v>
      </c>
      <c r="T22" s="43">
        <f>X22*F22*0.0045</f>
        <v>2599.2589991334485</v>
      </c>
      <c r="U22" s="22">
        <f>E22*5</f>
        <v>655</v>
      </c>
      <c r="W22" s="22">
        <v>0.3</v>
      </c>
      <c r="X22" s="22">
        <f>((O22*F22)+Q22+R22+S22+U22)/G22</f>
        <v>37.385961871750432</v>
      </c>
      <c r="Y22" s="22">
        <f>((O22*F22)+Q22+R22+S22+T22+U22)/G22+W22</f>
        <v>37.911200953131143</v>
      </c>
      <c r="Z22" s="3">
        <f>Y22*G22</f>
        <v>437495.25899913337</v>
      </c>
      <c r="AA22" s="44">
        <v>43271</v>
      </c>
      <c r="AB22" s="3">
        <v>34.950000000000003</v>
      </c>
      <c r="AC22" s="119" t="s">
        <v>2914</v>
      </c>
    </row>
    <row r="23" spans="1:35" x14ac:dyDescent="0.25">
      <c r="A23" s="195"/>
      <c r="B23" s="34" t="s">
        <v>1063</v>
      </c>
      <c r="C23" t="s">
        <v>1064</v>
      </c>
      <c r="D23" s="35" t="s">
        <v>1065</v>
      </c>
      <c r="E23" t="s">
        <v>2080</v>
      </c>
      <c r="F23" s="36">
        <v>9320</v>
      </c>
      <c r="G23" s="38">
        <v>9320.25</v>
      </c>
      <c r="H23" s="38">
        <f t="shared" si="2"/>
        <v>0.25</v>
      </c>
      <c r="I23" s="35" t="s">
        <v>2990</v>
      </c>
      <c r="K23" s="39"/>
      <c r="L23" s="39">
        <v>43258</v>
      </c>
      <c r="M23" s="35" t="s">
        <v>342</v>
      </c>
      <c r="O23" s="22">
        <v>90</v>
      </c>
      <c r="P23" s="40"/>
      <c r="Q23" s="22"/>
      <c r="R23" s="22"/>
      <c r="S23" s="43"/>
      <c r="T23" s="43"/>
      <c r="U23" s="22"/>
      <c r="W23" s="22"/>
      <c r="X23" s="22">
        <f>IF(O23&gt;0,O23,((P23*2.2046*S23)+(Q23+R23)/G23)+V23)</f>
        <v>90</v>
      </c>
      <c r="Y23" s="22">
        <f>IF(O23&gt;0,O23,((P23*2.2046*S23)+(Q23+R23+T23)/G23)+V23+W23)</f>
        <v>90</v>
      </c>
      <c r="Z23" s="3">
        <f>Y23*F23</f>
        <v>838800</v>
      </c>
      <c r="AA23" s="44">
        <v>43266</v>
      </c>
      <c r="AB23" s="3"/>
      <c r="AC23" s="119"/>
    </row>
    <row r="24" spans="1:35" x14ac:dyDescent="0.25">
      <c r="A24" s="195"/>
      <c r="B24" s="34" t="s">
        <v>328</v>
      </c>
      <c r="C24" s="35" t="s">
        <v>329</v>
      </c>
      <c r="D24" s="35" t="s">
        <v>329</v>
      </c>
      <c r="E24" t="s">
        <v>1021</v>
      </c>
      <c r="F24" s="36">
        <f>42632*0.4536</f>
        <v>19337.875199999999</v>
      </c>
      <c r="G24" s="38">
        <v>19327.080000000002</v>
      </c>
      <c r="H24" s="38">
        <f t="shared" si="2"/>
        <v>-10.795199999996839</v>
      </c>
      <c r="I24" s="35" t="s">
        <v>2836</v>
      </c>
      <c r="J24" s="5" t="s">
        <v>1022</v>
      </c>
      <c r="K24" s="39">
        <v>43258</v>
      </c>
      <c r="L24" s="39">
        <v>43259</v>
      </c>
      <c r="M24" s="35" t="s">
        <v>345</v>
      </c>
      <c r="N24" s="35" t="s">
        <v>2821</v>
      </c>
      <c r="O24" s="22"/>
      <c r="P24" s="40">
        <f>0.626+0.095</f>
        <v>0.72099999999999997</v>
      </c>
      <c r="Q24" s="111">
        <v>26000</v>
      </c>
      <c r="R24" s="100">
        <v>75759.5</v>
      </c>
      <c r="S24" s="45">
        <v>20.69</v>
      </c>
      <c r="T24" s="43">
        <f>X24*F24*0.005</f>
        <v>3700.5174434969294</v>
      </c>
      <c r="V24" s="22">
        <v>0.12</v>
      </c>
      <c r="W24" s="22">
        <v>0.3</v>
      </c>
      <c r="X24" s="22">
        <f>IF(O24&gt;0,O24,((P24*2.2046*S24)+(Q24+R24)/G24)+V24)</f>
        <v>38.272223863529014</v>
      </c>
      <c r="Y24" s="22">
        <f>IF(O24&gt;0,O24,((P24*2.2046*S24)+(Q24+R24+T24)/G24)+V24+W24)</f>
        <v>38.763691868188637</v>
      </c>
      <c r="Z24" s="3">
        <f>Y24*F24</f>
        <v>749607.43563828664</v>
      </c>
      <c r="AA24" s="44">
        <v>43270</v>
      </c>
      <c r="AB24" s="3">
        <v>40</v>
      </c>
      <c r="AC24" s="119"/>
    </row>
    <row r="25" spans="1:35" x14ac:dyDescent="0.25">
      <c r="A25" s="195"/>
      <c r="B25" s="34" t="s">
        <v>340</v>
      </c>
      <c r="C25" t="s">
        <v>341</v>
      </c>
      <c r="D25" s="35" t="s">
        <v>1060</v>
      </c>
      <c r="E25">
        <v>250</v>
      </c>
      <c r="F25" s="36">
        <v>27920</v>
      </c>
      <c r="G25" s="38">
        <v>20740</v>
      </c>
      <c r="H25" s="38">
        <f t="shared" si="2"/>
        <v>-7180</v>
      </c>
      <c r="I25" s="35" t="s">
        <v>2920</v>
      </c>
      <c r="K25" s="39"/>
      <c r="L25" s="39">
        <v>43259</v>
      </c>
      <c r="M25" s="35" t="s">
        <v>345</v>
      </c>
      <c r="O25" s="22">
        <v>26.5</v>
      </c>
      <c r="P25" s="40"/>
      <c r="Q25" s="47">
        <v>21300</v>
      </c>
      <c r="R25" s="22">
        <f>72*E25</f>
        <v>18000</v>
      </c>
      <c r="S25" s="43">
        <f>-38*E25</f>
        <v>-9500</v>
      </c>
      <c r="T25" s="43">
        <f>X25*F25*0.0045</f>
        <v>4670.1854001928641</v>
      </c>
      <c r="U25" s="22">
        <f>E25*5</f>
        <v>1250</v>
      </c>
      <c r="W25" s="22">
        <v>0.3</v>
      </c>
      <c r="X25" s="22">
        <f>((O25*F25)+Q25+R25+S25+U25)/G25</f>
        <v>37.171166827386692</v>
      </c>
      <c r="Y25" s="22">
        <f>((O25*F25)+Q25+R25+S25+T25+U25)/G25+W25</f>
        <v>37.69634452267082</v>
      </c>
      <c r="Z25" s="3">
        <f>Y25*G25</f>
        <v>781822.18540019286</v>
      </c>
      <c r="AA25" s="44">
        <v>43272</v>
      </c>
      <c r="AB25" s="3"/>
      <c r="AC25" s="119"/>
    </row>
    <row r="26" spans="1:35" x14ac:dyDescent="0.25">
      <c r="A26" s="195"/>
      <c r="B26" s="34" t="s">
        <v>340</v>
      </c>
      <c r="C26" t="s">
        <v>341</v>
      </c>
      <c r="D26" s="35" t="s">
        <v>1047</v>
      </c>
      <c r="E26">
        <v>130</v>
      </c>
      <c r="F26" s="36">
        <v>12470</v>
      </c>
      <c r="G26" s="38">
        <v>11380</v>
      </c>
      <c r="H26" s="38">
        <f t="shared" si="2"/>
        <v>-1090</v>
      </c>
      <c r="I26" s="35" t="s">
        <v>2921</v>
      </c>
      <c r="J26" s="10">
        <v>129</v>
      </c>
      <c r="L26" s="39">
        <v>43259</v>
      </c>
      <c r="M26" s="35" t="s">
        <v>345</v>
      </c>
      <c r="O26" s="22">
        <v>26.5</v>
      </c>
      <c r="P26" s="40"/>
      <c r="Q26" s="111">
        <v>16900</v>
      </c>
      <c r="R26" s="22">
        <f>72*E26</f>
        <v>9360</v>
      </c>
      <c r="S26" s="43">
        <f>-38*E26</f>
        <v>-4940</v>
      </c>
      <c r="T26" s="43">
        <f>X26*F26*0.0045</f>
        <v>1737.8144881370824</v>
      </c>
      <c r="U26" s="22">
        <f>E26*5</f>
        <v>650</v>
      </c>
      <c r="W26" s="22">
        <v>0.3</v>
      </c>
      <c r="X26" s="22">
        <f>((O26*F26)+Q26+R26+S26+U26)/G26</f>
        <v>30.968804920913882</v>
      </c>
      <c r="Y26" s="22">
        <f>((O26*F26)+Q26+R26+S26+T26+U26)/G26+W26</f>
        <v>31.421512696672856</v>
      </c>
      <c r="Z26" s="3">
        <f>Y26*G26</f>
        <v>357576.81448813708</v>
      </c>
      <c r="AA26" s="44">
        <v>43272</v>
      </c>
      <c r="AB26" s="3">
        <v>35.47</v>
      </c>
      <c r="AC26" s="119" t="s">
        <v>2922</v>
      </c>
    </row>
    <row r="27" spans="1:35" x14ac:dyDescent="0.25">
      <c r="A27" s="195"/>
      <c r="B27" s="34" t="s">
        <v>340</v>
      </c>
      <c r="C27" t="s">
        <v>44</v>
      </c>
      <c r="D27" s="35" t="s">
        <v>2048</v>
      </c>
      <c r="E27">
        <v>238</v>
      </c>
      <c r="F27" s="36">
        <v>21810</v>
      </c>
      <c r="G27" s="38">
        <f>11870+9930</f>
        <v>21800</v>
      </c>
      <c r="H27" s="38">
        <f t="shared" si="2"/>
        <v>-10</v>
      </c>
      <c r="I27" s="35" t="s">
        <v>3022</v>
      </c>
      <c r="K27" s="39"/>
      <c r="L27" s="39">
        <v>43259</v>
      </c>
      <c r="M27" s="35" t="s">
        <v>345</v>
      </c>
      <c r="O27" s="22">
        <v>35</v>
      </c>
      <c r="P27" s="40"/>
      <c r="Q27" s="22"/>
      <c r="R27" s="22"/>
      <c r="S27" s="43"/>
      <c r="T27" s="43"/>
      <c r="U27" s="22"/>
      <c r="W27" s="22">
        <v>0.2</v>
      </c>
      <c r="X27" s="22">
        <f>((O27*F27)+Q27+R27+S27+U27)/G27</f>
        <v>35.01605504587156</v>
      </c>
      <c r="Y27" s="22">
        <f>((O27*F27)+Q27+R27+S27+T27+U27)/G27+W27</f>
        <v>35.216055045871563</v>
      </c>
      <c r="Z27" s="3">
        <f>Y27*G27</f>
        <v>767710.00000000012</v>
      </c>
      <c r="AA27" s="44">
        <v>43269</v>
      </c>
      <c r="AB27" s="3"/>
      <c r="AC27" s="119" t="s">
        <v>2923</v>
      </c>
      <c r="AE27" s="5"/>
      <c r="AF27" s="38">
        <f>F27</f>
        <v>21810</v>
      </c>
      <c r="AG27">
        <v>34.5</v>
      </c>
      <c r="AH27">
        <f>(O27-AG27)/2</f>
        <v>0.25</v>
      </c>
      <c r="AI27">
        <f>AH27*AF27</f>
        <v>5452.5</v>
      </c>
    </row>
    <row r="28" spans="1:35" x14ac:dyDescent="0.25">
      <c r="A28" s="195"/>
      <c r="B28" s="34" t="s">
        <v>2919</v>
      </c>
      <c r="C28" t="s">
        <v>2918</v>
      </c>
      <c r="D28" s="35" t="s">
        <v>1065</v>
      </c>
      <c r="E28" t="s">
        <v>2080</v>
      </c>
      <c r="F28" s="36">
        <v>4133.6099999999997</v>
      </c>
      <c r="G28" s="38">
        <v>4134.21</v>
      </c>
      <c r="H28" s="38">
        <f t="shared" si="2"/>
        <v>0.6000000000003638</v>
      </c>
      <c r="I28" s="35" t="s">
        <v>2988</v>
      </c>
      <c r="L28" s="39">
        <v>43260</v>
      </c>
      <c r="M28" s="35" t="s">
        <v>348</v>
      </c>
      <c r="O28" s="22">
        <v>35.75</v>
      </c>
      <c r="W28" s="22"/>
      <c r="X28" s="22">
        <f t="shared" ref="X28" si="7">IF(O28&gt;0,O28,((P28*2.2046*S28)+(Q28+R28)/G28)+V28)</f>
        <v>35.75</v>
      </c>
      <c r="Y28" s="22">
        <f t="shared" ref="Y28" si="8">IF(O28&gt;0,O28,((P28*2.2046*S28)+(Q28+R28+T28)/G28)+V28+W28)</f>
        <v>35.75</v>
      </c>
      <c r="Z28" s="3">
        <f t="shared" ref="Z28" si="9">Y28*F28</f>
        <v>147776.5575</v>
      </c>
      <c r="AA28" s="44">
        <v>43205</v>
      </c>
    </row>
    <row r="29" spans="1:35" x14ac:dyDescent="0.25">
      <c r="A29" s="195"/>
      <c r="B29" s="34" t="s">
        <v>328</v>
      </c>
      <c r="C29" t="s">
        <v>336</v>
      </c>
      <c r="D29" s="35" t="s">
        <v>336</v>
      </c>
      <c r="E29" t="s">
        <v>1021</v>
      </c>
      <c r="F29" s="36">
        <f>41300*0.4536</f>
        <v>18733.68</v>
      </c>
      <c r="G29" s="38">
        <v>18685.87</v>
      </c>
      <c r="H29" s="38">
        <f t="shared" si="2"/>
        <v>-47.81000000000131</v>
      </c>
      <c r="I29" s="35" t="s">
        <v>2838</v>
      </c>
      <c r="J29" s="5" t="s">
        <v>1022</v>
      </c>
      <c r="K29" s="39">
        <v>43259</v>
      </c>
      <c r="L29" s="39">
        <v>43260</v>
      </c>
      <c r="M29" s="35" t="s">
        <v>348</v>
      </c>
      <c r="N29" s="35" t="s">
        <v>2840</v>
      </c>
      <c r="O29" s="22"/>
      <c r="P29" s="40">
        <f>0.6397+0.095</f>
        <v>0.73470000000000002</v>
      </c>
      <c r="Q29" s="111">
        <v>26000</v>
      </c>
      <c r="R29" s="22">
        <v>71208</v>
      </c>
      <c r="S29" s="45">
        <v>20.02</v>
      </c>
      <c r="T29" s="43">
        <f t="shared" ref="T29:T30" si="10">X29*F29*0.005</f>
        <v>3535.8890345914042</v>
      </c>
      <c r="V29" s="22">
        <v>0.12</v>
      </c>
      <c r="W29" s="22">
        <v>0.3</v>
      </c>
      <c r="X29" s="22">
        <f t="shared" ref="X29:X30" si="11">IF(O29&gt;0,O29,((P29*2.2046*S29)+(Q29+R29)/G29)+V29)</f>
        <v>37.749006437511518</v>
      </c>
      <c r="Y29" s="22">
        <f t="shared" ref="Y29:Y30" si="12">IF(O29&gt;0,O29,((P29*2.2046*S29)+(Q29+R29+T29)/G29)+V29+W29)</f>
        <v>38.238234396102229</v>
      </c>
      <c r="Z29" s="3">
        <f t="shared" ref="Z29:Z30" si="13">Y29*F29</f>
        <v>716342.84694157238</v>
      </c>
      <c r="AA29" s="44">
        <v>43255</v>
      </c>
      <c r="AB29" s="3">
        <v>40</v>
      </c>
      <c r="AC29" s="119"/>
    </row>
    <row r="30" spans="1:35" x14ac:dyDescent="0.25">
      <c r="A30" s="195"/>
      <c r="B30" s="34" t="s">
        <v>328</v>
      </c>
      <c r="C30" t="s">
        <v>336</v>
      </c>
      <c r="D30" s="35" t="s">
        <v>336</v>
      </c>
      <c r="E30" s="75" t="s">
        <v>384</v>
      </c>
      <c r="F30" s="36">
        <v>18500</v>
      </c>
      <c r="G30" s="38">
        <v>18500</v>
      </c>
      <c r="H30" s="38">
        <f t="shared" si="2"/>
        <v>0</v>
      </c>
      <c r="I30" s="35" t="s">
        <v>2839</v>
      </c>
      <c r="J30" s="75" t="s">
        <v>384</v>
      </c>
      <c r="K30" s="39">
        <v>43259</v>
      </c>
      <c r="L30" s="39">
        <v>43260</v>
      </c>
      <c r="M30" s="35" t="s">
        <v>348</v>
      </c>
      <c r="N30" s="35" t="s">
        <v>2840</v>
      </c>
      <c r="O30" s="22"/>
      <c r="P30" s="40">
        <f>0.6397+0.11</f>
        <v>0.74970000000000003</v>
      </c>
      <c r="Q30" s="111">
        <v>26000</v>
      </c>
      <c r="R30" s="22">
        <f t="shared" ref="R30" si="14">10500+(F30/0.4536*S30*P30*0.1)</f>
        <v>71713.930555555562</v>
      </c>
      <c r="S30" s="45">
        <v>20.02</v>
      </c>
      <c r="T30" s="43">
        <f t="shared" si="10"/>
        <v>3560.3862587247772</v>
      </c>
      <c r="V30" s="22">
        <v>0.12</v>
      </c>
      <c r="W30" s="22">
        <v>0.3</v>
      </c>
      <c r="X30" s="22">
        <f t="shared" si="11"/>
        <v>38.490662256484079</v>
      </c>
      <c r="Y30" s="22">
        <f t="shared" si="12"/>
        <v>38.983115567766497</v>
      </c>
      <c r="Z30" s="3">
        <f t="shared" si="13"/>
        <v>721187.63800368016</v>
      </c>
      <c r="AA30" s="75" t="s">
        <v>384</v>
      </c>
      <c r="AB30" s="3"/>
      <c r="AC30" s="119" t="s">
        <v>2889</v>
      </c>
    </row>
    <row r="31" spans="1:35" ht="15.75" thickBot="1" x14ac:dyDescent="0.3">
      <c r="A31" s="196"/>
      <c r="B31" s="49"/>
      <c r="C31" s="23"/>
      <c r="D31" s="23"/>
      <c r="E31" s="23"/>
      <c r="F31" s="50"/>
      <c r="G31" s="50"/>
      <c r="H31" s="50"/>
      <c r="I31" s="26"/>
      <c r="J31" s="23"/>
      <c r="K31" s="27"/>
      <c r="L31" s="27"/>
      <c r="M31" s="23"/>
      <c r="N31" s="23"/>
      <c r="O31" s="28"/>
      <c r="P31" s="29"/>
      <c r="Q31" s="28"/>
      <c r="R31" s="28"/>
      <c r="S31" s="28"/>
      <c r="T31" s="28"/>
      <c r="U31" s="28"/>
      <c r="V31" s="28"/>
      <c r="W31" s="28"/>
      <c r="X31" s="28"/>
      <c r="Y31" s="28"/>
      <c r="Z31" s="32"/>
      <c r="AA31" s="51"/>
      <c r="AB31" s="3"/>
      <c r="AC31" s="119"/>
    </row>
    <row r="32" spans="1:35" ht="15.75" thickTop="1" x14ac:dyDescent="0.25">
      <c r="A32" s="133"/>
      <c r="B32" s="53" t="s">
        <v>340</v>
      </c>
      <c r="C32" s="53" t="s">
        <v>341</v>
      </c>
      <c r="D32" s="54" t="s">
        <v>1060</v>
      </c>
      <c r="E32" s="53">
        <v>250</v>
      </c>
      <c r="F32" s="55">
        <v>27800</v>
      </c>
      <c r="G32" s="56">
        <f>16100+6270</f>
        <v>22370</v>
      </c>
      <c r="H32" s="121">
        <f t="shared" ref="H32:H50" si="15">G32-F32</f>
        <v>-5430</v>
      </c>
      <c r="I32" s="57" t="s">
        <v>2949</v>
      </c>
      <c r="J32" s="53"/>
      <c r="K32" s="58"/>
      <c r="L32" s="58">
        <v>43261</v>
      </c>
      <c r="M32" s="54" t="s">
        <v>349</v>
      </c>
      <c r="N32" s="53"/>
      <c r="O32" s="59">
        <v>26.5</v>
      </c>
      <c r="P32" s="60"/>
      <c r="Q32" s="61">
        <v>21300</v>
      </c>
      <c r="R32" s="22">
        <f>72*E32</f>
        <v>18000</v>
      </c>
      <c r="S32" s="59">
        <f>-38*E32</f>
        <v>-9500</v>
      </c>
      <c r="T32" s="62">
        <f>X32*F32*0.0045</f>
        <v>4293.4968708091192</v>
      </c>
      <c r="U32" s="59">
        <f>E32*5</f>
        <v>1250</v>
      </c>
      <c r="V32" s="53"/>
      <c r="W32" s="59">
        <v>0.3</v>
      </c>
      <c r="X32" s="59">
        <f>((O32*F32)+Q32+R32+S32+U32)/G32</f>
        <v>34.32051855163165</v>
      </c>
      <c r="Y32" s="63">
        <f>((O32*F32)+Q32+R32+S32+T32+U32)/G32+W32</f>
        <v>34.81244956954891</v>
      </c>
      <c r="Z32" s="63">
        <f>Y32*G32</f>
        <v>778754.49687080912</v>
      </c>
      <c r="AA32" s="64">
        <v>43276</v>
      </c>
      <c r="AB32" s="3"/>
      <c r="AC32" s="3" t="s">
        <v>2952</v>
      </c>
    </row>
    <row r="33" spans="1:35" x14ac:dyDescent="0.25">
      <c r="A33" s="134"/>
      <c r="B33" s="34" t="s">
        <v>340</v>
      </c>
      <c r="C33" t="s">
        <v>341</v>
      </c>
      <c r="D33" s="35" t="s">
        <v>2881</v>
      </c>
      <c r="E33">
        <v>250</v>
      </c>
      <c r="F33" s="36">
        <v>26640</v>
      </c>
      <c r="G33" s="38">
        <f>15190+5930</f>
        <v>21120</v>
      </c>
      <c r="H33" s="38">
        <f t="shared" si="15"/>
        <v>-5520</v>
      </c>
      <c r="I33" s="35" t="s">
        <v>2950</v>
      </c>
      <c r="K33" s="39"/>
      <c r="L33" s="39">
        <v>43262</v>
      </c>
      <c r="M33" s="35" t="s">
        <v>350</v>
      </c>
      <c r="O33" s="22">
        <v>26.8</v>
      </c>
      <c r="P33" s="40"/>
      <c r="Q33" s="47">
        <v>21300</v>
      </c>
      <c r="R33" s="22">
        <f>72*E33</f>
        <v>18000</v>
      </c>
      <c r="S33" s="43">
        <f>-38*E33</f>
        <v>-9500</v>
      </c>
      <c r="T33" s="43">
        <f>X33*F33*0.0045</f>
        <v>4228.732943181818</v>
      </c>
      <c r="U33" s="22">
        <f>E33*5</f>
        <v>1250</v>
      </c>
      <c r="W33" s="22">
        <v>0.3</v>
      </c>
      <c r="X33" s="22">
        <f>((O33*F33)+Q33+R33+S33+U33)/G33</f>
        <v>35.274715909090908</v>
      </c>
      <c r="Y33" s="22">
        <f>((O33*F33)+Q33+R33+S33+T33+U33)/G33+W33</f>
        <v>35.774940006779438</v>
      </c>
      <c r="Z33" s="3">
        <f>Y33*G33</f>
        <v>755566.73294318176</v>
      </c>
      <c r="AA33" s="44">
        <v>43276</v>
      </c>
      <c r="AB33" s="3"/>
      <c r="AC33" s="119" t="s">
        <v>2953</v>
      </c>
    </row>
    <row r="34" spans="1:35" x14ac:dyDescent="0.25">
      <c r="A34" s="134"/>
      <c r="B34" s="34" t="s">
        <v>1501</v>
      </c>
      <c r="C34" t="s">
        <v>343</v>
      </c>
      <c r="D34" s="35" t="s">
        <v>1106</v>
      </c>
      <c r="E34" t="s">
        <v>1652</v>
      </c>
      <c r="F34" s="36">
        <v>3660</v>
      </c>
      <c r="G34" s="38">
        <v>3660</v>
      </c>
      <c r="H34" s="38">
        <f t="shared" si="15"/>
        <v>0</v>
      </c>
      <c r="I34" s="35" t="s">
        <v>3119</v>
      </c>
      <c r="K34" s="39"/>
      <c r="L34" s="39">
        <v>43262</v>
      </c>
      <c r="M34" s="35" t="s">
        <v>350</v>
      </c>
      <c r="O34" s="22">
        <v>19.5</v>
      </c>
      <c r="P34" s="40"/>
      <c r="Q34" s="22"/>
      <c r="R34" s="22"/>
      <c r="S34" s="43"/>
      <c r="T34" s="43"/>
      <c r="U34" s="22"/>
      <c r="W34" s="22"/>
      <c r="X34" s="22">
        <f>IF(O34&gt;0,O34,((P34*2.2046*S34)+(Q34+R34)/G34)+V34)</f>
        <v>19.5</v>
      </c>
      <c r="Y34" s="22">
        <f>IF(O34&gt;0,O34,((P34*2.2046*S34)+(Q34+R34+T34)/G34)+V34+W34)</f>
        <v>19.5</v>
      </c>
      <c r="Z34" s="3">
        <f>Y34*F34</f>
        <v>71370</v>
      </c>
      <c r="AA34" s="44">
        <v>43269</v>
      </c>
      <c r="AB34" s="3"/>
      <c r="AC34" s="119"/>
    </row>
    <row r="35" spans="1:35" x14ac:dyDescent="0.25">
      <c r="A35" s="134"/>
      <c r="B35" s="34" t="s">
        <v>328</v>
      </c>
      <c r="C35" t="s">
        <v>343</v>
      </c>
      <c r="D35" s="35" t="s">
        <v>343</v>
      </c>
      <c r="E35" t="s">
        <v>1040</v>
      </c>
      <c r="F35" s="36">
        <f>42316*0.4536</f>
        <v>19194.5376</v>
      </c>
      <c r="G35" s="38">
        <v>19134.349999999999</v>
      </c>
      <c r="H35" s="38">
        <f>G35-F35</f>
        <v>-60.187600000001112</v>
      </c>
      <c r="I35" s="35" t="s">
        <v>2837</v>
      </c>
      <c r="J35" s="5" t="s">
        <v>1022</v>
      </c>
      <c r="K35" s="39">
        <v>43259</v>
      </c>
      <c r="L35" s="39">
        <v>43263</v>
      </c>
      <c r="M35" s="35" t="s">
        <v>355</v>
      </c>
      <c r="N35" s="35" t="s">
        <v>2841</v>
      </c>
      <c r="O35" s="22"/>
      <c r="P35" s="40">
        <f>0.6397+0.105</f>
        <v>0.74470000000000003</v>
      </c>
      <c r="Q35" s="111">
        <v>26000</v>
      </c>
      <c r="R35" s="22">
        <v>78398</v>
      </c>
      <c r="S35" s="45">
        <v>20.38</v>
      </c>
      <c r="T35" s="43">
        <f>X35*F35*0.005</f>
        <v>3746.3164188040737</v>
      </c>
      <c r="V35" s="22">
        <v>0.12</v>
      </c>
      <c r="W35" s="22">
        <v>0.3</v>
      </c>
      <c r="X35" s="22">
        <f>IF(O35&gt;0,O35,((P35*2.2046*S35)+(Q35+R35)/G35)+V35)</f>
        <v>39.035234886867748</v>
      </c>
      <c r="Y35" s="22">
        <f>IF(O35&gt;0,O35,((P35*2.2046*S35)+(Q35+R35+T35)/G35)+V35+W35)</f>
        <v>39.531024993080081</v>
      </c>
      <c r="Z35" s="3">
        <f>Y35*F35</f>
        <v>758779.74559621536</v>
      </c>
      <c r="AA35" s="44">
        <v>43256</v>
      </c>
      <c r="AB35" s="3">
        <v>40</v>
      </c>
      <c r="AC35" s="119"/>
    </row>
    <row r="36" spans="1:35" x14ac:dyDescent="0.25">
      <c r="A36" s="134"/>
      <c r="B36" s="34" t="s">
        <v>328</v>
      </c>
      <c r="C36" t="s">
        <v>329</v>
      </c>
      <c r="D36" s="35" t="s">
        <v>329</v>
      </c>
      <c r="E36" t="s">
        <v>1021</v>
      </c>
      <c r="F36" s="36">
        <f>41574*0.4536</f>
        <v>18857.966400000001</v>
      </c>
      <c r="G36" s="38">
        <v>18801.330000000002</v>
      </c>
      <c r="H36" s="38">
        <f t="shared" si="15"/>
        <v>-56.636399999999412</v>
      </c>
      <c r="I36" s="35" t="s">
        <v>2930</v>
      </c>
      <c r="J36" s="5" t="s">
        <v>1022</v>
      </c>
      <c r="K36" s="39">
        <v>43262</v>
      </c>
      <c r="L36" s="39">
        <v>43263</v>
      </c>
      <c r="M36" s="35" t="s">
        <v>355</v>
      </c>
      <c r="N36" s="35" t="s">
        <v>2909</v>
      </c>
      <c r="O36" s="22"/>
      <c r="P36" s="40">
        <f>0.613+0.095</f>
        <v>0.70799999999999996</v>
      </c>
      <c r="Q36" s="111">
        <v>26000</v>
      </c>
      <c r="R36" s="22">
        <v>73398.8</v>
      </c>
      <c r="S36" s="45">
        <v>20.568999999999999</v>
      </c>
      <c r="T36" s="43">
        <f t="shared" ref="T36:T41" si="16">X36*F36*0.005</f>
        <v>3537.0058089026211</v>
      </c>
      <c r="V36" s="22">
        <v>0.12</v>
      </c>
      <c r="W36" s="22">
        <v>0.3</v>
      </c>
      <c r="X36" s="22">
        <f>IF(O36&gt;0,O36,((P36*2.2046*S36)+(Q36+R36)/G36)+V36)</f>
        <v>37.512059719256058</v>
      </c>
      <c r="Y36" s="22">
        <f>IF(O36&gt;0,O36,((P36*2.2046*S36)+(Q36+R36+T36)/G36)+V36+W36)</f>
        <v>38.000185017248413</v>
      </c>
      <c r="Z36" s="3">
        <f>Y36*F36</f>
        <v>716606.21224905399</v>
      </c>
      <c r="AA36" s="44">
        <v>43273</v>
      </c>
      <c r="AB36" s="3"/>
      <c r="AC36" s="119"/>
    </row>
    <row r="37" spans="1:35" x14ac:dyDescent="0.25">
      <c r="A37" s="134"/>
      <c r="B37" s="34" t="s">
        <v>340</v>
      </c>
      <c r="C37" t="s">
        <v>341</v>
      </c>
      <c r="D37" s="35" t="s">
        <v>2829</v>
      </c>
      <c r="E37">
        <v>252</v>
      </c>
      <c r="F37" s="36">
        <v>28140</v>
      </c>
      <c r="G37" s="38">
        <f>16190+6260</f>
        <v>22450</v>
      </c>
      <c r="H37" s="38">
        <f t="shared" si="15"/>
        <v>-5690</v>
      </c>
      <c r="I37" s="35" t="s">
        <v>2974</v>
      </c>
      <c r="K37" s="39"/>
      <c r="L37" s="39">
        <v>43263</v>
      </c>
      <c r="M37" s="35" t="s">
        <v>355</v>
      </c>
      <c r="O37" s="22">
        <v>26.8</v>
      </c>
      <c r="P37" s="40"/>
      <c r="Q37" s="47">
        <v>21300</v>
      </c>
      <c r="R37" s="22">
        <f>72*E37</f>
        <v>18144</v>
      </c>
      <c r="S37" s="43">
        <f>-38*E37</f>
        <v>-9576</v>
      </c>
      <c r="T37" s="43">
        <f t="shared" si="16"/>
        <v>4921.5543875278399</v>
      </c>
      <c r="U37" s="22">
        <f>E37*5</f>
        <v>1260</v>
      </c>
      <c r="W37" s="22">
        <v>0.3</v>
      </c>
      <c r="X37" s="22">
        <f>((O37*F37)+Q37+R37+S37+U37)/G37</f>
        <v>34.979064587973276</v>
      </c>
      <c r="Y37" s="22">
        <f>((O37*F37)+Q37+R37+S37+T37+U37)/G37+W37</f>
        <v>35.498287500558028</v>
      </c>
      <c r="Z37" s="3">
        <f>Y37*G37</f>
        <v>796936.55438752775</v>
      </c>
      <c r="AA37" s="44">
        <v>43273</v>
      </c>
      <c r="AB37" s="3"/>
      <c r="AC37" s="119" t="s">
        <v>2999</v>
      </c>
    </row>
    <row r="38" spans="1:35" x14ac:dyDescent="0.25">
      <c r="A38" s="134"/>
      <c r="B38" s="34" t="s">
        <v>328</v>
      </c>
      <c r="C38" t="s">
        <v>329</v>
      </c>
      <c r="D38" s="35" t="s">
        <v>3166</v>
      </c>
      <c r="E38" t="s">
        <v>1021</v>
      </c>
      <c r="F38" s="36">
        <v>18305.82</v>
      </c>
      <c r="G38" s="38">
        <v>18215.77</v>
      </c>
      <c r="H38" s="38">
        <f t="shared" si="15"/>
        <v>-90.049999999999272</v>
      </c>
      <c r="I38" t="s">
        <v>2927</v>
      </c>
      <c r="J38" s="5" t="s">
        <v>1023</v>
      </c>
      <c r="K38" s="39">
        <v>43263</v>
      </c>
      <c r="L38" s="39">
        <v>43264</v>
      </c>
      <c r="M38" s="35" t="s">
        <v>331</v>
      </c>
      <c r="O38" s="22">
        <v>37</v>
      </c>
      <c r="P38" s="40"/>
      <c r="Q38" s="111">
        <v>19000</v>
      </c>
      <c r="R38" s="22"/>
      <c r="S38" s="43"/>
      <c r="T38" s="43">
        <f>X38*F38*0.005</f>
        <v>3386.5767000000001</v>
      </c>
      <c r="U38" s="22"/>
      <c r="V38" s="22">
        <v>0.12</v>
      </c>
      <c r="W38" s="22">
        <v>0.3</v>
      </c>
      <c r="X38" s="22">
        <f>IF(O38&gt;0,O38,((P38*2.2046*S38)+(Q38+R38)/G38)+V38)</f>
        <v>37</v>
      </c>
      <c r="Y38" s="22">
        <f>(O38+(Q38+R38+T38)/G38)+V38+W38</f>
        <v>38.648966807332322</v>
      </c>
      <c r="Z38" s="3">
        <f>Y38*F38</f>
        <v>707501.02956100018</v>
      </c>
      <c r="AA38" s="44">
        <v>43264</v>
      </c>
      <c r="AB38" s="3"/>
      <c r="AC38" s="119"/>
    </row>
    <row r="39" spans="1:35" x14ac:dyDescent="0.25">
      <c r="A39" s="134"/>
      <c r="B39" s="34" t="s">
        <v>340</v>
      </c>
      <c r="C39" t="s">
        <v>44</v>
      </c>
      <c r="D39" s="35" t="s">
        <v>2048</v>
      </c>
      <c r="E39">
        <v>249</v>
      </c>
      <c r="F39" s="36">
        <v>21680</v>
      </c>
      <c r="G39" s="38">
        <f>15580+6060</f>
        <v>21640</v>
      </c>
      <c r="H39" s="38">
        <f t="shared" si="15"/>
        <v>-40</v>
      </c>
      <c r="I39" s="35" t="s">
        <v>3034</v>
      </c>
      <c r="K39" s="39"/>
      <c r="L39" s="39">
        <v>43264</v>
      </c>
      <c r="M39" s="35" t="s">
        <v>331</v>
      </c>
      <c r="O39" s="22">
        <v>35.6</v>
      </c>
      <c r="P39" s="40"/>
      <c r="Q39" s="22"/>
      <c r="R39" s="22"/>
      <c r="S39" s="43"/>
      <c r="T39" s="43"/>
      <c r="U39" s="22"/>
      <c r="W39" s="22">
        <v>0.2</v>
      </c>
      <c r="X39" s="22">
        <f>((O39*F39)+Q39+R39+S39+U39)/G39</f>
        <v>35.665804066543437</v>
      </c>
      <c r="Y39" s="22">
        <f>((O39*F39)+Q39+R39+S39+T39+U39)/G39+W39</f>
        <v>35.86580406654344</v>
      </c>
      <c r="Z39" s="3">
        <f>Y39*G39</f>
        <v>776136</v>
      </c>
      <c r="AA39" s="44">
        <v>43276</v>
      </c>
      <c r="AB39" s="3"/>
      <c r="AC39" s="119" t="s">
        <v>3007</v>
      </c>
      <c r="AE39" s="5"/>
      <c r="AF39" s="38">
        <f>F39</f>
        <v>21680</v>
      </c>
      <c r="AG39">
        <v>35.200000000000003</v>
      </c>
      <c r="AH39">
        <f>(O39-AG39)/2</f>
        <v>0.19999999999999929</v>
      </c>
      <c r="AI39">
        <f>AH39*AF39</f>
        <v>4335.9999999999845</v>
      </c>
    </row>
    <row r="40" spans="1:35" x14ac:dyDescent="0.25">
      <c r="A40" s="134"/>
      <c r="B40" s="34" t="s">
        <v>2971</v>
      </c>
      <c r="C40" t="s">
        <v>2972</v>
      </c>
      <c r="D40" s="35" t="s">
        <v>2973</v>
      </c>
      <c r="E40">
        <v>40</v>
      </c>
      <c r="F40" s="36">
        <v>7279.8</v>
      </c>
      <c r="G40" s="38">
        <v>7250</v>
      </c>
      <c r="H40" s="38">
        <f t="shared" si="15"/>
        <v>-29.800000000000182</v>
      </c>
      <c r="I40" s="35" t="s">
        <v>2969</v>
      </c>
      <c r="K40" s="39"/>
      <c r="L40" s="39">
        <v>43264</v>
      </c>
      <c r="M40" s="35" t="s">
        <v>331</v>
      </c>
      <c r="O40" s="22">
        <v>70</v>
      </c>
      <c r="P40" s="40"/>
      <c r="Q40" s="22"/>
      <c r="R40" s="22">
        <v>13000</v>
      </c>
      <c r="S40" s="43"/>
      <c r="T40" s="43"/>
      <c r="U40" s="22"/>
      <c r="W40" s="22"/>
      <c r="X40" s="22">
        <f>((O40*F40)+Q40+R40+S40+U40)/G40</f>
        <v>72.080827586206894</v>
      </c>
      <c r="Y40" s="22">
        <f>((O40*F40)+Q40+R40+S40+T40+U40)/G40+W40</f>
        <v>72.080827586206894</v>
      </c>
      <c r="Z40" s="3">
        <f>Y40*G40</f>
        <v>522586</v>
      </c>
      <c r="AA40" s="44">
        <v>43263</v>
      </c>
      <c r="AB40" s="3"/>
      <c r="AC40" s="119"/>
      <c r="AF40" s="38"/>
    </row>
    <row r="41" spans="1:35" x14ac:dyDescent="0.25">
      <c r="A41" s="134"/>
      <c r="B41" s="34" t="s">
        <v>328</v>
      </c>
      <c r="C41" s="35" t="s">
        <v>343</v>
      </c>
      <c r="D41" s="35" t="s">
        <v>343</v>
      </c>
      <c r="E41" t="s">
        <v>1040</v>
      </c>
      <c r="F41" s="36">
        <f>42022*0.4536</f>
        <v>19061.179199999999</v>
      </c>
      <c r="G41" s="38">
        <v>19020.64</v>
      </c>
      <c r="H41" s="38">
        <f t="shared" si="15"/>
        <v>-40.539199999999255</v>
      </c>
      <c r="I41" t="s">
        <v>2928</v>
      </c>
      <c r="J41" s="5" t="s">
        <v>1089</v>
      </c>
      <c r="K41" s="39">
        <v>43264</v>
      </c>
      <c r="L41" s="39">
        <v>43265</v>
      </c>
      <c r="M41" s="35" t="s">
        <v>342</v>
      </c>
      <c r="N41" s="35" t="s">
        <v>2910</v>
      </c>
      <c r="O41" s="22"/>
      <c r="P41" s="40">
        <f>0.6173+0.105</f>
        <v>0.72229999999999994</v>
      </c>
      <c r="Q41" s="111">
        <v>26000</v>
      </c>
      <c r="R41" s="22">
        <v>71712</v>
      </c>
      <c r="S41" s="45">
        <v>20.323</v>
      </c>
      <c r="T41" s="43">
        <f t="shared" si="16"/>
        <v>3585.3265536661866</v>
      </c>
      <c r="V41" s="22">
        <v>0.12</v>
      </c>
      <c r="W41" s="22">
        <v>0.3</v>
      </c>
      <c r="X41" s="22">
        <f>IF(O41&gt;0,O41,((P41*2.2046*S41)+(Q41+R41)/G41)+V41)</f>
        <v>37.619147441478191</v>
      </c>
      <c r="Y41" s="22">
        <f>IF(O41&gt;0,O41,((P41*2.2046*S41)+(Q41+R41+T41)/G41)+V41+W41)</f>
        <v>38.107644072173379</v>
      </c>
      <c r="Z41" s="3">
        <f>Y41*F41</f>
        <v>726376.63254951441</v>
      </c>
      <c r="AA41" s="44">
        <v>43258</v>
      </c>
      <c r="AB41" s="3"/>
      <c r="AC41" s="119"/>
      <c r="AF41" s="38"/>
    </row>
    <row r="42" spans="1:35" x14ac:dyDescent="0.25">
      <c r="A42" s="134"/>
      <c r="B42" s="34" t="s">
        <v>340</v>
      </c>
      <c r="C42" t="s">
        <v>341</v>
      </c>
      <c r="D42" s="35" t="s">
        <v>1048</v>
      </c>
      <c r="E42">
        <v>249</v>
      </c>
      <c r="F42" s="36">
        <v>28690</v>
      </c>
      <c r="G42" s="38">
        <v>22590</v>
      </c>
      <c r="H42" s="38">
        <f t="shared" si="15"/>
        <v>-6100</v>
      </c>
      <c r="I42" t="s">
        <v>3000</v>
      </c>
      <c r="J42" s="10">
        <v>250</v>
      </c>
      <c r="K42" s="39"/>
      <c r="L42" s="39">
        <v>43265</v>
      </c>
      <c r="M42" s="35" t="s">
        <v>342</v>
      </c>
      <c r="O42" s="22">
        <v>27</v>
      </c>
      <c r="P42" s="40"/>
      <c r="Q42" s="47">
        <v>21300</v>
      </c>
      <c r="R42" s="22">
        <f>72*E42</f>
        <v>17928</v>
      </c>
      <c r="S42" s="43">
        <f>-38*E42</f>
        <v>-9462</v>
      </c>
      <c r="T42" s="43">
        <f>X42*F42*0.0045</f>
        <v>4604.3506553784855</v>
      </c>
      <c r="U42" s="22">
        <f>E42*5</f>
        <v>1245</v>
      </c>
      <c r="W42" s="22">
        <v>0.3</v>
      </c>
      <c r="X42" s="22">
        <f>((O42*F42)+Q42+R42+S42+U42)/G42</f>
        <v>35.663612217795482</v>
      </c>
      <c r="Y42" s="22">
        <f>((O42*F42)+Q42+R42+S42+T42+U42)/G42+W42</f>
        <v>36.167434734633844</v>
      </c>
      <c r="Z42" s="3">
        <f>Y42*G42</f>
        <v>817022.35065537854</v>
      </c>
      <c r="AA42" s="44">
        <v>43278</v>
      </c>
      <c r="AB42" s="3"/>
      <c r="AC42" s="119"/>
    </row>
    <row r="43" spans="1:35" x14ac:dyDescent="0.25">
      <c r="A43" s="134"/>
      <c r="B43" s="34" t="s">
        <v>340</v>
      </c>
      <c r="C43" t="s">
        <v>341</v>
      </c>
      <c r="D43" s="35" t="s">
        <v>2829</v>
      </c>
      <c r="E43">
        <v>130</v>
      </c>
      <c r="F43" s="36">
        <v>14370</v>
      </c>
      <c r="G43" s="38">
        <v>11940</v>
      </c>
      <c r="H43" s="38">
        <f t="shared" si="15"/>
        <v>-2430</v>
      </c>
      <c r="I43" t="s">
        <v>3001</v>
      </c>
      <c r="J43" s="10">
        <v>129</v>
      </c>
      <c r="K43" s="39"/>
      <c r="L43" s="39">
        <v>43265</v>
      </c>
      <c r="M43" s="35" t="s">
        <v>342</v>
      </c>
      <c r="O43" s="22">
        <v>27</v>
      </c>
      <c r="P43" s="40"/>
      <c r="Q43" s="111">
        <v>16900</v>
      </c>
      <c r="R43" s="22">
        <f>72*E43</f>
        <v>9360</v>
      </c>
      <c r="S43" s="43">
        <f>-38*E43</f>
        <v>-4940</v>
      </c>
      <c r="T43" s="43">
        <f>X43*F43*0.0045</f>
        <v>2220.2733165829145</v>
      </c>
      <c r="U43" s="22">
        <f>E43*5</f>
        <v>650</v>
      </c>
      <c r="W43" s="22">
        <v>0.3</v>
      </c>
      <c r="X43" s="22">
        <f>((O43*F43)+Q43+R43+S43+U43)/G43</f>
        <v>34.335008375209384</v>
      </c>
      <c r="Y43" s="22">
        <f>((O43*F43)+Q43+R43+S43+T43+U43)/G43+W43</f>
        <v>34.820960914286673</v>
      </c>
      <c r="Z43" s="3">
        <f>Y43*G43</f>
        <v>415762.2733165829</v>
      </c>
      <c r="AA43" s="44">
        <v>43278</v>
      </c>
      <c r="AB43" s="3"/>
      <c r="AC43" s="119" t="s">
        <v>3008</v>
      </c>
    </row>
    <row r="44" spans="1:35" x14ac:dyDescent="0.25">
      <c r="A44" s="134"/>
      <c r="B44" s="34" t="s">
        <v>1501</v>
      </c>
      <c r="C44" t="s">
        <v>343</v>
      </c>
      <c r="D44" s="35" t="s">
        <v>1106</v>
      </c>
      <c r="E44" t="s">
        <v>1652</v>
      </c>
      <c r="F44" s="36">
        <v>3611.4</v>
      </c>
      <c r="G44" s="38">
        <v>3611.4</v>
      </c>
      <c r="H44" s="38">
        <f t="shared" si="15"/>
        <v>0</v>
      </c>
      <c r="I44" t="s">
        <v>3123</v>
      </c>
      <c r="K44" s="39"/>
      <c r="L44" s="39">
        <v>43265</v>
      </c>
      <c r="M44" s="35" t="s">
        <v>342</v>
      </c>
      <c r="O44" s="22">
        <v>19.5</v>
      </c>
      <c r="P44" s="40"/>
      <c r="Q44" s="22"/>
      <c r="R44" s="22"/>
      <c r="S44" s="43"/>
      <c r="T44" s="43"/>
      <c r="U44" s="22"/>
      <c r="W44" s="22"/>
      <c r="X44" s="22">
        <f>IF(O44&gt;0,O44,((P44*2.2046*S44)+(Q44+R44)/G44)+V44)</f>
        <v>19.5</v>
      </c>
      <c r="Y44" s="22">
        <f>IF(O44&gt;0,O44,((P44*2.2046*S44)+(Q44+R44+T44)/G44)+V44+W44)</f>
        <v>19.5</v>
      </c>
      <c r="Z44" s="3">
        <f>Y44*F44</f>
        <v>70422.3</v>
      </c>
      <c r="AA44" s="44">
        <v>43272</v>
      </c>
      <c r="AB44" s="3"/>
      <c r="AC44" s="119"/>
    </row>
    <row r="45" spans="1:35" x14ac:dyDescent="0.25">
      <c r="A45" s="134"/>
      <c r="B45" s="34" t="s">
        <v>328</v>
      </c>
      <c r="C45" s="35" t="s">
        <v>329</v>
      </c>
      <c r="D45" s="35" t="s">
        <v>329</v>
      </c>
      <c r="E45" t="s">
        <v>1021</v>
      </c>
      <c r="F45" s="36">
        <f>41904*0.4536</f>
        <v>19007.654399999999</v>
      </c>
      <c r="G45" s="38">
        <v>18918.07</v>
      </c>
      <c r="H45" s="38">
        <f t="shared" si="15"/>
        <v>-89.584399999999732</v>
      </c>
      <c r="I45" t="s">
        <v>2929</v>
      </c>
      <c r="J45" s="5" t="s">
        <v>1022</v>
      </c>
      <c r="K45" s="39">
        <v>43265</v>
      </c>
      <c r="L45" s="39">
        <v>43266</v>
      </c>
      <c r="M45" s="35" t="s">
        <v>345</v>
      </c>
      <c r="N45" s="35" t="s">
        <v>2911</v>
      </c>
      <c r="O45" s="22"/>
      <c r="P45" s="40">
        <f>0.6173+0.095</f>
        <v>0.71229999999999993</v>
      </c>
      <c r="Q45" s="111">
        <v>26000</v>
      </c>
      <c r="R45" s="22">
        <v>74695.3</v>
      </c>
      <c r="S45" s="45">
        <v>20.568999999999999</v>
      </c>
      <c r="T45" s="43">
        <f>X45*F45*0.005</f>
        <v>3587.0254902912516</v>
      </c>
      <c r="V45" s="22">
        <v>0.12</v>
      </c>
      <c r="W45" s="22">
        <v>0.3</v>
      </c>
      <c r="X45" s="22">
        <f>IF(O45&gt;0,O45,((P45*2.2046*S45)+(Q45+R45)/G45)+V45)</f>
        <v>37.742957808526356</v>
      </c>
      <c r="Y45" s="22">
        <f>IF(O45&gt;0,O45,((P45*2.2046*S45)+(Q45+R45+T45)/G45)+V45+W45)</f>
        <v>38.232566235299871</v>
      </c>
      <c r="Z45" s="3">
        <f>Y45*F45</f>
        <v>726711.40582568897</v>
      </c>
      <c r="AA45" s="44">
        <v>43273</v>
      </c>
      <c r="AB45" s="3"/>
      <c r="AC45" s="119"/>
    </row>
    <row r="46" spans="1:35" x14ac:dyDescent="0.25">
      <c r="A46" s="134"/>
      <c r="B46" s="34" t="s">
        <v>340</v>
      </c>
      <c r="C46" t="s">
        <v>341</v>
      </c>
      <c r="D46" s="35" t="s">
        <v>3039</v>
      </c>
      <c r="E46">
        <v>247</v>
      </c>
      <c r="F46" s="36">
        <v>29050</v>
      </c>
      <c r="G46" s="38">
        <v>23050</v>
      </c>
      <c r="H46" s="38">
        <f t="shared" si="15"/>
        <v>-6000</v>
      </c>
      <c r="I46" t="s">
        <v>3040</v>
      </c>
      <c r="K46" s="39"/>
      <c r="L46" s="39">
        <v>43266</v>
      </c>
      <c r="M46" s="35" t="s">
        <v>345</v>
      </c>
      <c r="O46" s="22">
        <v>27</v>
      </c>
      <c r="P46" s="40"/>
      <c r="Q46" s="47">
        <v>21300</v>
      </c>
      <c r="R46" s="22">
        <f>72*E46</f>
        <v>17784</v>
      </c>
      <c r="S46" s="43">
        <f>-38*E46</f>
        <v>-9386</v>
      </c>
      <c r="T46" s="43">
        <f>X46*F46*0.0045</f>
        <v>4623.7687711496746</v>
      </c>
      <c r="U46" s="22">
        <f>E46*5</f>
        <v>1235</v>
      </c>
      <c r="W46" s="22">
        <v>0.3</v>
      </c>
      <c r="X46" s="22">
        <f>((O46*F46)+Q46+R46+S46+U46)/G46</f>
        <v>35.370195227765727</v>
      </c>
      <c r="Y46" s="22">
        <f>((O46*F46)+Q46+R46+S46+T46+U46)/G46+W46</f>
        <v>35.870792571416466</v>
      </c>
      <c r="Z46" s="3">
        <f>Y46*G46</f>
        <v>826821.76877114957</v>
      </c>
      <c r="AA46" s="44">
        <v>43279</v>
      </c>
      <c r="AB46" s="3">
        <v>39</v>
      </c>
      <c r="AC46" s="119"/>
    </row>
    <row r="47" spans="1:35" x14ac:dyDescent="0.25">
      <c r="A47" s="134"/>
      <c r="B47" s="34" t="s">
        <v>340</v>
      </c>
      <c r="C47" t="s">
        <v>341</v>
      </c>
      <c r="D47" s="35" t="s">
        <v>2829</v>
      </c>
      <c r="E47">
        <v>130</v>
      </c>
      <c r="F47" s="36">
        <v>13180</v>
      </c>
      <c r="G47" s="38">
        <v>10390</v>
      </c>
      <c r="H47" s="38">
        <f t="shared" si="15"/>
        <v>-2790</v>
      </c>
      <c r="I47" s="35" t="s">
        <v>3041</v>
      </c>
      <c r="K47" s="39"/>
      <c r="L47" s="39">
        <v>43266</v>
      </c>
      <c r="M47" s="35" t="s">
        <v>345</v>
      </c>
      <c r="O47" s="22">
        <v>27</v>
      </c>
      <c r="P47" s="40"/>
      <c r="Q47" s="111">
        <v>16900</v>
      </c>
      <c r="R47" s="22">
        <f>72*E47</f>
        <v>9360</v>
      </c>
      <c r="S47" s="43">
        <f>-38*E47</f>
        <v>-4940</v>
      </c>
      <c r="T47" s="43">
        <f>X47*F47*0.0045</f>
        <v>2156.7947353224254</v>
      </c>
      <c r="U47" s="22">
        <f>E47*5</f>
        <v>650</v>
      </c>
      <c r="W47" s="22">
        <v>0.3</v>
      </c>
      <c r="X47" s="22">
        <f>((O47*F47)+Q47+R47+S47+U47)/G47</f>
        <v>36.364773820981711</v>
      </c>
      <c r="Y47" s="22">
        <f>((O47*F47)+Q47+R47+S47+T47+U47)/G47+W47</f>
        <v>36.872357529867408</v>
      </c>
      <c r="Z47" s="3">
        <f>Y47*G47</f>
        <v>383103.79473532236</v>
      </c>
      <c r="AA47" s="44">
        <v>43279</v>
      </c>
      <c r="AB47" s="3">
        <v>39</v>
      </c>
      <c r="AC47" s="119" t="s">
        <v>3056</v>
      </c>
    </row>
    <row r="48" spans="1:35" x14ac:dyDescent="0.25">
      <c r="A48" s="134"/>
      <c r="B48" s="34" t="s">
        <v>3127</v>
      </c>
      <c r="C48" t="s">
        <v>3128</v>
      </c>
      <c r="D48" s="35" t="s">
        <v>1065</v>
      </c>
      <c r="E48" t="s">
        <v>3129</v>
      </c>
      <c r="F48" s="36">
        <v>316.60000000000002</v>
      </c>
      <c r="G48" s="38">
        <v>316.60000000000002</v>
      </c>
      <c r="H48" s="38">
        <f t="shared" si="15"/>
        <v>0</v>
      </c>
      <c r="I48" s="35" t="s">
        <v>3130</v>
      </c>
      <c r="K48" s="39"/>
      <c r="L48" s="39">
        <v>43266</v>
      </c>
      <c r="M48" s="35" t="s">
        <v>345</v>
      </c>
      <c r="O48" s="22">
        <v>71</v>
      </c>
      <c r="P48" s="40"/>
      <c r="Q48" s="22"/>
      <c r="R48" s="22"/>
      <c r="S48" s="43"/>
      <c r="T48" s="43"/>
      <c r="U48" s="22"/>
      <c r="W48" s="22"/>
      <c r="X48" s="22">
        <f>IF(O48&gt;0,O48,((P48*2.2046*S48)+(Q48+R48)/G48)+V48)</f>
        <v>71</v>
      </c>
      <c r="Y48" s="22">
        <f>IF(O48&gt;0,O48,((P48*2.2046*S48)+(Q48+R48+T48)/G48)+V48+W48)</f>
        <v>71</v>
      </c>
      <c r="Z48" s="3">
        <f>Y48*F48</f>
        <v>22478.600000000002</v>
      </c>
      <c r="AA48" s="44">
        <v>43273</v>
      </c>
      <c r="AB48" s="3"/>
      <c r="AC48" s="119"/>
    </row>
    <row r="49" spans="1:39" x14ac:dyDescent="0.25">
      <c r="A49" s="134"/>
      <c r="B49" s="34" t="s">
        <v>1063</v>
      </c>
      <c r="C49" t="s">
        <v>3213</v>
      </c>
      <c r="D49" s="35" t="s">
        <v>353</v>
      </c>
      <c r="E49" t="s">
        <v>3214</v>
      </c>
      <c r="F49" s="36">
        <v>17427.46</v>
      </c>
      <c r="G49" s="38">
        <v>17432.3</v>
      </c>
      <c r="H49" s="38">
        <f t="shared" si="15"/>
        <v>4.8400000000001455</v>
      </c>
      <c r="I49" s="35" t="s">
        <v>3212</v>
      </c>
      <c r="K49" s="39"/>
      <c r="L49" s="39">
        <v>43267</v>
      </c>
      <c r="M49" s="35" t="s">
        <v>348</v>
      </c>
      <c r="O49" s="22">
        <v>86</v>
      </c>
      <c r="P49" s="40"/>
      <c r="Q49" s="22"/>
      <c r="R49" s="22"/>
      <c r="S49" s="43"/>
      <c r="T49" s="43"/>
      <c r="U49" s="22"/>
      <c r="W49" s="22"/>
      <c r="X49" s="22">
        <f>IF(O49&gt;0,O49,((P49*2.2046*S49)+(Q49+R49)/G49)+V49)</f>
        <v>86</v>
      </c>
      <c r="Y49" s="22">
        <f>IF(O49&gt;0,O49,((P49*2.2046*S49)+(Q49+R49+T49)/G49)+V49+W49)</f>
        <v>86</v>
      </c>
      <c r="Z49" s="3">
        <f>Y49*F49</f>
        <v>1498761.5599999998</v>
      </c>
      <c r="AA49" s="44">
        <v>43290</v>
      </c>
      <c r="AB49" s="3"/>
      <c r="AC49" s="119"/>
      <c r="AK49">
        <f>AI27+AI39</f>
        <v>9788.4999999999854</v>
      </c>
      <c r="AL49" t="s">
        <v>3358</v>
      </c>
      <c r="AM49">
        <v>12000</v>
      </c>
    </row>
    <row r="50" spans="1:39" x14ac:dyDescent="0.25">
      <c r="A50" s="134"/>
      <c r="B50" s="34" t="s">
        <v>328</v>
      </c>
      <c r="C50" t="s">
        <v>343</v>
      </c>
      <c r="D50" s="35" t="s">
        <v>343</v>
      </c>
      <c r="E50" t="s">
        <v>1040</v>
      </c>
      <c r="F50" s="36">
        <f>41546*0.4536</f>
        <v>18845.265599999999</v>
      </c>
      <c r="G50" s="38">
        <v>18778.900000000001</v>
      </c>
      <c r="H50" s="38">
        <f t="shared" si="15"/>
        <v>-66.365599999997357</v>
      </c>
      <c r="I50" s="35" t="s">
        <v>2931</v>
      </c>
      <c r="J50" s="5" t="s">
        <v>1022</v>
      </c>
      <c r="K50" s="39">
        <v>43266</v>
      </c>
      <c r="L50" s="39">
        <v>43267</v>
      </c>
      <c r="M50" s="35" t="s">
        <v>348</v>
      </c>
      <c r="N50" s="35" t="s">
        <v>2908</v>
      </c>
      <c r="O50" s="22"/>
      <c r="P50" s="40">
        <f>0.6224+0.105</f>
        <v>0.72739999999999994</v>
      </c>
      <c r="Q50" s="111">
        <v>26000</v>
      </c>
      <c r="R50" s="22">
        <v>71908</v>
      </c>
      <c r="S50" s="45">
        <v>20.498999999999999</v>
      </c>
      <c r="T50" s="43">
        <f>X50*F50*0.005</f>
        <v>3600.0538764503599</v>
      </c>
      <c r="V50" s="22">
        <v>0.12</v>
      </c>
      <c r="W50" s="22">
        <v>0.3</v>
      </c>
      <c r="X50" s="22">
        <f>IF(O50&gt;0,O50,((P50*2.2046*S50)+(Q50+R50)/G50)+V50)</f>
        <v>38.206454107501251</v>
      </c>
      <c r="Y50" s="22">
        <f>IF(O50&gt;0,O50,((P50*2.2046*S50)+(Q50+R50+T50)/G50)+V50+W50)</f>
        <v>38.698161495923912</v>
      </c>
      <c r="Z50" s="3">
        <f>Y50*F50</f>
        <v>729277.13162237941</v>
      </c>
      <c r="AA50" s="44">
        <v>43262</v>
      </c>
      <c r="AB50" s="3">
        <v>40</v>
      </c>
      <c r="AC50" s="119"/>
    </row>
    <row r="51" spans="1:39" x14ac:dyDescent="0.25">
      <c r="A51" s="134"/>
      <c r="B51" s="34" t="s">
        <v>328</v>
      </c>
      <c r="C51" t="s">
        <v>336</v>
      </c>
      <c r="D51" s="35" t="s">
        <v>336</v>
      </c>
      <c r="E51" s="75" t="s">
        <v>384</v>
      </c>
      <c r="F51" s="36">
        <v>18500</v>
      </c>
      <c r="G51" s="38">
        <v>18500</v>
      </c>
      <c r="H51" s="38">
        <f t="shared" ref="H51:H52" si="17">G51-F51</f>
        <v>0</v>
      </c>
      <c r="I51" t="s">
        <v>2858</v>
      </c>
      <c r="J51" s="75" t="s">
        <v>384</v>
      </c>
      <c r="K51" s="39">
        <v>43266</v>
      </c>
      <c r="L51" s="39">
        <v>43267</v>
      </c>
      <c r="M51" s="35" t="s">
        <v>348</v>
      </c>
      <c r="N51" s="35" t="s">
        <v>2907</v>
      </c>
      <c r="O51" s="22"/>
      <c r="P51" s="40"/>
      <c r="Q51" s="22">
        <v>26000</v>
      </c>
      <c r="R51" s="22">
        <f t="shared" ref="R51" si="18">10500+(F51/0.4536*S51*P51*0.1)</f>
        <v>10500</v>
      </c>
      <c r="S51" s="45">
        <v>20.02</v>
      </c>
      <c r="T51" s="43">
        <f t="shared" ref="T51:T52" si="19">X51*F51*0.005</f>
        <v>193.6</v>
      </c>
      <c r="V51" s="22">
        <v>0.12</v>
      </c>
      <c r="W51" s="22">
        <v>0.3</v>
      </c>
      <c r="X51" s="22">
        <f t="shared" ref="X51:X52" si="20">IF(O51&gt;0,O51,((P51*2.2046*S51)+(Q51+R51)/G51)+V51)</f>
        <v>2.0929729729729729</v>
      </c>
      <c r="Y51" s="22">
        <f t="shared" ref="Y51" si="21">IF(O51&gt;0,O51,((P51*2.2046*S51)+(Q51+R51+T51)/G51)+V51+W51)</f>
        <v>2.4034378378378376</v>
      </c>
      <c r="Z51" s="3">
        <f t="shared" ref="Z51" si="22">Y51*F51</f>
        <v>44463.6</v>
      </c>
      <c r="AA51" s="75" t="s">
        <v>384</v>
      </c>
      <c r="AB51" s="3"/>
      <c r="AC51" s="119"/>
    </row>
    <row r="52" spans="1:39" x14ac:dyDescent="0.25">
      <c r="A52" s="134"/>
      <c r="B52" s="34" t="s">
        <v>328</v>
      </c>
      <c r="C52" t="s">
        <v>336</v>
      </c>
      <c r="D52" s="35" t="s">
        <v>336</v>
      </c>
      <c r="E52" t="s">
        <v>1021</v>
      </c>
      <c r="F52" s="36">
        <f>41437*0.4536</f>
        <v>18795.823199999999</v>
      </c>
      <c r="G52" s="38">
        <v>18791.34</v>
      </c>
      <c r="H52" s="38">
        <f t="shared" si="17"/>
        <v>-4.4831999999987602</v>
      </c>
      <c r="I52" t="s">
        <v>2857</v>
      </c>
      <c r="J52" s="5" t="s">
        <v>1022</v>
      </c>
      <c r="K52" s="39">
        <v>43266</v>
      </c>
      <c r="L52" s="39">
        <v>43267</v>
      </c>
      <c r="M52" s="35" t="s">
        <v>348</v>
      </c>
      <c r="N52" s="35" t="s">
        <v>2907</v>
      </c>
      <c r="O52" s="22"/>
      <c r="P52" s="40">
        <f>0.6224+0.095</f>
        <v>0.71739999999999993</v>
      </c>
      <c r="Q52" s="111">
        <v>26000</v>
      </c>
      <c r="R52" s="22">
        <v>70890</v>
      </c>
      <c r="S52" s="45">
        <v>20.02</v>
      </c>
      <c r="T52" s="43">
        <f t="shared" si="19"/>
        <v>3471.5256637537323</v>
      </c>
      <c r="V52" s="22">
        <v>0.12</v>
      </c>
      <c r="W52" s="22">
        <v>0.3</v>
      </c>
      <c r="X52" s="22">
        <f t="shared" si="20"/>
        <v>36.939330901492333</v>
      </c>
      <c r="Y52" s="22">
        <f t="shared" ref="Y52" si="23">IF(O52&gt;0,O52,((P52*2.2046*S52)+(Q52+R52+T52)/G52)+V52+W52)</f>
        <v>37.424071620555146</v>
      </c>
      <c r="Z52" s="3">
        <f t="shared" ref="Z52" si="24">Y52*F52</f>
        <v>703416.23360409203</v>
      </c>
      <c r="AA52" s="44">
        <v>43255</v>
      </c>
      <c r="AB52" s="3">
        <v>40</v>
      </c>
      <c r="AC52" s="119"/>
    </row>
    <row r="53" spans="1:39" ht="15.75" thickBot="1" x14ac:dyDescent="0.3">
      <c r="A53" s="135"/>
      <c r="B53" s="49"/>
      <c r="C53" s="23"/>
      <c r="D53" s="23"/>
      <c r="E53" s="23"/>
      <c r="F53" s="50"/>
      <c r="G53" s="50"/>
      <c r="H53" s="50"/>
      <c r="I53" s="26"/>
      <c r="J53" s="23"/>
      <c r="K53" s="27"/>
      <c r="L53" s="27"/>
      <c r="M53" s="23"/>
      <c r="N53" s="23"/>
      <c r="O53" s="28"/>
      <c r="P53" s="29"/>
      <c r="Q53" s="28"/>
      <c r="R53" s="28"/>
      <c r="S53" s="28"/>
      <c r="T53" s="28"/>
      <c r="U53" s="28"/>
      <c r="V53" s="28"/>
      <c r="W53" s="28"/>
      <c r="X53" s="28"/>
      <c r="Y53" s="28"/>
      <c r="Z53" s="32"/>
      <c r="AA53" s="51"/>
      <c r="AB53" s="3"/>
      <c r="AC53" s="119"/>
    </row>
    <row r="54" spans="1:39" ht="15.75" thickTop="1" x14ac:dyDescent="0.25">
      <c r="A54" s="52"/>
      <c r="B54" s="53" t="s">
        <v>340</v>
      </c>
      <c r="C54" s="53" t="s">
        <v>341</v>
      </c>
      <c r="D54" s="54" t="s">
        <v>1047</v>
      </c>
      <c r="E54" s="53">
        <f>249</f>
        <v>249</v>
      </c>
      <c r="F54" s="55">
        <f>27840</f>
        <v>27840</v>
      </c>
      <c r="G54" s="56">
        <f>17930</f>
        <v>17930</v>
      </c>
      <c r="H54" s="121">
        <f t="shared" ref="H54:H76" si="25">G54-F54</f>
        <v>-9910</v>
      </c>
      <c r="I54" s="57" t="s">
        <v>3051</v>
      </c>
      <c r="J54" s="190">
        <v>200</v>
      </c>
      <c r="K54" s="58"/>
      <c r="L54" s="58">
        <v>43268</v>
      </c>
      <c r="M54" s="54" t="s">
        <v>349</v>
      </c>
      <c r="N54" s="53"/>
      <c r="O54" s="59">
        <v>27.3</v>
      </c>
      <c r="P54" s="60"/>
      <c r="Q54" s="61">
        <f>21300</f>
        <v>21300</v>
      </c>
      <c r="R54" s="22">
        <f>72*E54</f>
        <v>17928</v>
      </c>
      <c r="S54" s="59">
        <f>-38*E54</f>
        <v>-9462</v>
      </c>
      <c r="T54" s="62">
        <f>X54*F54*0.0045</f>
        <v>5527.1537668711653</v>
      </c>
      <c r="U54" s="59">
        <f>E54*5</f>
        <v>1245</v>
      </c>
      <c r="V54" s="53"/>
      <c r="W54" s="59">
        <v>0.3</v>
      </c>
      <c r="X54" s="59">
        <f>((O54*F54)+Q54+R54+S54+U54)/G54</f>
        <v>44.11840490797546</v>
      </c>
      <c r="Y54" s="63">
        <f>((O54*F54)+Q54+R54+S54+T54+U54)/G54+W54</f>
        <v>44.726667806295097</v>
      </c>
      <c r="Z54" s="63">
        <f>Y54*G54</f>
        <v>801949.15376687108</v>
      </c>
      <c r="AA54" s="64">
        <v>43283</v>
      </c>
      <c r="AB54" s="3">
        <v>39</v>
      </c>
      <c r="AC54" s="3"/>
    </row>
    <row r="55" spans="1:39" x14ac:dyDescent="0.25">
      <c r="A55" s="65"/>
      <c r="B55" t="s">
        <v>340</v>
      </c>
      <c r="C55" t="s">
        <v>341</v>
      </c>
      <c r="D55" s="35" t="s">
        <v>2881</v>
      </c>
      <c r="E55">
        <v>80</v>
      </c>
      <c r="F55" s="36">
        <v>8990</v>
      </c>
      <c r="G55" s="38">
        <v>11170</v>
      </c>
      <c r="H55" s="38">
        <f t="shared" si="25"/>
        <v>2180</v>
      </c>
      <c r="I55" s="200" t="s">
        <v>3050</v>
      </c>
      <c r="J55" s="10">
        <v>129</v>
      </c>
      <c r="K55" s="39"/>
      <c r="L55" s="39">
        <v>43268</v>
      </c>
      <c r="M55" s="35" t="s">
        <v>349</v>
      </c>
      <c r="O55" s="22">
        <v>27.3</v>
      </c>
      <c r="P55" s="46"/>
      <c r="Q55" s="111">
        <v>16900</v>
      </c>
      <c r="R55" s="22">
        <f>72*E55</f>
        <v>5760</v>
      </c>
      <c r="S55" s="43">
        <f>-38*E55</f>
        <v>-3040</v>
      </c>
      <c r="T55" s="43">
        <f>X55*F55*0.0045</f>
        <v>961.38391987466423</v>
      </c>
      <c r="U55" s="22">
        <f>E55*5</f>
        <v>400</v>
      </c>
      <c r="W55" s="22">
        <v>0.3</v>
      </c>
      <c r="X55" s="22">
        <f>((O55*F55)+Q55+R55+S55+U55)/G55</f>
        <v>23.764279319606089</v>
      </c>
      <c r="Y55" s="22">
        <f>((O55*F55)+Q55+R55+S55+T55+U55)/G55+W55</f>
        <v>24.150347709926113</v>
      </c>
      <c r="Z55" s="3">
        <f>Y55*G55</f>
        <v>269759.38391987467</v>
      </c>
      <c r="AA55" s="44">
        <v>43283</v>
      </c>
      <c r="AB55" s="3">
        <v>36.81</v>
      </c>
      <c r="AC55" s="3" t="s">
        <v>3057</v>
      </c>
    </row>
    <row r="56" spans="1:39" x14ac:dyDescent="0.25">
      <c r="A56" s="65"/>
      <c r="B56" s="34" t="s">
        <v>340</v>
      </c>
      <c r="C56" t="s">
        <v>341</v>
      </c>
      <c r="D56" s="35" t="s">
        <v>2881</v>
      </c>
      <c r="E56">
        <v>250</v>
      </c>
      <c r="F56" s="36">
        <v>27645</v>
      </c>
      <c r="G56" s="38">
        <f>15620+6350</f>
        <v>21970</v>
      </c>
      <c r="H56" s="38">
        <f t="shared" si="25"/>
        <v>-5675</v>
      </c>
      <c r="I56" s="35" t="s">
        <v>3055</v>
      </c>
      <c r="K56" s="39"/>
      <c r="L56" s="39">
        <v>43269</v>
      </c>
      <c r="M56" s="35" t="s">
        <v>350</v>
      </c>
      <c r="O56" s="22">
        <v>27.3</v>
      </c>
      <c r="P56" s="40"/>
      <c r="Q56" s="47">
        <v>21300</v>
      </c>
      <c r="R56" s="22">
        <f>72*E56</f>
        <v>18000</v>
      </c>
      <c r="S56" s="43">
        <f>-38*E56</f>
        <v>-9500</v>
      </c>
      <c r="T56" s="43">
        <f>X56*F56*0.0045</f>
        <v>4449.263622951752</v>
      </c>
      <c r="U56" s="22">
        <f>E56*5</f>
        <v>1250</v>
      </c>
      <c r="W56" s="22">
        <v>0.3</v>
      </c>
      <c r="X56" s="22">
        <f>((O56*F56)+Q56+R56+S56+U56)/G56</f>
        <v>35.765065999089664</v>
      </c>
      <c r="Y56" s="22">
        <f>((O56*F56)+Q56+R56+S56+T56+U56)/G56+W56</f>
        <v>36.267581412059698</v>
      </c>
      <c r="Z56" s="3">
        <f>Y56*G56</f>
        <v>796798.76362295158</v>
      </c>
      <c r="AA56" s="44">
        <v>43283</v>
      </c>
      <c r="AB56" s="3">
        <v>39</v>
      </c>
      <c r="AC56" s="119" t="s">
        <v>3073</v>
      </c>
    </row>
    <row r="57" spans="1:39" x14ac:dyDescent="0.25">
      <c r="A57" s="65"/>
      <c r="B57" s="34" t="s">
        <v>328</v>
      </c>
      <c r="C57" t="s">
        <v>343</v>
      </c>
      <c r="D57" s="35" t="s">
        <v>1065</v>
      </c>
      <c r="E57" t="s">
        <v>1040</v>
      </c>
      <c r="F57" s="36">
        <v>19310.21</v>
      </c>
      <c r="G57" s="38">
        <v>19291.48</v>
      </c>
      <c r="H57" s="38">
        <f t="shared" si="25"/>
        <v>-18.729999999999563</v>
      </c>
      <c r="I57" s="35" t="s">
        <v>3054</v>
      </c>
      <c r="K57" s="39"/>
      <c r="L57" s="39">
        <v>43269</v>
      </c>
      <c r="M57" s="35" t="s">
        <v>350</v>
      </c>
      <c r="O57" s="22">
        <v>37.5</v>
      </c>
      <c r="P57" s="40"/>
      <c r="Q57" s="22"/>
      <c r="R57" s="22"/>
      <c r="S57" s="43"/>
      <c r="T57" s="43"/>
      <c r="U57" s="22"/>
      <c r="V57" s="22"/>
      <c r="W57" s="22">
        <v>0.3</v>
      </c>
      <c r="X57" s="22">
        <f>IF(O57&gt;0,O57,((P57*2.2046*S57)+(Q57+R57)/G57)+V57)</f>
        <v>37.5</v>
      </c>
      <c r="Y57" s="22">
        <f>IF(O57&gt;0,O57,((P57*2.2046*S57)+(Q57+R57+T57)/G57)+V57+W57)</f>
        <v>37.5</v>
      </c>
      <c r="Z57" s="3">
        <f>Y57*F57</f>
        <v>724132.875</v>
      </c>
      <c r="AA57" s="44">
        <v>43276</v>
      </c>
      <c r="AB57" s="3"/>
      <c r="AC57" s="119"/>
    </row>
    <row r="58" spans="1:39" x14ac:dyDescent="0.25">
      <c r="A58" s="65"/>
      <c r="B58" s="34" t="s">
        <v>328</v>
      </c>
      <c r="C58" t="s">
        <v>336</v>
      </c>
      <c r="D58" s="35" t="s">
        <v>2760</v>
      </c>
      <c r="E58" t="s">
        <v>3133</v>
      </c>
      <c r="F58" s="36">
        <f>55028*0.4536</f>
        <v>24960.700799999999</v>
      </c>
      <c r="G58" s="38">
        <f>18427.83+6428.85</f>
        <v>24856.68</v>
      </c>
      <c r="H58" s="38">
        <f>G58-F58</f>
        <v>-104.02079999999842</v>
      </c>
      <c r="I58" s="35" t="s">
        <v>3178</v>
      </c>
      <c r="K58" s="39">
        <v>43265</v>
      </c>
      <c r="L58" s="39">
        <v>43269</v>
      </c>
      <c r="M58" s="35" t="s">
        <v>350</v>
      </c>
      <c r="N58" s="35"/>
      <c r="O58" s="22">
        <v>34.5</v>
      </c>
      <c r="P58" s="40"/>
      <c r="Q58" s="22"/>
      <c r="R58" s="22"/>
      <c r="S58" s="45"/>
      <c r="T58" s="43"/>
      <c r="V58" s="22"/>
      <c r="W58" s="22">
        <v>0.3</v>
      </c>
      <c r="X58" s="22">
        <f>IF(O58&gt;0,O58,((P58*2.2046*S58)+(Q58+R58)/G58)+V58)</f>
        <v>34.5</v>
      </c>
      <c r="Y58" s="22">
        <f>IF(O58&gt;0,O58,((P58*2.2046*S58)+(Q58+R58+T58)/G58)+V58+W58)</f>
        <v>34.5</v>
      </c>
      <c r="Z58" s="3">
        <f>Y58*F58</f>
        <v>861144.17759999994</v>
      </c>
      <c r="AA58" s="44">
        <v>43279</v>
      </c>
      <c r="AB58" s="3">
        <v>40</v>
      </c>
      <c r="AC58" s="119"/>
    </row>
    <row r="59" spans="1:39" x14ac:dyDescent="0.25">
      <c r="A59" s="65"/>
      <c r="B59" s="34" t="s">
        <v>328</v>
      </c>
      <c r="C59" t="s">
        <v>329</v>
      </c>
      <c r="D59" s="35" t="s">
        <v>329</v>
      </c>
      <c r="E59" t="s">
        <v>1021</v>
      </c>
      <c r="F59" s="36">
        <f>41517.5*0.4536</f>
        <v>18832.338</v>
      </c>
      <c r="G59" s="38">
        <v>18798.169999999998</v>
      </c>
      <c r="H59" s="38">
        <f t="shared" si="25"/>
        <v>-34.168000000001484</v>
      </c>
      <c r="I59" s="35" t="s">
        <v>2959</v>
      </c>
      <c r="J59" s="5" t="s">
        <v>1022</v>
      </c>
      <c r="K59" s="39">
        <v>43269</v>
      </c>
      <c r="L59" s="39">
        <v>43270</v>
      </c>
      <c r="M59" s="35" t="s">
        <v>355</v>
      </c>
      <c r="N59" s="35" t="s">
        <v>2947</v>
      </c>
      <c r="O59" s="22"/>
      <c r="P59" s="40">
        <f>0.6079+0.095</f>
        <v>0.70289999999999997</v>
      </c>
      <c r="Q59" s="111">
        <v>26000</v>
      </c>
      <c r="R59" s="22">
        <v>65107</v>
      </c>
      <c r="S59" s="45">
        <v>19.928000000000001</v>
      </c>
      <c r="T59" s="43">
        <f t="shared" ref="T59:T66" si="26">X59*F59*0.005</f>
        <v>3375.4407896600769</v>
      </c>
      <c r="V59" s="22">
        <v>0.12</v>
      </c>
      <c r="W59" s="22">
        <v>0.3</v>
      </c>
      <c r="X59" s="22">
        <f>IF(O59&gt;0,O59,((P59*2.2046*S59)+(Q59+R59)/G59)+V59)</f>
        <v>35.847283429811817</v>
      </c>
      <c r="Y59" s="22">
        <f>IF(O59&gt;0,O59,((P59*2.2046*S59)+(Q59+R59+T59)/G59)+V59+W59)</f>
        <v>36.326845631327181</v>
      </c>
      <c r="Z59" s="3">
        <f>Y59*F59</f>
        <v>684119.43540297681</v>
      </c>
      <c r="AA59" s="44">
        <v>43280</v>
      </c>
      <c r="AB59" s="3"/>
      <c r="AC59" s="119"/>
    </row>
    <row r="60" spans="1:39" x14ac:dyDescent="0.25">
      <c r="A60" s="65"/>
      <c r="B60" s="34" t="s">
        <v>328</v>
      </c>
      <c r="C60" t="s">
        <v>343</v>
      </c>
      <c r="D60" s="35" t="s">
        <v>1129</v>
      </c>
      <c r="E60" t="s">
        <v>1040</v>
      </c>
      <c r="F60" s="36">
        <f>42513*0.4536</f>
        <v>19283.896799999999</v>
      </c>
      <c r="G60" s="38">
        <v>19240.84</v>
      </c>
      <c r="H60" s="38">
        <f t="shared" si="25"/>
        <v>-43.056799999998475</v>
      </c>
      <c r="I60" s="35" t="s">
        <v>2945</v>
      </c>
      <c r="J60" s="5" t="s">
        <v>1022</v>
      </c>
      <c r="K60" s="39">
        <v>43269</v>
      </c>
      <c r="L60" s="39">
        <v>43270</v>
      </c>
      <c r="M60" s="35" t="s">
        <v>355</v>
      </c>
      <c r="N60" s="35" t="s">
        <v>2948</v>
      </c>
      <c r="O60" s="22"/>
      <c r="P60" s="40">
        <f>0.6079+0.115</f>
        <v>0.72289999999999999</v>
      </c>
      <c r="Q60" s="111">
        <v>26000</v>
      </c>
      <c r="R60" s="22">
        <v>68339</v>
      </c>
      <c r="S60" s="45">
        <v>20.597999999999999</v>
      </c>
      <c r="T60" s="43">
        <f t="shared" ref="T60:T61" si="27">X60*F60*0.005</f>
        <v>3649.497038570029</v>
      </c>
      <c r="V60" s="22">
        <v>0.12</v>
      </c>
      <c r="W60" s="22">
        <v>0.3</v>
      </c>
      <c r="X60" s="22">
        <f t="shared" ref="X60:X61" si="28">IF(O60&gt;0,O60,((P60*2.2046*S60)+(Q60+R60)/G60)+V60)</f>
        <v>37.850202958667872</v>
      </c>
      <c r="Y60" s="22">
        <f t="shared" ref="Y60:Y61" si="29">IF(O60&gt;0,O60,((P60*2.2046*S60)+(Q60+R60+T60)/G60)+V60+W60)</f>
        <v>38.339877475922314</v>
      </c>
      <c r="Z60" s="3">
        <f t="shared" ref="Z60:Z61" si="30">Y60*F60</f>
        <v>739342.24057033029</v>
      </c>
      <c r="AA60" s="44">
        <v>43270</v>
      </c>
      <c r="AB60" s="3"/>
      <c r="AC60" s="119"/>
    </row>
    <row r="61" spans="1:39" x14ac:dyDescent="0.25">
      <c r="A61" s="65"/>
      <c r="B61" s="34" t="s">
        <v>328</v>
      </c>
      <c r="C61" t="s">
        <v>343</v>
      </c>
      <c r="D61" s="35" t="s">
        <v>1129</v>
      </c>
      <c r="E61" t="s">
        <v>1040</v>
      </c>
      <c r="F61" s="36">
        <f>42730*0.4536</f>
        <v>19382.328000000001</v>
      </c>
      <c r="G61" s="38">
        <v>19347.63</v>
      </c>
      <c r="H61" s="38">
        <f t="shared" si="25"/>
        <v>-34.69800000000032</v>
      </c>
      <c r="I61" s="35" t="s">
        <v>2946</v>
      </c>
      <c r="J61" s="5" t="s">
        <v>1022</v>
      </c>
      <c r="K61" s="39">
        <v>43269</v>
      </c>
      <c r="L61" s="39">
        <v>43270</v>
      </c>
      <c r="M61" s="35" t="s">
        <v>355</v>
      </c>
      <c r="N61" s="35" t="s">
        <v>2948</v>
      </c>
      <c r="O61" s="22"/>
      <c r="P61" s="40">
        <f>0.6079+0.115</f>
        <v>0.72289999999999999</v>
      </c>
      <c r="Q61" s="111">
        <v>26000</v>
      </c>
      <c r="R61" s="22">
        <v>68639</v>
      </c>
      <c r="S61" s="45">
        <v>20.606000000000002</v>
      </c>
      <c r="T61" s="43">
        <f t="shared" si="27"/>
        <v>3668.2408377613592</v>
      </c>
      <c r="V61" s="22">
        <v>0.12</v>
      </c>
      <c r="W61" s="22">
        <v>0.3</v>
      </c>
      <c r="X61" s="22">
        <f t="shared" si="28"/>
        <v>37.851395743187908</v>
      </c>
      <c r="Y61" s="22">
        <f t="shared" si="29"/>
        <v>38.340992134981697</v>
      </c>
      <c r="Z61" s="3">
        <f t="shared" si="30"/>
        <v>743137.68540563562</v>
      </c>
      <c r="AA61" s="44">
        <v>43271</v>
      </c>
      <c r="AB61" s="3"/>
      <c r="AC61" s="119"/>
    </row>
    <row r="62" spans="1:39" x14ac:dyDescent="0.25">
      <c r="A62" s="65"/>
      <c r="B62" s="34" t="s">
        <v>340</v>
      </c>
      <c r="C62" t="s">
        <v>44</v>
      </c>
      <c r="D62" s="35" t="s">
        <v>2048</v>
      </c>
      <c r="E62">
        <v>246</v>
      </c>
      <c r="F62" s="36">
        <v>22400</v>
      </c>
      <c r="G62" s="38">
        <f>6180+16120</f>
        <v>22300</v>
      </c>
      <c r="H62" s="38">
        <f t="shared" si="25"/>
        <v>-100</v>
      </c>
      <c r="I62" t="s">
        <v>3156</v>
      </c>
      <c r="K62" s="39"/>
      <c r="L62" s="39">
        <v>43270</v>
      </c>
      <c r="M62" s="35" t="s">
        <v>355</v>
      </c>
      <c r="O62" s="22">
        <v>36.200000000000003</v>
      </c>
      <c r="P62" s="40"/>
      <c r="Q62" s="22"/>
      <c r="R62" s="22"/>
      <c r="S62" s="43"/>
      <c r="T62" s="43"/>
      <c r="U62" s="22">
        <f>E62*5</f>
        <v>1230</v>
      </c>
      <c r="W62" s="22">
        <v>0.2</v>
      </c>
      <c r="X62" s="22">
        <f>((O62*F62)+Q62+R62+S62+U62)/G62</f>
        <v>36.417488789237673</v>
      </c>
      <c r="Y62" s="22">
        <f>((O62*F62)+Q62+R62+S62+T62+U62)/G62+W62</f>
        <v>36.617488789237676</v>
      </c>
      <c r="Z62" s="3">
        <f>Y62*G62</f>
        <v>816570.00000000012</v>
      </c>
      <c r="AA62" s="44">
        <v>43280</v>
      </c>
      <c r="AB62" s="3"/>
      <c r="AC62" s="119" t="s">
        <v>3074</v>
      </c>
      <c r="AE62" s="14"/>
      <c r="AF62" s="38">
        <f>F62</f>
        <v>22400</v>
      </c>
      <c r="AG62">
        <v>35.799999999999997</v>
      </c>
      <c r="AH62">
        <f>(O62-AG62)/2</f>
        <v>0.20000000000000284</v>
      </c>
      <c r="AI62">
        <f>AH62*AF62</f>
        <v>4480.0000000000637</v>
      </c>
      <c r="AK62">
        <f>AI27+AI39+AI62</f>
        <v>14268.500000000049</v>
      </c>
    </row>
    <row r="63" spans="1:39" x14ac:dyDescent="0.25">
      <c r="A63" s="65"/>
      <c r="B63" s="34" t="s">
        <v>1010</v>
      </c>
      <c r="C63" t="s">
        <v>3109</v>
      </c>
      <c r="D63" s="35" t="s">
        <v>1014</v>
      </c>
      <c r="E63" t="s">
        <v>3110</v>
      </c>
      <c r="F63" s="36">
        <v>1740</v>
      </c>
      <c r="G63" s="38">
        <v>1740</v>
      </c>
      <c r="H63" s="38">
        <f t="shared" si="25"/>
        <v>0</v>
      </c>
      <c r="I63" s="35" t="s">
        <v>3112</v>
      </c>
      <c r="K63" s="39"/>
      <c r="L63" s="39">
        <v>43270</v>
      </c>
      <c r="M63" s="35" t="s">
        <v>355</v>
      </c>
      <c r="O63" s="22">
        <v>49</v>
      </c>
      <c r="P63" s="40"/>
      <c r="Q63" s="22"/>
      <c r="R63" s="22"/>
      <c r="S63" s="43"/>
      <c r="T63" s="43"/>
      <c r="U63" s="22"/>
      <c r="W63" s="22"/>
      <c r="X63" s="22">
        <f t="shared" ref="X63:X64" si="31">IF(O63&gt;0,O63,((P63*2.2046*S63)+(Q63+R63)/G63)+V63)</f>
        <v>49</v>
      </c>
      <c r="Y63" s="22">
        <f t="shared" ref="Y63:Y64" si="32">IF(O63&gt;0,O63,((P63*2.2046*S63)+(Q63+R63+T63)/G63)+V63+W63)</f>
        <v>49</v>
      </c>
      <c r="Z63" s="3">
        <f t="shared" ref="Z63:Z64" si="33">Y63*F63</f>
        <v>85260</v>
      </c>
      <c r="AA63" s="44">
        <v>43270</v>
      </c>
      <c r="AB63" s="3"/>
      <c r="AC63" s="119"/>
      <c r="AF63" s="38"/>
    </row>
    <row r="64" spans="1:39" x14ac:dyDescent="0.25">
      <c r="A64" s="65"/>
      <c r="B64" s="34" t="s">
        <v>1600</v>
      </c>
      <c r="C64" t="s">
        <v>3111</v>
      </c>
      <c r="D64" s="35" t="s">
        <v>1014</v>
      </c>
      <c r="E64" t="s">
        <v>1207</v>
      </c>
      <c r="F64" s="36">
        <v>1003.34</v>
      </c>
      <c r="G64" s="38">
        <v>1003.34</v>
      </c>
      <c r="H64" s="38">
        <f t="shared" si="25"/>
        <v>0</v>
      </c>
      <c r="I64" s="35" t="s">
        <v>3113</v>
      </c>
      <c r="K64" s="39"/>
      <c r="L64" s="39">
        <v>43271</v>
      </c>
      <c r="M64" s="35" t="s">
        <v>331</v>
      </c>
      <c r="O64" s="22">
        <v>56</v>
      </c>
      <c r="P64" s="40"/>
      <c r="Q64" s="22"/>
      <c r="R64" s="22"/>
      <c r="S64" s="43"/>
      <c r="T64" s="43"/>
      <c r="U64" s="22"/>
      <c r="W64" s="22"/>
      <c r="X64" s="22">
        <f t="shared" si="31"/>
        <v>56</v>
      </c>
      <c r="Y64" s="22">
        <f t="shared" si="32"/>
        <v>56</v>
      </c>
      <c r="Z64" s="3">
        <f t="shared" si="33"/>
        <v>56187.040000000001</v>
      </c>
      <c r="AA64" s="44">
        <v>43271</v>
      </c>
      <c r="AB64" s="3"/>
      <c r="AC64" s="119"/>
      <c r="AF64" s="38"/>
    </row>
    <row r="65" spans="1:29" x14ac:dyDescent="0.25">
      <c r="A65" s="65"/>
      <c r="B65" s="34" t="s">
        <v>340</v>
      </c>
      <c r="C65" t="s">
        <v>341</v>
      </c>
      <c r="D65" s="35" t="s">
        <v>1389</v>
      </c>
      <c r="E65">
        <v>248</v>
      </c>
      <c r="F65" s="36">
        <v>28060</v>
      </c>
      <c r="G65" s="38">
        <f>15870+6190</f>
        <v>22060</v>
      </c>
      <c r="H65" s="38">
        <f t="shared" si="25"/>
        <v>-6000</v>
      </c>
      <c r="I65" t="s">
        <v>3076</v>
      </c>
      <c r="K65" s="39"/>
      <c r="L65" s="39">
        <v>43271</v>
      </c>
      <c r="M65" s="35" t="s">
        <v>331</v>
      </c>
      <c r="O65" s="22">
        <v>27.3</v>
      </c>
      <c r="P65" s="40"/>
      <c r="Q65" s="47">
        <v>21300</v>
      </c>
      <c r="R65" s="22">
        <f>72*E65</f>
        <v>17856</v>
      </c>
      <c r="S65" s="43">
        <f>-38*E65</f>
        <v>-9424</v>
      </c>
      <c r="T65" s="43">
        <f t="shared" si="26"/>
        <v>5068.9257932910241</v>
      </c>
      <c r="U65" s="22">
        <f>E65*5</f>
        <v>1240</v>
      </c>
      <c r="W65" s="22">
        <v>0.3</v>
      </c>
      <c r="X65" s="22">
        <f>((O65*F65)+Q65+R65+S65+U65)/G65</f>
        <v>36.129193109700815</v>
      </c>
      <c r="Y65" s="22">
        <f>((O65*F65)+Q65+R65+S65+T65+U65)/G65+W65</f>
        <v>36.658972157447465</v>
      </c>
      <c r="Z65" s="3">
        <f>Y65*G65</f>
        <v>808696.92579329107</v>
      </c>
      <c r="AA65" s="44">
        <v>43284</v>
      </c>
      <c r="AB65" s="3" t="s">
        <v>3078</v>
      </c>
      <c r="AC65" s="119" t="s">
        <v>3077</v>
      </c>
    </row>
    <row r="66" spans="1:29" x14ac:dyDescent="0.25">
      <c r="A66" s="65"/>
      <c r="B66" s="34" t="s">
        <v>328</v>
      </c>
      <c r="C66" s="35" t="s">
        <v>343</v>
      </c>
      <c r="D66" s="35" t="s">
        <v>343</v>
      </c>
      <c r="E66" t="s">
        <v>1040</v>
      </c>
      <c r="F66" s="36">
        <f>42352*0.4536</f>
        <v>19210.867200000001</v>
      </c>
      <c r="G66" s="38">
        <v>19159.84</v>
      </c>
      <c r="H66" s="38">
        <f t="shared" si="25"/>
        <v>-51.027200000000448</v>
      </c>
      <c r="I66" s="35" t="s">
        <v>2960</v>
      </c>
      <c r="J66" s="5" t="s">
        <v>1022</v>
      </c>
      <c r="K66" s="39">
        <v>43272</v>
      </c>
      <c r="L66" s="39">
        <v>43273</v>
      </c>
      <c r="M66" s="35" t="s">
        <v>345</v>
      </c>
      <c r="N66" s="35" t="s">
        <v>2961</v>
      </c>
      <c r="O66" s="22"/>
      <c r="P66" s="40">
        <f>0.6291+0.105</f>
        <v>0.73409999999999997</v>
      </c>
      <c r="Q66" s="111">
        <v>26000</v>
      </c>
      <c r="R66" s="22">
        <v>68766</v>
      </c>
      <c r="S66" s="45">
        <v>20.728999999999999</v>
      </c>
      <c r="T66" s="43">
        <f t="shared" si="26"/>
        <v>3709.0251495495863</v>
      </c>
      <c r="V66" s="22">
        <v>0.12</v>
      </c>
      <c r="W66" s="22">
        <v>0.3</v>
      </c>
      <c r="X66" s="22">
        <f>IF(O66&gt;0,O66,((P66*2.2046*S66)+(Q66+R66)/G66)+V66)</f>
        <v>38.61382321720059</v>
      </c>
      <c r="Y66" s="22">
        <f>IF(O66&gt;0,O66,((P66*2.2046*S66)+(Q66+R66+T66)/G66)+V66+W66)</f>
        <v>39.107406522152488</v>
      </c>
      <c r="Z66" s="3">
        <f>Y66*F66</f>
        <v>751287.19323348533</v>
      </c>
      <c r="AA66" s="44">
        <v>43265</v>
      </c>
      <c r="AB66" s="3"/>
      <c r="AC66" s="119"/>
    </row>
    <row r="67" spans="1:29" x14ac:dyDescent="0.25">
      <c r="A67" s="65"/>
      <c r="B67" s="34" t="s">
        <v>340</v>
      </c>
      <c r="C67" t="s">
        <v>341</v>
      </c>
      <c r="D67" s="35" t="s">
        <v>1060</v>
      </c>
      <c r="E67">
        <v>250</v>
      </c>
      <c r="F67" s="36">
        <v>29570</v>
      </c>
      <c r="G67" s="38">
        <v>23810</v>
      </c>
      <c r="H67" s="38">
        <f t="shared" si="25"/>
        <v>-5760</v>
      </c>
      <c r="I67" t="s">
        <v>3079</v>
      </c>
      <c r="K67" s="39"/>
      <c r="L67" s="39">
        <v>43272</v>
      </c>
      <c r="M67" s="35" t="s">
        <v>342</v>
      </c>
      <c r="O67" s="22">
        <v>28</v>
      </c>
      <c r="P67" s="40"/>
      <c r="Q67" s="47">
        <v>21300</v>
      </c>
      <c r="R67" s="22">
        <f>72*E67</f>
        <v>18000</v>
      </c>
      <c r="S67" s="43">
        <f>-38*E67</f>
        <v>-9500</v>
      </c>
      <c r="T67" s="43">
        <f>X67*F67*0.0045</f>
        <v>4800.6789437211246</v>
      </c>
      <c r="U67" s="22">
        <f>E67*5</f>
        <v>1250</v>
      </c>
      <c r="W67" s="22">
        <v>0.3</v>
      </c>
      <c r="X67" s="22">
        <f>((O67*F67)+Q67+R67+S67+U67)/G67</f>
        <v>36.077698446031079</v>
      </c>
      <c r="Y67" s="22">
        <f>((O67*F67)+Q67+R67+S67+T67+U67)/G67+W67</f>
        <v>36.5793229291777</v>
      </c>
      <c r="Z67" s="3">
        <f>Y67*G67</f>
        <v>870953.678943721</v>
      </c>
      <c r="AA67" s="44">
        <v>43285</v>
      </c>
      <c r="AB67" s="3"/>
      <c r="AC67" s="119"/>
    </row>
    <row r="68" spans="1:29" x14ac:dyDescent="0.25">
      <c r="A68" s="65"/>
      <c r="B68" s="34" t="s">
        <v>340</v>
      </c>
      <c r="C68" t="s">
        <v>341</v>
      </c>
      <c r="D68" s="35" t="s">
        <v>1389</v>
      </c>
      <c r="E68">
        <v>130</v>
      </c>
      <c r="F68" s="36">
        <v>14865</v>
      </c>
      <c r="G68" s="38">
        <v>11810</v>
      </c>
      <c r="H68" s="38">
        <f t="shared" si="25"/>
        <v>-3055</v>
      </c>
      <c r="I68" t="s">
        <v>3080</v>
      </c>
      <c r="K68" s="39"/>
      <c r="L68" s="39">
        <v>43272</v>
      </c>
      <c r="M68" s="35" t="s">
        <v>342</v>
      </c>
      <c r="O68" s="22">
        <v>28</v>
      </c>
      <c r="P68" s="40"/>
      <c r="Q68" s="111">
        <v>16900</v>
      </c>
      <c r="R68" s="22">
        <f>72*E68</f>
        <v>9360</v>
      </c>
      <c r="S68" s="43">
        <f>-38*E68</f>
        <v>-4940</v>
      </c>
      <c r="T68" s="43">
        <f>X68*F68*0.0045</f>
        <v>2481.9326481795088</v>
      </c>
      <c r="U68" s="22">
        <f>E68*5</f>
        <v>650</v>
      </c>
      <c r="W68" s="22">
        <v>0.3</v>
      </c>
      <c r="X68" s="22">
        <f>((O68*F68)+Q68+R68+S68+U68)/G68</f>
        <v>37.103302286198137</v>
      </c>
      <c r="Y68" s="22">
        <f>((O68*F68)+Q68+R68+S68+T68+U68)/G68+W68</f>
        <v>37.613457463859397</v>
      </c>
      <c r="Z68" s="3">
        <f>Y68*G68</f>
        <v>444214.93264817947</v>
      </c>
      <c r="AA68" s="44">
        <v>43285</v>
      </c>
      <c r="AB68" s="3"/>
      <c r="AC68" s="119" t="s">
        <v>3083</v>
      </c>
    </row>
    <row r="69" spans="1:29" x14ac:dyDescent="0.25">
      <c r="A69" s="65"/>
      <c r="B69" s="34" t="s">
        <v>1501</v>
      </c>
      <c r="C69" t="s">
        <v>343</v>
      </c>
      <c r="D69" s="35" t="s">
        <v>1106</v>
      </c>
      <c r="E69" t="s">
        <v>1652</v>
      </c>
      <c r="F69" s="36">
        <v>3632.4</v>
      </c>
      <c r="G69" s="38">
        <v>3632.4</v>
      </c>
      <c r="H69" s="38">
        <f t="shared" si="25"/>
        <v>0</v>
      </c>
      <c r="I69" t="s">
        <v>3125</v>
      </c>
      <c r="K69" s="39"/>
      <c r="L69" s="39">
        <v>43272</v>
      </c>
      <c r="M69" s="35" t="s">
        <v>342</v>
      </c>
      <c r="O69" s="22">
        <v>20</v>
      </c>
      <c r="P69" s="40"/>
      <c r="Q69" s="22"/>
      <c r="R69" s="22"/>
      <c r="S69" s="43"/>
      <c r="T69" s="43"/>
      <c r="U69" s="22"/>
      <c r="W69" s="22"/>
      <c r="X69" s="22">
        <f>IF(O69&gt;0,O69,((P69*2.2046*S69)+(Q69+R69)/G69)+V69)</f>
        <v>20</v>
      </c>
      <c r="Y69" s="22">
        <f>IF(O69&gt;0,O69,((P69*2.2046*S69)+(Q69+R69+T69)/G69)+V69+W69)</f>
        <v>20</v>
      </c>
      <c r="Z69" s="3">
        <f>Y69*F69</f>
        <v>72648</v>
      </c>
      <c r="AA69" s="44">
        <v>43279</v>
      </c>
      <c r="AB69" s="3"/>
      <c r="AC69" s="119"/>
    </row>
    <row r="70" spans="1:29" x14ac:dyDescent="0.25">
      <c r="A70" s="65"/>
      <c r="B70" s="34" t="s">
        <v>328</v>
      </c>
      <c r="C70" s="35" t="s">
        <v>329</v>
      </c>
      <c r="D70" s="35" t="s">
        <v>329</v>
      </c>
      <c r="E70" t="s">
        <v>1021</v>
      </c>
      <c r="F70" s="36">
        <f>41632*0.4536</f>
        <v>18884.2752</v>
      </c>
      <c r="G70" s="38">
        <v>18854.89</v>
      </c>
      <c r="H70" s="38">
        <f t="shared" si="25"/>
        <v>-29.385200000000623</v>
      </c>
      <c r="I70" t="s">
        <v>2962</v>
      </c>
      <c r="J70" s="5" t="s">
        <v>1022</v>
      </c>
      <c r="K70" s="39">
        <v>43272</v>
      </c>
      <c r="L70" s="39">
        <v>43273</v>
      </c>
      <c r="M70" s="35" t="s">
        <v>345</v>
      </c>
      <c r="N70" s="35" t="s">
        <v>2963</v>
      </c>
      <c r="O70" s="22"/>
      <c r="P70" s="40">
        <f>0.6291+0.095</f>
        <v>0.72409999999999997</v>
      </c>
      <c r="Q70" s="111">
        <v>26000</v>
      </c>
      <c r="R70" s="22">
        <v>66827</v>
      </c>
      <c r="S70" s="45">
        <v>19.928000000000001</v>
      </c>
      <c r="T70" s="43">
        <f>X70*F70*0.005</f>
        <v>3479.9292770974489</v>
      </c>
      <c r="V70" s="22">
        <v>0.12</v>
      </c>
      <c r="W70" s="22">
        <v>0.3</v>
      </c>
      <c r="X70" s="22">
        <f>IF(O70&gt;0,O70,((P70*2.2046*S70)+(Q70+R70)/G70)+V70)</f>
        <v>36.855312054523004</v>
      </c>
      <c r="Y70" s="22">
        <f>IF(O70&gt;0,O70,((P70*2.2046*S70)+(Q70+R70+T70)/G70)+V70+W70)</f>
        <v>37.339875808387248</v>
      </c>
      <c r="Z70" s="3">
        <f>Y70*F70</f>
        <v>705136.4906994073</v>
      </c>
      <c r="AA70" s="44">
        <v>43283</v>
      </c>
      <c r="AB70" s="3"/>
      <c r="AC70" s="119"/>
    </row>
    <row r="71" spans="1:29" x14ac:dyDescent="0.25">
      <c r="A71" s="65"/>
      <c r="B71" s="34" t="s">
        <v>328</v>
      </c>
      <c r="C71" t="s">
        <v>336</v>
      </c>
      <c r="D71" s="35" t="s">
        <v>336</v>
      </c>
      <c r="E71" t="s">
        <v>1021</v>
      </c>
      <c r="F71" s="36">
        <f>41180*0.4536</f>
        <v>18679.248</v>
      </c>
      <c r="G71" s="38">
        <v>18604.669999999998</v>
      </c>
      <c r="H71" s="38">
        <f>G71-F71</f>
        <v>-74.578000000001339</v>
      </c>
      <c r="I71" t="s">
        <v>2859</v>
      </c>
      <c r="J71" s="5" t="s">
        <v>1022</v>
      </c>
      <c r="K71" s="39">
        <v>43273</v>
      </c>
      <c r="L71" s="39">
        <v>43274</v>
      </c>
      <c r="M71" s="35" t="s">
        <v>348</v>
      </c>
      <c r="N71" s="35" t="s">
        <v>2964</v>
      </c>
      <c r="O71" s="22"/>
      <c r="P71" s="40">
        <f>0.6257+0.095</f>
        <v>0.72070000000000001</v>
      </c>
      <c r="Q71" s="111">
        <v>26000</v>
      </c>
      <c r="R71" s="22">
        <v>65421</v>
      </c>
      <c r="S71" s="45">
        <v>20.498999999999999</v>
      </c>
      <c r="T71" s="43">
        <f>X71*F71*0.005</f>
        <v>3512.0551108620384</v>
      </c>
      <c r="V71" s="22">
        <v>0.12</v>
      </c>
      <c r="W71" s="22">
        <v>0.3</v>
      </c>
      <c r="X71" s="22">
        <f>IF(O71&gt;0,O71,((P71*2.2046*S71)+(Q71+R71)/G71)+V71)</f>
        <v>37.603816929482797</v>
      </c>
      <c r="Y71" s="22">
        <f>IF(O71&gt;0,O71,((P71*2.2046*S71)+(Q71+R71+T71)/G71)+V71+W71)</f>
        <v>38.092589700559202</v>
      </c>
      <c r="Z71" s="3">
        <f>Y71*F71</f>
        <v>711540.92997899104</v>
      </c>
      <c r="AA71" s="44">
        <v>43262</v>
      </c>
      <c r="AB71" s="3"/>
      <c r="AC71" s="119"/>
    </row>
    <row r="72" spans="1:29" x14ac:dyDescent="0.25">
      <c r="A72" s="65"/>
      <c r="B72" s="34" t="s">
        <v>340</v>
      </c>
      <c r="C72" t="s">
        <v>341</v>
      </c>
      <c r="D72" s="35" t="s">
        <v>1389</v>
      </c>
      <c r="E72">
        <v>250</v>
      </c>
      <c r="F72" s="36">
        <v>28350</v>
      </c>
      <c r="G72" s="38">
        <v>21670</v>
      </c>
      <c r="H72" s="38">
        <f t="shared" si="25"/>
        <v>-6680</v>
      </c>
      <c r="I72" t="s">
        <v>3084</v>
      </c>
      <c r="K72" s="39"/>
      <c r="L72" s="39">
        <v>43273</v>
      </c>
      <c r="M72" s="35" t="s">
        <v>345</v>
      </c>
      <c r="O72" s="22">
        <v>28</v>
      </c>
      <c r="P72" s="40"/>
      <c r="Q72" s="47">
        <v>21300</v>
      </c>
      <c r="R72" s="22">
        <f>72*E72</f>
        <v>18000</v>
      </c>
      <c r="S72" s="43">
        <f>-38*E72</f>
        <v>-9500</v>
      </c>
      <c r="T72" s="43">
        <f>X72*F72*0.0045</f>
        <v>4856.0331679741575</v>
      </c>
      <c r="U72" s="22">
        <f>E72*5</f>
        <v>1250</v>
      </c>
      <c r="W72" s="22">
        <v>0.3</v>
      </c>
      <c r="X72" s="22">
        <f>((O72*F72)+Q72+R72+S72+U72)/G72</f>
        <v>38.064143977849561</v>
      </c>
      <c r="Y72" s="22">
        <f>((O72*F72)+Q72+R72+S72+T72+U72)/G72+W72</f>
        <v>38.588234110197241</v>
      </c>
      <c r="Z72" s="3">
        <f>Y72*G72</f>
        <v>836207.03316797421</v>
      </c>
      <c r="AA72" s="44">
        <v>43286</v>
      </c>
      <c r="AB72" s="3">
        <v>37.44</v>
      </c>
      <c r="AC72" s="119" t="s">
        <v>3093</v>
      </c>
    </row>
    <row r="73" spans="1:29" x14ac:dyDescent="0.25">
      <c r="A73" s="65"/>
      <c r="B73" s="34" t="s">
        <v>340</v>
      </c>
      <c r="C73" t="s">
        <v>341</v>
      </c>
      <c r="D73" s="35" t="s">
        <v>2881</v>
      </c>
      <c r="E73">
        <v>130</v>
      </c>
      <c r="F73" s="36">
        <v>13785</v>
      </c>
      <c r="G73" s="38">
        <v>11710</v>
      </c>
      <c r="H73" s="38">
        <f t="shared" si="25"/>
        <v>-2075</v>
      </c>
      <c r="I73" s="35" t="s">
        <v>3085</v>
      </c>
      <c r="K73" s="39"/>
      <c r="L73" s="39">
        <v>43273</v>
      </c>
      <c r="M73" s="35" t="s">
        <v>345</v>
      </c>
      <c r="O73" s="22">
        <v>28</v>
      </c>
      <c r="P73" s="40"/>
      <c r="Q73" s="111">
        <v>16900</v>
      </c>
      <c r="R73" s="22">
        <f>72*E73</f>
        <v>9360</v>
      </c>
      <c r="S73" s="43">
        <f>-38*E73</f>
        <v>-4940</v>
      </c>
      <c r="T73" s="43">
        <f>X73*F73*0.0045</f>
        <v>2161.0724487617417</v>
      </c>
      <c r="U73" s="22">
        <f>E73*5</f>
        <v>650</v>
      </c>
      <c r="W73" s="22">
        <v>0.3</v>
      </c>
      <c r="X73" s="22">
        <f>((O73*F73)+Q73+R73+S73+U73)/G73</f>
        <v>34.837745516652433</v>
      </c>
      <c r="Y73" s="22">
        <f>((O73*F73)+Q73+R73+S73+T73+U73)/G73+W73</f>
        <v>35.322294829100059</v>
      </c>
      <c r="Z73" s="3">
        <f>Y73*G73</f>
        <v>413624.07244876167</v>
      </c>
      <c r="AA73" s="44">
        <v>43286</v>
      </c>
      <c r="AB73" s="3"/>
      <c r="AC73" s="119"/>
    </row>
    <row r="74" spans="1:29" x14ac:dyDescent="0.25">
      <c r="A74" s="65"/>
      <c r="B74" s="34" t="s">
        <v>351</v>
      </c>
      <c r="C74" t="s">
        <v>3208</v>
      </c>
      <c r="D74" s="35" t="s">
        <v>1065</v>
      </c>
      <c r="E74" t="s">
        <v>3209</v>
      </c>
      <c r="F74" s="36">
        <v>9009.82</v>
      </c>
      <c r="G74" s="38">
        <v>9009.82</v>
      </c>
      <c r="H74" s="38">
        <f t="shared" si="25"/>
        <v>0</v>
      </c>
      <c r="I74" s="35" t="s">
        <v>3210</v>
      </c>
      <c r="K74" s="39"/>
      <c r="L74" s="39">
        <v>43274</v>
      </c>
      <c r="M74" s="35" t="s">
        <v>348</v>
      </c>
      <c r="O74" s="22">
        <v>41.8</v>
      </c>
      <c r="P74" s="40"/>
      <c r="Q74" s="22"/>
      <c r="R74" s="22"/>
      <c r="S74" s="43"/>
      <c r="T74" s="43"/>
      <c r="U74" s="22"/>
      <c r="W74" s="22"/>
      <c r="X74" s="22">
        <f>IF(O74&gt;0,O74,((P74*2.2046*S74)+(Q74+R74)/G74)+V74)</f>
        <v>41.8</v>
      </c>
      <c r="Y74" s="22">
        <f>IF(O74&gt;0,O74,((P74*2.2046*S74)+(Q74+R74+T74)/G74)+V74+W74)</f>
        <v>41.8</v>
      </c>
      <c r="Z74" s="3">
        <f>Y74*F74</f>
        <v>376610.47599999997</v>
      </c>
      <c r="AA74" s="44">
        <v>43283</v>
      </c>
      <c r="AB74" s="3"/>
      <c r="AC74" s="119"/>
    </row>
    <row r="75" spans="1:29" x14ac:dyDescent="0.25">
      <c r="A75" s="65"/>
      <c r="B75" s="34" t="s">
        <v>328</v>
      </c>
      <c r="C75" t="s">
        <v>343</v>
      </c>
      <c r="D75" s="35" t="s">
        <v>343</v>
      </c>
      <c r="E75" t="s">
        <v>1040</v>
      </c>
      <c r="F75" s="36">
        <f>42532*0.4536</f>
        <v>19292.515200000002</v>
      </c>
      <c r="G75" s="38">
        <v>19249.88</v>
      </c>
      <c r="H75" s="38">
        <f t="shared" si="25"/>
        <v>-42.635200000000623</v>
      </c>
      <c r="I75" s="35" t="s">
        <v>2967</v>
      </c>
      <c r="J75" s="5" t="s">
        <v>1022</v>
      </c>
      <c r="K75" s="39">
        <v>43273</v>
      </c>
      <c r="L75" s="39">
        <v>43274</v>
      </c>
      <c r="M75" s="35" t="s">
        <v>348</v>
      </c>
      <c r="N75" s="35" t="s">
        <v>2965</v>
      </c>
      <c r="O75" s="22"/>
      <c r="P75" s="40">
        <f>0.6173+0.105</f>
        <v>0.72229999999999994</v>
      </c>
      <c r="Q75" s="111">
        <v>26000</v>
      </c>
      <c r="R75" s="22">
        <v>67688</v>
      </c>
      <c r="S75" s="45">
        <v>20.689</v>
      </c>
      <c r="T75" s="43">
        <f>X75*F75*0.005</f>
        <v>3658.9936060554496</v>
      </c>
      <c r="V75" s="22">
        <v>0.12</v>
      </c>
      <c r="W75" s="22">
        <v>0.3</v>
      </c>
      <c r="X75" s="22">
        <f>IF(O75&gt;0,O75,((P75*2.2046*S75)+(Q75+R75)/G75)+V75)</f>
        <v>37.931742627891765</v>
      </c>
      <c r="Y75" s="22">
        <f>IF(O75&gt;0,O75,((P75*2.2046*S75)+(Q75+R75+T75)/G75)+V75+W75)</f>
        <v>38.421821402723374</v>
      </c>
      <c r="Z75" s="3">
        <f>Y75*F75</f>
        <v>741253.57342372613</v>
      </c>
      <c r="AA75" s="44">
        <v>43269</v>
      </c>
      <c r="AB75" s="3"/>
      <c r="AC75" s="119"/>
    </row>
    <row r="76" spans="1:29" x14ac:dyDescent="0.25">
      <c r="A76" s="65"/>
      <c r="B76" s="34" t="s">
        <v>328</v>
      </c>
      <c r="C76" t="s">
        <v>336</v>
      </c>
      <c r="D76" s="35" t="s">
        <v>336</v>
      </c>
      <c r="E76" t="s">
        <v>1021</v>
      </c>
      <c r="F76" s="36">
        <f>41336*0.4536</f>
        <v>18750.009600000001</v>
      </c>
      <c r="G76" s="38">
        <v>18701.669999999998</v>
      </c>
      <c r="H76" s="38">
        <f t="shared" si="25"/>
        <v>-48.339600000002974</v>
      </c>
      <c r="I76" t="s">
        <v>2860</v>
      </c>
      <c r="J76" s="5" t="s">
        <v>1022</v>
      </c>
      <c r="K76" s="39">
        <v>43273</v>
      </c>
      <c r="L76" s="39">
        <v>43274</v>
      </c>
      <c r="M76" s="35" t="s">
        <v>348</v>
      </c>
      <c r="N76" s="35" t="s">
        <v>2966</v>
      </c>
      <c r="O76" s="22"/>
      <c r="P76" s="40">
        <f>0.6173+0.095</f>
        <v>0.71229999999999993</v>
      </c>
      <c r="Q76" s="111">
        <v>26000</v>
      </c>
      <c r="R76" s="22">
        <v>65211</v>
      </c>
      <c r="S76" s="45">
        <v>20.596</v>
      </c>
      <c r="T76" s="43">
        <f t="shared" ref="T76" si="34">X76*F76*0.005</f>
        <v>3500.6090014561478</v>
      </c>
      <c r="V76" s="22">
        <v>0.12</v>
      </c>
      <c r="W76" s="22">
        <v>0.3</v>
      </c>
      <c r="X76" s="22">
        <f t="shared" ref="X76" si="35">IF(O76&gt;0,O76,((P76*2.2046*S76)+(Q76+R76)/G76)+V76)</f>
        <v>37.339810230882733</v>
      </c>
      <c r="Y76" s="22">
        <f t="shared" ref="Y76" si="36">IF(O76&gt;0,O76,((P76*2.2046*S76)+(Q76+R76+T76)/G76)+V76+W76)</f>
        <v>37.826991856986503</v>
      </c>
      <c r="Z76" s="3">
        <f t="shared" ref="Z76" si="37">Y76*F76</f>
        <v>709256.46045761881</v>
      </c>
      <c r="AA76" s="44">
        <v>43269</v>
      </c>
      <c r="AB76" s="3" t="s">
        <v>3144</v>
      </c>
      <c r="AC76" s="119"/>
    </row>
    <row r="77" spans="1:29" ht="15.75" thickBot="1" x14ac:dyDescent="0.3">
      <c r="A77" s="66"/>
      <c r="B77" s="49"/>
      <c r="C77" s="23"/>
      <c r="D77" s="23"/>
      <c r="E77" s="23"/>
      <c r="F77" s="50"/>
      <c r="G77" s="50"/>
      <c r="H77" s="50"/>
      <c r="I77" s="26"/>
      <c r="J77" s="23"/>
      <c r="K77" s="27"/>
      <c r="L77" s="27"/>
      <c r="M77" s="23"/>
      <c r="N77" s="23"/>
      <c r="O77" s="28"/>
      <c r="P77" s="29"/>
      <c r="Q77" s="28"/>
      <c r="R77" s="28"/>
      <c r="S77" s="28"/>
      <c r="T77" s="28"/>
      <c r="U77" s="28"/>
      <c r="V77" s="28"/>
      <c r="W77" s="28"/>
      <c r="X77" s="28"/>
      <c r="Y77" s="28"/>
      <c r="Z77" s="32"/>
      <c r="AA77" s="51"/>
      <c r="AB77" s="3"/>
      <c r="AC77" s="119"/>
    </row>
    <row r="78" spans="1:29" ht="15.75" thickTop="1" x14ac:dyDescent="0.25">
      <c r="A78" s="202"/>
      <c r="B78" s="53" t="s">
        <v>340</v>
      </c>
      <c r="C78" s="53" t="s">
        <v>341</v>
      </c>
      <c r="D78" s="54" t="s">
        <v>1047</v>
      </c>
      <c r="E78" s="53">
        <v>201</v>
      </c>
      <c r="F78" s="55">
        <v>20490</v>
      </c>
      <c r="G78" s="56">
        <v>18450</v>
      </c>
      <c r="H78" s="121">
        <f t="shared" ref="H78:H94" si="38">G78-F78</f>
        <v>-2040</v>
      </c>
      <c r="I78" s="57" t="s">
        <v>3136</v>
      </c>
      <c r="J78" s="190">
        <v>200</v>
      </c>
      <c r="K78" s="58"/>
      <c r="L78" s="58">
        <v>43275</v>
      </c>
      <c r="M78" s="54" t="s">
        <v>349</v>
      </c>
      <c r="N78" s="53"/>
      <c r="O78" s="59">
        <v>28</v>
      </c>
      <c r="P78" s="60"/>
      <c r="Q78" s="61">
        <v>21300</v>
      </c>
      <c r="R78" s="22">
        <f>72*E78</f>
        <v>14472</v>
      </c>
      <c r="S78" s="59">
        <f>-38*E78</f>
        <v>-7638</v>
      </c>
      <c r="T78" s="62">
        <f>X78*F78*0.0045</f>
        <v>3012.8246121951215</v>
      </c>
      <c r="U78" s="59">
        <f>E78*5</f>
        <v>1005</v>
      </c>
      <c r="V78" s="53"/>
      <c r="W78" s="59">
        <v>0.3</v>
      </c>
      <c r="X78" s="59">
        <f>((O78*F78)+Q78+R78+S78+U78)/G78</f>
        <v>32.675284552845525</v>
      </c>
      <c r="Y78" s="63">
        <f>((O78*F78)+Q78+R78+S78+T78+U78)/G78+W78</f>
        <v>33.138581279793769</v>
      </c>
      <c r="Z78" s="63">
        <f>Y78*G78</f>
        <v>611406.82461219502</v>
      </c>
      <c r="AA78" s="64">
        <v>43290</v>
      </c>
      <c r="AB78" s="3"/>
      <c r="AC78" s="3"/>
    </row>
    <row r="79" spans="1:29" x14ac:dyDescent="0.25">
      <c r="A79" s="203"/>
      <c r="B79" s="34" t="s">
        <v>340</v>
      </c>
      <c r="C79" t="s">
        <v>341</v>
      </c>
      <c r="D79" s="35" t="s">
        <v>2881</v>
      </c>
      <c r="E79">
        <v>130</v>
      </c>
      <c r="F79" s="36">
        <v>16130</v>
      </c>
      <c r="G79" s="38">
        <v>10460</v>
      </c>
      <c r="H79" s="38">
        <f t="shared" ref="H79" si="39">G79-F79</f>
        <v>-5670</v>
      </c>
      <c r="I79" s="35" t="s">
        <v>3137</v>
      </c>
      <c r="J79" s="10">
        <v>131</v>
      </c>
      <c r="K79" s="39"/>
      <c r="L79" s="39">
        <v>43275</v>
      </c>
      <c r="M79" s="35" t="s">
        <v>349</v>
      </c>
      <c r="O79" s="22">
        <v>28</v>
      </c>
      <c r="P79" s="40"/>
      <c r="Q79" s="111">
        <v>16900</v>
      </c>
      <c r="R79" s="22">
        <f>72*E79</f>
        <v>9360</v>
      </c>
      <c r="S79" s="43">
        <f>-38*E79</f>
        <v>-4940</v>
      </c>
      <c r="T79" s="43">
        <f>X79*F79*0.0045</f>
        <v>3286.518341300191</v>
      </c>
      <c r="U79" s="22">
        <f>E79*5</f>
        <v>650</v>
      </c>
      <c r="W79" s="22">
        <v>0.3</v>
      </c>
      <c r="X79" s="22">
        <f>((O79*F79)+Q79+R79+S79+U79)/G79</f>
        <v>45.278202676864247</v>
      </c>
      <c r="Y79" s="22">
        <f>((O79*F79)+Q79+R79+S79+T79+U79)/G79+W79</f>
        <v>45.892401371061204</v>
      </c>
      <c r="Z79" s="3">
        <f>Y79*G79</f>
        <v>480034.51834130019</v>
      </c>
      <c r="AA79" s="44">
        <v>43290</v>
      </c>
      <c r="AB79" s="3">
        <v>38.4</v>
      </c>
      <c r="AC79" s="119" t="s">
        <v>3141</v>
      </c>
    </row>
    <row r="80" spans="1:29" x14ac:dyDescent="0.25">
      <c r="A80" s="203"/>
      <c r="B80" s="34" t="s">
        <v>340</v>
      </c>
      <c r="C80" t="s">
        <v>341</v>
      </c>
      <c r="D80" s="35" t="s">
        <v>1389</v>
      </c>
      <c r="E80">
        <v>250</v>
      </c>
      <c r="F80" s="36">
        <v>27920</v>
      </c>
      <c r="G80" s="38">
        <f>16200+6170</f>
        <v>22370</v>
      </c>
      <c r="H80" s="38">
        <f t="shared" si="38"/>
        <v>-5550</v>
      </c>
      <c r="I80" s="35" t="s">
        <v>3142</v>
      </c>
      <c r="K80" s="39"/>
      <c r="L80" s="39">
        <v>43276</v>
      </c>
      <c r="M80" s="35" t="s">
        <v>350</v>
      </c>
      <c r="O80" s="22">
        <v>28.5</v>
      </c>
      <c r="P80" s="40"/>
      <c r="Q80" s="47">
        <v>21300</v>
      </c>
      <c r="R80" s="22">
        <f>72*E80</f>
        <v>18000</v>
      </c>
      <c r="S80" s="43">
        <f>-38*E80</f>
        <v>-9500</v>
      </c>
      <c r="T80" s="43">
        <f>X80*F80*0.0045</f>
        <v>4643.5128654447917</v>
      </c>
      <c r="U80" s="22">
        <f>E80*5</f>
        <v>1250</v>
      </c>
      <c r="W80" s="22">
        <v>0.3</v>
      </c>
      <c r="X80" s="22">
        <f>((O80*F80)+Q80+R80+S80+U80)/G80</f>
        <v>36.958873491282965</v>
      </c>
      <c r="Y80" s="22">
        <f>((O80*F80)+Q80+R80+S80+T80+U80)/G80+W80</f>
        <v>37.466451178607272</v>
      </c>
      <c r="Z80" s="3">
        <f>Y80*G80</f>
        <v>838124.51286544465</v>
      </c>
      <c r="AA80" s="44">
        <v>43290</v>
      </c>
      <c r="AB80" s="3"/>
      <c r="AC80" s="119" t="s">
        <v>3143</v>
      </c>
    </row>
    <row r="81" spans="1:35" x14ac:dyDescent="0.25">
      <c r="A81" s="203"/>
      <c r="B81" s="34" t="s">
        <v>1501</v>
      </c>
      <c r="C81" t="s">
        <v>343</v>
      </c>
      <c r="D81" s="35" t="s">
        <v>1106</v>
      </c>
      <c r="E81" t="s">
        <v>1652</v>
      </c>
      <c r="F81" s="36">
        <v>3746.2</v>
      </c>
      <c r="G81" s="38">
        <v>3746.2</v>
      </c>
      <c r="H81" s="38">
        <f t="shared" si="38"/>
        <v>0</v>
      </c>
      <c r="I81" s="35" t="s">
        <v>3205</v>
      </c>
      <c r="K81" s="39"/>
      <c r="L81" s="39">
        <v>43276</v>
      </c>
      <c r="M81" s="35" t="s">
        <v>350</v>
      </c>
      <c r="O81" s="22">
        <v>20</v>
      </c>
      <c r="P81" s="40"/>
      <c r="Q81" s="22"/>
      <c r="R81" s="22"/>
      <c r="S81" s="43"/>
      <c r="T81" s="43"/>
      <c r="U81" s="22"/>
      <c r="W81" s="22"/>
      <c r="X81" s="22">
        <f>IF(O81&gt;0,O81,((P81*2.2046*S81)+(Q81+R81)/G81)+V81)</f>
        <v>20</v>
      </c>
      <c r="Y81" s="22">
        <f>IF(O81&gt;0,O81,((P81*2.2046*S81)+(Q81+R81+T81)/G81)+V81+W81)</f>
        <v>20</v>
      </c>
      <c r="Z81" s="3">
        <f>Y81*F81</f>
        <v>74924</v>
      </c>
      <c r="AA81" s="44">
        <v>43283</v>
      </c>
      <c r="AB81" s="3"/>
      <c r="AC81" s="119"/>
    </row>
    <row r="82" spans="1:35" x14ac:dyDescent="0.25">
      <c r="A82" s="203"/>
      <c r="B82" s="34" t="s">
        <v>328</v>
      </c>
      <c r="C82" t="s">
        <v>329</v>
      </c>
      <c r="D82" s="35" t="s">
        <v>329</v>
      </c>
      <c r="E82" t="s">
        <v>1021</v>
      </c>
      <c r="F82" s="36">
        <f>40999*0.4536</f>
        <v>18597.146400000001</v>
      </c>
      <c r="G82" s="38">
        <v>18510.060000000001</v>
      </c>
      <c r="H82" s="38">
        <f t="shared" si="38"/>
        <v>-87.08640000000014</v>
      </c>
      <c r="I82" s="35" t="s">
        <v>3064</v>
      </c>
      <c r="J82" s="5" t="s">
        <v>1022</v>
      </c>
      <c r="K82" s="39">
        <v>43276</v>
      </c>
      <c r="L82" s="39">
        <v>43277</v>
      </c>
      <c r="M82" s="35" t="s">
        <v>355</v>
      </c>
      <c r="N82" s="35" t="s">
        <v>3063</v>
      </c>
      <c r="O82" s="22"/>
      <c r="P82" s="40">
        <f>0.6004+0.095</f>
        <v>0.69540000000000002</v>
      </c>
      <c r="Q82" s="111">
        <v>26000</v>
      </c>
      <c r="R82" s="22">
        <v>63020</v>
      </c>
      <c r="S82" s="45">
        <v>20.13</v>
      </c>
      <c r="T82" s="43">
        <f t="shared" ref="T82:T86" si="40">X82*F82*0.005</f>
        <v>3327.97364338746</v>
      </c>
      <c r="V82" s="22">
        <v>0.12</v>
      </c>
      <c r="W82" s="22">
        <v>0.3</v>
      </c>
      <c r="X82" s="22">
        <f>IF(O82&gt;0,O82,((P82*2.2046*S82)+(Q82+R82)/G82)+V82)</f>
        <v>35.790153734418737</v>
      </c>
      <c r="Y82" s="22">
        <f>IF(O82&gt;0,O82,((P82*2.2046*S82)+(Q82+R82+T82)/G82)+V82+W82)</f>
        <v>36.269946433274789</v>
      </c>
      <c r="Z82" s="3">
        <f>Y82*F82</f>
        <v>674517.5037397691</v>
      </c>
      <c r="AA82" s="44">
        <v>43284</v>
      </c>
      <c r="AB82" s="3"/>
      <c r="AC82" s="119"/>
    </row>
    <row r="83" spans="1:35" x14ac:dyDescent="0.25">
      <c r="A83" s="203"/>
      <c r="B83" s="34" t="s">
        <v>340</v>
      </c>
      <c r="C83" t="s">
        <v>44</v>
      </c>
      <c r="D83" s="35" t="s">
        <v>2048</v>
      </c>
      <c r="E83">
        <v>234</v>
      </c>
      <c r="F83" s="36">
        <v>21400</v>
      </c>
      <c r="G83" s="38">
        <v>21400</v>
      </c>
      <c r="H83" s="38">
        <f t="shared" si="38"/>
        <v>0</v>
      </c>
      <c r="I83" t="s">
        <v>3258</v>
      </c>
      <c r="K83" s="39"/>
      <c r="L83" s="39">
        <v>43277</v>
      </c>
      <c r="M83" s="35" t="s">
        <v>355</v>
      </c>
      <c r="O83" s="22">
        <v>36.5</v>
      </c>
      <c r="P83" s="40"/>
      <c r="Q83" s="47">
        <v>21300</v>
      </c>
      <c r="R83" s="22"/>
      <c r="S83" s="43"/>
      <c r="T83" s="43"/>
      <c r="U83" s="22">
        <f>E83*5</f>
        <v>1170</v>
      </c>
      <c r="W83" s="22">
        <v>0.3</v>
      </c>
      <c r="X83" s="22">
        <f>((O83*F83)+Q83+R83+S83+U83)/G83</f>
        <v>37.549999999999997</v>
      </c>
      <c r="Y83" s="22">
        <f>((O83*F83)+Q83+R83+S83+T83+U83)/G83+W83</f>
        <v>37.849999999999994</v>
      </c>
      <c r="Z83" s="3">
        <f>Y83*G83</f>
        <v>809989.99999999988</v>
      </c>
      <c r="AA83" s="44">
        <v>43285</v>
      </c>
      <c r="AB83" s="3">
        <v>37.85</v>
      </c>
      <c r="AC83" s="119"/>
      <c r="AE83" s="14"/>
      <c r="AF83" s="38">
        <f>F83</f>
        <v>21400</v>
      </c>
      <c r="AG83">
        <v>36.1</v>
      </c>
      <c r="AH83">
        <f>(O83-AG83)/2</f>
        <v>0.19999999999999929</v>
      </c>
      <c r="AI83">
        <f>AH83*AF83</f>
        <v>4279.9999999999845</v>
      </c>
    </row>
    <row r="84" spans="1:35" x14ac:dyDescent="0.25">
      <c r="A84" s="203"/>
      <c r="B84" s="34" t="s">
        <v>340</v>
      </c>
      <c r="C84" t="s">
        <v>341</v>
      </c>
      <c r="D84" s="35" t="s">
        <v>1389</v>
      </c>
      <c r="E84">
        <f>80+50</f>
        <v>130</v>
      </c>
      <c r="F84" s="36">
        <f>8585+5830</f>
        <v>14415</v>
      </c>
      <c r="G84" s="38">
        <v>11450</v>
      </c>
      <c r="H84" s="38">
        <f t="shared" ref="H84" si="41">G84-F84</f>
        <v>-2965</v>
      </c>
      <c r="I84" s="35" t="s">
        <v>3158</v>
      </c>
      <c r="K84" s="39"/>
      <c r="L84" s="39">
        <v>43277</v>
      </c>
      <c r="M84" s="35" t="s">
        <v>355</v>
      </c>
      <c r="O84" s="22">
        <v>28.5</v>
      </c>
      <c r="P84" s="40"/>
      <c r="Q84" s="111">
        <v>16900</v>
      </c>
      <c r="R84" s="22">
        <f>72*E84</f>
        <v>9360</v>
      </c>
      <c r="S84" s="43">
        <f>-38*E84</f>
        <v>-4940</v>
      </c>
      <c r="T84" s="43">
        <f>X84*F84*0.0045</f>
        <v>2451.9206839519647</v>
      </c>
      <c r="U84" s="22">
        <f>E84*5</f>
        <v>650</v>
      </c>
      <c r="W84" s="22">
        <v>0.3</v>
      </c>
      <c r="X84" s="22">
        <f>((O84*F84)+Q84+R84+S84+U84)/G84</f>
        <v>37.798908296943232</v>
      </c>
      <c r="Y84" s="22">
        <f>((O84*F84)+Q84+R84+S84+T84+U84)/G84+W84</f>
        <v>38.313049841393187</v>
      </c>
      <c r="Z84" s="3">
        <f>Y84*G84</f>
        <v>438684.42068395199</v>
      </c>
      <c r="AA84" s="44">
        <v>43290</v>
      </c>
      <c r="AB84" s="3"/>
      <c r="AC84" s="119" t="s">
        <v>3165</v>
      </c>
    </row>
    <row r="85" spans="1:35" x14ac:dyDescent="0.25">
      <c r="A85" s="203"/>
      <c r="B85" s="34" t="s">
        <v>340</v>
      </c>
      <c r="C85" t="s">
        <v>341</v>
      </c>
      <c r="D85" s="35" t="s">
        <v>1389</v>
      </c>
      <c r="E85">
        <f>199+50</f>
        <v>249</v>
      </c>
      <c r="F85" s="36">
        <f>23535+5880</f>
        <v>29415</v>
      </c>
      <c r="G85" s="38">
        <f>16700+6560</f>
        <v>23260</v>
      </c>
      <c r="H85" s="38">
        <f t="shared" si="38"/>
        <v>-6155</v>
      </c>
      <c r="I85" s="35" t="s">
        <v>3171</v>
      </c>
      <c r="K85" s="39"/>
      <c r="L85" s="39">
        <v>43278</v>
      </c>
      <c r="M85" s="35" t="s">
        <v>331</v>
      </c>
      <c r="O85" s="22">
        <v>28.5</v>
      </c>
      <c r="P85" s="40"/>
      <c r="Q85" s="47">
        <v>21300</v>
      </c>
      <c r="R85" s="22">
        <f>72*E85</f>
        <v>17928</v>
      </c>
      <c r="S85" s="43">
        <f>-38*E85</f>
        <v>-9462</v>
      </c>
      <c r="T85" s="43">
        <f t="shared" si="40"/>
        <v>5496.9028326526231</v>
      </c>
      <c r="U85" s="22">
        <f>E85*5</f>
        <v>1245</v>
      </c>
      <c r="W85" s="22">
        <v>0.3</v>
      </c>
      <c r="X85" s="22">
        <f>((O85*F85)+Q85+R85+S85+U85)/G85</f>
        <v>37.374828030954426</v>
      </c>
      <c r="Y85" s="22">
        <f>((O85*F85)+Q85+R85+S85+T85+U85)/G85+W85</f>
        <v>37.911152314387472</v>
      </c>
      <c r="Z85" s="3">
        <f>Y85*G85</f>
        <v>881813.40283265256</v>
      </c>
      <c r="AA85" s="44">
        <v>43291</v>
      </c>
      <c r="AB85" s="3"/>
      <c r="AC85" s="119" t="s">
        <v>3176</v>
      </c>
    </row>
    <row r="86" spans="1:35" x14ac:dyDescent="0.25">
      <c r="A86" s="203"/>
      <c r="B86" s="34" t="s">
        <v>328</v>
      </c>
      <c r="C86" s="35" t="s">
        <v>343</v>
      </c>
      <c r="D86" s="35" t="s">
        <v>343</v>
      </c>
      <c r="E86" t="s">
        <v>1040</v>
      </c>
      <c r="F86" s="36">
        <f>42586*0.4536</f>
        <v>19317.009600000001</v>
      </c>
      <c r="G86" s="38">
        <v>19265.86</v>
      </c>
      <c r="H86" s="38">
        <f t="shared" si="38"/>
        <v>-51.149600000000646</v>
      </c>
      <c r="I86" t="s">
        <v>3065</v>
      </c>
      <c r="J86" s="5" t="s">
        <v>1089</v>
      </c>
      <c r="K86" s="39">
        <v>43279</v>
      </c>
      <c r="L86" s="39">
        <v>43280</v>
      </c>
      <c r="M86" s="35" t="s">
        <v>345</v>
      </c>
      <c r="N86" s="35" t="s">
        <v>3066</v>
      </c>
      <c r="O86" s="22"/>
      <c r="P86" s="40">
        <f>0.6099+0.105</f>
        <v>0.71489999999999998</v>
      </c>
      <c r="Q86" s="111">
        <v>26000</v>
      </c>
      <c r="R86" s="22">
        <v>64424</v>
      </c>
      <c r="S86" s="45">
        <v>20.53</v>
      </c>
      <c r="T86" s="43">
        <f t="shared" si="40"/>
        <v>3590.082734035956</v>
      </c>
      <c r="V86" s="22">
        <v>0.12</v>
      </c>
      <c r="W86" s="22">
        <v>0.3</v>
      </c>
      <c r="X86" s="22">
        <f>IF(O86&gt;0,O86,((P86*2.2046*S86)+(Q86+R86)/G86)+V86)</f>
        <v>37.170170832611234</v>
      </c>
      <c r="Y86" s="22">
        <f>IF(O86&gt;0,O86,((P86*2.2046*S86)+(Q86+R86+T86)/G86)+V86+W86)</f>
        <v>37.656515108653721</v>
      </c>
      <c r="Z86" s="3">
        <f>Y86*F86</f>
        <v>727411.263856409</v>
      </c>
      <c r="AA86" s="44">
        <v>43272</v>
      </c>
      <c r="AB86" s="3"/>
      <c r="AC86" s="119"/>
    </row>
    <row r="87" spans="1:35" x14ac:dyDescent="0.25">
      <c r="A87" s="203"/>
      <c r="B87" s="34" t="s">
        <v>340</v>
      </c>
      <c r="C87" t="s">
        <v>341</v>
      </c>
      <c r="D87" s="35" t="s">
        <v>1389</v>
      </c>
      <c r="E87">
        <v>247</v>
      </c>
      <c r="F87" s="36">
        <v>25825</v>
      </c>
      <c r="G87" s="38">
        <v>20680</v>
      </c>
      <c r="H87" s="38">
        <f t="shared" si="38"/>
        <v>-5145</v>
      </c>
      <c r="I87" s="35" t="s">
        <v>3174</v>
      </c>
      <c r="J87" s="10">
        <v>250</v>
      </c>
      <c r="K87" s="39"/>
      <c r="L87" s="39">
        <v>43279</v>
      </c>
      <c r="M87" s="35" t="s">
        <v>342</v>
      </c>
      <c r="O87" s="22">
        <v>29</v>
      </c>
      <c r="P87" s="40"/>
      <c r="Q87" s="47">
        <v>21300</v>
      </c>
      <c r="R87" s="22">
        <f>72*E87</f>
        <v>17784</v>
      </c>
      <c r="S87" s="43">
        <f>-38*E87</f>
        <v>-9386</v>
      </c>
      <c r="T87" s="43">
        <f>X87*F87*0.0045</f>
        <v>4382.4587923114123</v>
      </c>
      <c r="U87" s="22">
        <f>E87*5</f>
        <v>1235</v>
      </c>
      <c r="W87" s="22">
        <v>0.3</v>
      </c>
      <c r="X87" s="22">
        <f>((O87*F87)+Q87+R87+S87+U87)/G87</f>
        <v>37.710735009671183</v>
      </c>
      <c r="Y87" s="22">
        <f>((O87*F87)+Q87+R87+S87+T87+U87)/G87+W87</f>
        <v>38.222652746243291</v>
      </c>
      <c r="Z87" s="3">
        <f>Y87*G87</f>
        <v>790444.45879231126</v>
      </c>
      <c r="AA87" s="44">
        <v>43262</v>
      </c>
      <c r="AB87" s="3"/>
      <c r="AC87" s="119"/>
    </row>
    <row r="88" spans="1:35" x14ac:dyDescent="0.25">
      <c r="A88" s="203"/>
      <c r="B88" s="34" t="s">
        <v>340</v>
      </c>
      <c r="C88" t="s">
        <v>341</v>
      </c>
      <c r="D88" s="35" t="s">
        <v>1047</v>
      </c>
      <c r="E88">
        <v>130</v>
      </c>
      <c r="F88" s="36">
        <v>14255</v>
      </c>
      <c r="G88" s="38">
        <v>11050</v>
      </c>
      <c r="H88" s="38">
        <f t="shared" si="38"/>
        <v>-3205</v>
      </c>
      <c r="I88" s="35" t="s">
        <v>3175</v>
      </c>
      <c r="J88" s="10">
        <v>127</v>
      </c>
      <c r="K88" s="39"/>
      <c r="L88" s="39">
        <v>43279</v>
      </c>
      <c r="M88" s="35" t="s">
        <v>342</v>
      </c>
      <c r="O88" s="22">
        <v>29</v>
      </c>
      <c r="P88" s="40"/>
      <c r="Q88" s="111">
        <v>16900</v>
      </c>
      <c r="R88" s="22">
        <f>72*E88</f>
        <v>9360</v>
      </c>
      <c r="S88" s="43">
        <f>-38*E88</f>
        <v>-4940</v>
      </c>
      <c r="T88" s="43">
        <f>X88*F88*0.0045</f>
        <v>2527.3824739819001</v>
      </c>
      <c r="U88" s="22">
        <f>E88*5</f>
        <v>650</v>
      </c>
      <c r="W88" s="22">
        <v>0.3</v>
      </c>
      <c r="X88" s="22">
        <f>((O88*F88)+Q88+R88+S88+U88)/G88</f>
        <v>39.399547511312214</v>
      </c>
      <c r="Y88" s="22">
        <f>((O88*F88)+Q88+R88+S88+T88+U88)/G88+W88</f>
        <v>39.92826990714768</v>
      </c>
      <c r="Z88" s="3">
        <f>Y88*G88</f>
        <v>441207.38247398188</v>
      </c>
      <c r="AA88" s="44">
        <v>43262</v>
      </c>
      <c r="AB88" s="3">
        <v>38.799999999999997</v>
      </c>
      <c r="AC88" s="119" t="s">
        <v>3177</v>
      </c>
    </row>
    <row r="89" spans="1:35" x14ac:dyDescent="0.25">
      <c r="A89" s="203"/>
      <c r="B89" s="34" t="s">
        <v>328</v>
      </c>
      <c r="C89" s="35" t="s">
        <v>329</v>
      </c>
      <c r="D89" s="35" t="s">
        <v>329</v>
      </c>
      <c r="E89" t="s">
        <v>1021</v>
      </c>
      <c r="F89" s="36">
        <f>42362*0.4536</f>
        <v>19215.403200000001</v>
      </c>
      <c r="G89" s="38">
        <v>19147.93</v>
      </c>
      <c r="H89" s="38">
        <f t="shared" si="38"/>
        <v>-67.473200000000361</v>
      </c>
      <c r="I89" t="s">
        <v>3067</v>
      </c>
      <c r="J89" s="5" t="s">
        <v>1022</v>
      </c>
      <c r="K89" s="39">
        <v>43279</v>
      </c>
      <c r="L89" s="39">
        <v>43280</v>
      </c>
      <c r="M89" s="35" t="s">
        <v>345</v>
      </c>
      <c r="N89" s="35" t="s">
        <v>2911</v>
      </c>
      <c r="O89" s="22"/>
      <c r="P89" s="40">
        <f>0.6099+0.095</f>
        <v>0.70489999999999997</v>
      </c>
      <c r="Q89" s="111">
        <v>26000</v>
      </c>
      <c r="R89" s="22">
        <v>64288</v>
      </c>
      <c r="S89" s="45">
        <v>20.14</v>
      </c>
      <c r="T89" s="43">
        <f>X89*F89*0.005</f>
        <v>3471.5798072715784</v>
      </c>
      <c r="V89" s="22">
        <v>0.12</v>
      </c>
      <c r="W89" s="22">
        <v>0.3</v>
      </c>
      <c r="X89" s="22">
        <f>IF(O89&gt;0,O89,((P89*2.2046*S89)+(Q89+R89)/G89)+V89)</f>
        <v>36.133301717775858</v>
      </c>
      <c r="Y89" s="22">
        <f>IF(O89&gt;0,O89,((P89*2.2046*S89)+(Q89+R89+T89)/G89)+V89+W89)</f>
        <v>36.614604856406068</v>
      </c>
      <c r="Z89" s="3">
        <f>Y89*F89</f>
        <v>703564.39532452077</v>
      </c>
      <c r="AA89" s="44">
        <v>43284</v>
      </c>
      <c r="AB89" s="3"/>
      <c r="AC89" s="119"/>
    </row>
    <row r="90" spans="1:35" x14ac:dyDescent="0.25">
      <c r="A90" s="203"/>
      <c r="B90" s="34" t="s">
        <v>340</v>
      </c>
      <c r="C90" t="s">
        <v>341</v>
      </c>
      <c r="D90" s="35" t="s">
        <v>1047</v>
      </c>
      <c r="E90">
        <v>251</v>
      </c>
      <c r="F90" s="36">
        <v>27430</v>
      </c>
      <c r="G90" s="38">
        <v>21610</v>
      </c>
      <c r="H90" s="38">
        <f t="shared" si="38"/>
        <v>-5820</v>
      </c>
      <c r="I90" s="35" t="s">
        <v>3191</v>
      </c>
      <c r="K90" s="39"/>
      <c r="L90" s="39">
        <v>43280</v>
      </c>
      <c r="M90" s="35" t="s">
        <v>345</v>
      </c>
      <c r="O90" s="22">
        <v>29</v>
      </c>
      <c r="P90" s="40"/>
      <c r="Q90" s="47">
        <v>21300</v>
      </c>
      <c r="R90" s="22">
        <f>72*E90</f>
        <v>18072</v>
      </c>
      <c r="S90" s="43">
        <f>-38*E90</f>
        <v>-9538</v>
      </c>
      <c r="T90" s="43">
        <f>X90*F90*0.0045</f>
        <v>4721.254519435447</v>
      </c>
      <c r="U90" s="22">
        <f>E90*5</f>
        <v>1255</v>
      </c>
      <c r="W90" s="22">
        <v>0.3</v>
      </c>
      <c r="X90" s="22">
        <f>((O90*F90)+Q90+R90+S90+U90)/G90</f>
        <v>38.248912540490515</v>
      </c>
      <c r="Y90" s="22">
        <f>((O90*F90)+Q90+R90+S90+T90+U90)/G90+W90</f>
        <v>38.767387992569894</v>
      </c>
      <c r="Z90" s="3">
        <f>Y90*G90</f>
        <v>837763.25451943546</v>
      </c>
      <c r="AA90" s="44">
        <v>43293</v>
      </c>
      <c r="AB90" s="3"/>
      <c r="AC90" s="119"/>
    </row>
    <row r="91" spans="1:35" x14ac:dyDescent="0.25">
      <c r="A91" s="203"/>
      <c r="B91" s="34" t="s">
        <v>340</v>
      </c>
      <c r="C91" t="s">
        <v>341</v>
      </c>
      <c r="D91" s="35" t="s">
        <v>2881</v>
      </c>
      <c r="E91">
        <v>130</v>
      </c>
      <c r="F91" s="36">
        <v>14590</v>
      </c>
      <c r="G91" s="38">
        <v>11650</v>
      </c>
      <c r="H91" s="38">
        <f t="shared" si="38"/>
        <v>-2940</v>
      </c>
      <c r="I91" s="35"/>
      <c r="K91" s="39"/>
      <c r="L91" s="39">
        <v>43280</v>
      </c>
      <c r="M91" s="35" t="s">
        <v>345</v>
      </c>
      <c r="O91" s="22">
        <v>29</v>
      </c>
      <c r="P91" s="40"/>
      <c r="Q91" s="111">
        <v>16900</v>
      </c>
      <c r="R91" s="22">
        <f>72*E91</f>
        <v>9360</v>
      </c>
      <c r="S91" s="43">
        <f>-38*E91</f>
        <v>-4940</v>
      </c>
      <c r="T91" s="43">
        <f>X91*F91*0.0045</f>
        <v>2508.3027811158795</v>
      </c>
      <c r="U91" s="22">
        <f>E91*5</f>
        <v>650</v>
      </c>
      <c r="W91" s="22">
        <v>0.3</v>
      </c>
      <c r="X91" s="22">
        <f>((O91*F91)+Q91+R91+S91+U91)/G91</f>
        <v>38.204291845493564</v>
      </c>
      <c r="Y91" s="22">
        <f>((O91*F91)+Q91+R91+S91+T91+U91)/G91+W91</f>
        <v>38.719596805245992</v>
      </c>
      <c r="Z91" s="3">
        <f>Y91*G91</f>
        <v>451083.30278111581</v>
      </c>
      <c r="AA91" s="44">
        <v>43293</v>
      </c>
      <c r="AB91" s="3"/>
      <c r="AC91" s="119" t="s">
        <v>3201</v>
      </c>
    </row>
    <row r="92" spans="1:35" x14ac:dyDescent="0.25">
      <c r="A92" s="203"/>
      <c r="B92" s="34" t="s">
        <v>1501</v>
      </c>
      <c r="C92" t="s">
        <v>343</v>
      </c>
      <c r="D92" s="35" t="s">
        <v>1106</v>
      </c>
      <c r="E92" t="s">
        <v>1260</v>
      </c>
      <c r="F92" s="36">
        <v>1788</v>
      </c>
      <c r="G92" s="38">
        <v>1788</v>
      </c>
      <c r="H92" s="38">
        <f t="shared" ref="H92" si="42">G92-F92</f>
        <v>0</v>
      </c>
      <c r="I92" s="35" t="s">
        <v>3217</v>
      </c>
      <c r="K92" s="39"/>
      <c r="L92" s="39">
        <v>43280</v>
      </c>
      <c r="M92" s="35" t="s">
        <v>345</v>
      </c>
      <c r="O92" s="22">
        <v>20</v>
      </c>
      <c r="P92" s="40"/>
      <c r="Q92" s="22"/>
      <c r="R92" s="22"/>
      <c r="S92" s="43"/>
      <c r="T92" s="43"/>
      <c r="U92" s="22"/>
      <c r="W92" s="22"/>
      <c r="X92" s="22">
        <f>IF(O92&gt;0,O92,((P92*2.2046*S92)+(Q92+R92)/G92)+V92)</f>
        <v>20</v>
      </c>
      <c r="Y92" s="22">
        <f>IF(O92&gt;0,O92,((P92*2.2046*S92)+(Q92+R92+T92)/G92)+V92+W92)</f>
        <v>20</v>
      </c>
      <c r="Z92" s="3">
        <f>Y92*F92</f>
        <v>35760</v>
      </c>
      <c r="AA92" s="44">
        <v>43287</v>
      </c>
      <c r="AB92" s="3"/>
      <c r="AC92" s="119"/>
    </row>
    <row r="93" spans="1:35" x14ac:dyDescent="0.25">
      <c r="A93" s="203"/>
      <c r="B93" s="34" t="s">
        <v>328</v>
      </c>
      <c r="C93" t="s">
        <v>343</v>
      </c>
      <c r="D93" s="35" t="s">
        <v>343</v>
      </c>
      <c r="E93" t="s">
        <v>1040</v>
      </c>
      <c r="F93" s="36">
        <f>42518*0.4536</f>
        <v>19286.164799999999</v>
      </c>
      <c r="G93" s="38">
        <v>19288.099999999999</v>
      </c>
      <c r="H93" s="38">
        <f t="shared" si="38"/>
        <v>1.9351999999998952</v>
      </c>
      <c r="I93" s="35" t="s">
        <v>3068</v>
      </c>
      <c r="J93" s="5" t="s">
        <v>1022</v>
      </c>
      <c r="K93" s="39">
        <v>43280</v>
      </c>
      <c r="L93" s="39">
        <v>43281</v>
      </c>
      <c r="M93" s="35" t="s">
        <v>348</v>
      </c>
      <c r="N93" s="35" t="s">
        <v>3069</v>
      </c>
      <c r="O93" s="22"/>
      <c r="P93" s="40">
        <f>0.7057+0.105</f>
        <v>0.81069999999999998</v>
      </c>
      <c r="Q93" s="111">
        <v>26000</v>
      </c>
      <c r="R93" s="22">
        <v>74010</v>
      </c>
      <c r="S93" s="45">
        <v>20.367999999999999</v>
      </c>
      <c r="T93" s="43">
        <f>X93*F93*0.005</f>
        <v>4021.9524065487572</v>
      </c>
      <c r="V93" s="22">
        <v>0.12</v>
      </c>
      <c r="W93" s="22">
        <v>0.3</v>
      </c>
      <c r="X93" s="22">
        <f>IF(O93&gt;0,O93,((P93*2.2046*S93)+(Q93+R93)/G93)+V93)</f>
        <v>41.708161765254204</v>
      </c>
      <c r="Y93" s="22">
        <f>IF(O93&gt;0,O93,((P93*2.2046*S93)+(Q93+R93+T93)/G93)+V93+W93)</f>
        <v>42.216681650911617</v>
      </c>
      <c r="Z93" s="3">
        <f>Y93*F93</f>
        <v>814197.87962861743</v>
      </c>
      <c r="AA93" s="44">
        <v>43276</v>
      </c>
      <c r="AB93" s="3"/>
      <c r="AC93" s="119"/>
    </row>
    <row r="94" spans="1:35" x14ac:dyDescent="0.25">
      <c r="A94" s="203"/>
      <c r="B94" s="34" t="s">
        <v>328</v>
      </c>
      <c r="C94" t="s">
        <v>336</v>
      </c>
      <c r="D94" s="35" t="s">
        <v>336</v>
      </c>
      <c r="E94" t="s">
        <v>1021</v>
      </c>
      <c r="F94" s="36">
        <f>41580*0.4536</f>
        <v>18860.688000000002</v>
      </c>
      <c r="G94" s="38">
        <v>18832.47</v>
      </c>
      <c r="H94" s="38">
        <f t="shared" si="38"/>
        <v>-28.218000000000757</v>
      </c>
      <c r="I94" t="s">
        <v>2861</v>
      </c>
      <c r="J94" s="5" t="s">
        <v>1022</v>
      </c>
      <c r="K94" s="39">
        <v>43280</v>
      </c>
      <c r="L94" s="39">
        <v>43281</v>
      </c>
      <c r="M94" s="35" t="s">
        <v>348</v>
      </c>
      <c r="N94" s="35" t="s">
        <v>3070</v>
      </c>
      <c r="O94" s="22"/>
      <c r="P94" s="40">
        <f>0.7057+0.095</f>
        <v>0.80069999999999997</v>
      </c>
      <c r="Q94" s="111">
        <v>26000</v>
      </c>
      <c r="R94" s="22">
        <v>71754</v>
      </c>
      <c r="S94" s="45">
        <v>20.11</v>
      </c>
      <c r="T94" s="43">
        <f t="shared" ref="T94" si="43">X94*F94*0.005</f>
        <v>3848.4625395944158</v>
      </c>
      <c r="V94" s="22">
        <v>0.12</v>
      </c>
      <c r="W94" s="22">
        <v>0.3</v>
      </c>
      <c r="X94" s="22">
        <f t="shared" ref="X94" si="44">IF(O94&gt;0,O94,((P94*2.2046*S94)+(Q94+R94)/G94)+V94)</f>
        <v>40.809354776394322</v>
      </c>
      <c r="Y94" s="22">
        <f t="shared" ref="Y94" si="45">IF(O94&gt;0,O94,((P94*2.2046*S94)+(Q94+R94+T94)/G94)+V94+W94)</f>
        <v>41.313707287753395</v>
      </c>
      <c r="Z94" s="3">
        <f t="shared" ref="Z94" si="46">Y94*F94</f>
        <v>779204.94327764306</v>
      </c>
      <c r="AA94" s="44">
        <v>43276</v>
      </c>
      <c r="AB94" s="3"/>
      <c r="AC94" s="119"/>
    </row>
    <row r="95" spans="1:35" ht="15.75" thickBot="1" x14ac:dyDescent="0.3">
      <c r="A95" s="204"/>
      <c r="B95" s="49"/>
      <c r="C95" s="23"/>
      <c r="D95" s="23"/>
      <c r="E95" s="23"/>
      <c r="F95" s="50"/>
      <c r="G95" s="50"/>
      <c r="H95" s="50"/>
      <c r="I95" s="26"/>
      <c r="J95" s="23"/>
      <c r="K95" s="27"/>
      <c r="L95" s="27"/>
      <c r="M95" s="23"/>
      <c r="N95" s="23"/>
      <c r="O95" s="28"/>
      <c r="P95" s="29"/>
      <c r="Q95" s="28"/>
      <c r="R95" s="28"/>
      <c r="S95" s="28"/>
      <c r="T95" s="28"/>
      <c r="U95" s="28"/>
      <c r="V95" s="28"/>
      <c r="W95" s="28"/>
      <c r="X95" s="28"/>
      <c r="Y95" s="28"/>
      <c r="Z95" s="32"/>
      <c r="AA95" s="51"/>
      <c r="AB95" s="3"/>
      <c r="AC95" s="119"/>
    </row>
  </sheetData>
  <pageMargins left="0.7" right="0.7" top="0.75" bottom="0.75" header="0.3" footer="0.3"/>
  <pageSetup orientation="portrait" horizontalDpi="4294967293" verticalDpi="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AI82"/>
  <sheetViews>
    <sheetView tabSelected="1" topLeftCell="C19" zoomScale="80" zoomScaleNormal="80" workbookViewId="0">
      <selection activeCell="T28" sqref="T28"/>
    </sheetView>
  </sheetViews>
  <sheetFormatPr baseColWidth="10" defaultRowHeight="15" x14ac:dyDescent="0.25"/>
  <cols>
    <col min="1" max="1" width="4.7109375" customWidth="1"/>
    <col min="2" max="2" width="16.85546875" customWidth="1"/>
    <col min="3" max="3" width="14" customWidth="1"/>
    <col min="4" max="4" width="21.28515625" customWidth="1"/>
    <col min="5" max="5" width="11.42578125" bestFit="1" customWidth="1"/>
    <col min="7" max="7" width="12.5703125" customWidth="1"/>
    <col min="8" max="8" width="10.5703125" bestFit="1" customWidth="1"/>
    <col min="12" max="12" width="12.140625" customWidth="1"/>
    <col min="13" max="13" width="6.28515625" customWidth="1"/>
    <col min="14" max="14" width="8.42578125" customWidth="1"/>
    <col min="18" max="18" width="12.5703125" customWidth="1"/>
    <col min="22" max="22" width="7.140625" customWidth="1"/>
    <col min="24" max="24" width="0" hidden="1" customWidth="1"/>
    <col min="25" max="25" width="12.5703125" customWidth="1"/>
    <col min="26" max="26" width="16.7109375" customWidth="1"/>
    <col min="27" max="27" width="12.5703125" customWidth="1"/>
  </cols>
  <sheetData>
    <row r="2" spans="1:35" x14ac:dyDescent="0.25">
      <c r="A2" s="21" t="s">
        <v>2656</v>
      </c>
      <c r="S2" s="22"/>
      <c r="W2" s="22"/>
      <c r="Z2" s="3"/>
    </row>
    <row r="3" spans="1:35" ht="30.75" thickBot="1" x14ac:dyDescent="0.3">
      <c r="A3" s="23"/>
      <c r="B3" s="23" t="s">
        <v>303</v>
      </c>
      <c r="C3" s="23" t="s">
        <v>304</v>
      </c>
      <c r="D3" s="23" t="s">
        <v>305</v>
      </c>
      <c r="E3" s="23" t="s">
        <v>306</v>
      </c>
      <c r="F3" s="24" t="s">
        <v>307</v>
      </c>
      <c r="G3" s="24" t="s">
        <v>308</v>
      </c>
      <c r="H3" s="25" t="s">
        <v>309</v>
      </c>
      <c r="I3" s="26" t="s">
        <v>310</v>
      </c>
      <c r="J3" s="23" t="s">
        <v>311</v>
      </c>
      <c r="K3" s="27" t="s">
        <v>312</v>
      </c>
      <c r="L3" s="27" t="s">
        <v>313</v>
      </c>
      <c r="M3" s="23" t="s">
        <v>314</v>
      </c>
      <c r="N3" s="23" t="s">
        <v>315</v>
      </c>
      <c r="O3" s="28" t="s">
        <v>316</v>
      </c>
      <c r="P3" s="29" t="s">
        <v>317</v>
      </c>
      <c r="Q3" s="28" t="s">
        <v>318</v>
      </c>
      <c r="R3" s="30" t="s">
        <v>319</v>
      </c>
      <c r="S3" s="30" t="s">
        <v>320</v>
      </c>
      <c r="T3" s="31" t="s">
        <v>321</v>
      </c>
      <c r="U3" s="28" t="s">
        <v>322</v>
      </c>
      <c r="V3" s="28" t="s">
        <v>323</v>
      </c>
      <c r="W3" s="31" t="s">
        <v>324</v>
      </c>
      <c r="X3" s="28" t="s">
        <v>325</v>
      </c>
      <c r="Y3" s="28" t="s">
        <v>326</v>
      </c>
      <c r="Z3" s="32" t="s">
        <v>327</v>
      </c>
      <c r="AA3" s="28"/>
    </row>
    <row r="4" spans="1:35" ht="15.75" thickTop="1" x14ac:dyDescent="0.25">
      <c r="A4" s="202"/>
      <c r="B4" s="53" t="s">
        <v>340</v>
      </c>
      <c r="C4" s="53" t="s">
        <v>341</v>
      </c>
      <c r="D4" s="54" t="s">
        <v>1244</v>
      </c>
      <c r="E4" s="53">
        <v>200</v>
      </c>
      <c r="F4" s="55">
        <v>24045</v>
      </c>
      <c r="G4" s="56">
        <v>19300</v>
      </c>
      <c r="H4" s="121">
        <f t="shared" ref="H4:H22" si="0">G4-F4</f>
        <v>-4745</v>
      </c>
      <c r="I4" s="57" t="s">
        <v>3222</v>
      </c>
      <c r="J4" s="215">
        <v>199</v>
      </c>
      <c r="K4" s="58"/>
      <c r="L4" s="58">
        <v>43282</v>
      </c>
      <c r="M4" s="54" t="s">
        <v>349</v>
      </c>
      <c r="N4" s="53"/>
      <c r="O4" s="59">
        <v>29</v>
      </c>
      <c r="P4" s="60"/>
      <c r="Q4" s="61">
        <v>21300</v>
      </c>
      <c r="R4" s="22">
        <f>72*E4</f>
        <v>14400</v>
      </c>
      <c r="S4" s="59">
        <f>-38*E4</f>
        <v>-7600</v>
      </c>
      <c r="T4" s="62">
        <f>X4*F4*0.0045</f>
        <v>4072.4786016839371</v>
      </c>
      <c r="U4" s="59">
        <f>E4*5</f>
        <v>1000</v>
      </c>
      <c r="V4" s="53"/>
      <c r="W4" s="59">
        <v>0.3</v>
      </c>
      <c r="X4" s="59">
        <f>((O4*F4)+Q4+R4+S4+U4)/G4</f>
        <v>37.637564766839375</v>
      </c>
      <c r="Y4" s="63">
        <f>((O4*F4)+Q4+R4+S4+T4+U4)/G4+W4</f>
        <v>38.148574020812639</v>
      </c>
      <c r="Z4" s="63">
        <f>Y4*G4</f>
        <v>736267.47860168398</v>
      </c>
      <c r="AA4" s="64">
        <v>43297</v>
      </c>
      <c r="AB4" s="3"/>
      <c r="AC4" s="3"/>
    </row>
    <row r="5" spans="1:35" x14ac:dyDescent="0.25">
      <c r="A5" s="203"/>
      <c r="B5" s="34" t="s">
        <v>340</v>
      </c>
      <c r="C5" t="s">
        <v>341</v>
      </c>
      <c r="D5" s="35" t="s">
        <v>1047</v>
      </c>
      <c r="E5">
        <v>130</v>
      </c>
      <c r="F5" s="36">
        <v>13890</v>
      </c>
      <c r="G5" s="38">
        <v>10920</v>
      </c>
      <c r="H5" s="38">
        <f t="shared" ref="H5" si="1">G5-F5</f>
        <v>-2970</v>
      </c>
      <c r="I5" s="35" t="s">
        <v>3223</v>
      </c>
      <c r="J5">
        <v>130</v>
      </c>
      <c r="K5" s="39"/>
      <c r="L5" s="39">
        <v>43283</v>
      </c>
      <c r="M5" s="35" t="s">
        <v>350</v>
      </c>
      <c r="O5" s="22">
        <v>29</v>
      </c>
      <c r="P5" s="40"/>
      <c r="Q5" s="111">
        <v>16900</v>
      </c>
      <c r="R5" s="22">
        <f>72*E5</f>
        <v>9360</v>
      </c>
      <c r="S5" s="43">
        <f>-38*E5</f>
        <v>-4940</v>
      </c>
      <c r="T5" s="43">
        <f>X5*F5*0.0045</f>
        <v>2431.3987087912087</v>
      </c>
      <c r="U5" s="22">
        <f>E5*5</f>
        <v>650</v>
      </c>
      <c r="W5" s="22">
        <v>0.3</v>
      </c>
      <c r="X5" s="22">
        <f>((O5*F5)+Q5+R5+S5+U5)/G5</f>
        <v>38.899267399267401</v>
      </c>
      <c r="Y5" s="22">
        <f>((O5*F5)+Q5+R5+S5+T5+U5)/G5+W5</f>
        <v>39.421922958680511</v>
      </c>
      <c r="Z5" s="3">
        <f>Y5*G5</f>
        <v>430487.39870879118</v>
      </c>
      <c r="AA5" s="44">
        <v>43297</v>
      </c>
      <c r="AB5" s="3"/>
      <c r="AC5" s="119" t="s">
        <v>3239</v>
      </c>
    </row>
    <row r="6" spans="1:35" x14ac:dyDescent="0.25">
      <c r="A6" s="203"/>
      <c r="B6" s="34" t="s">
        <v>340</v>
      </c>
      <c r="C6" t="s">
        <v>341</v>
      </c>
      <c r="D6" s="35" t="s">
        <v>1665</v>
      </c>
      <c r="E6">
        <v>201</v>
      </c>
      <c r="F6" s="36">
        <v>22935</v>
      </c>
      <c r="G6" s="38">
        <v>18500</v>
      </c>
      <c r="H6" s="38">
        <f t="shared" si="0"/>
        <v>-4435</v>
      </c>
      <c r="I6" s="35" t="s">
        <v>3234</v>
      </c>
      <c r="J6" s="10">
        <v>200</v>
      </c>
      <c r="K6" s="39"/>
      <c r="L6" s="39">
        <v>43283</v>
      </c>
      <c r="M6" s="35" t="s">
        <v>350</v>
      </c>
      <c r="O6" s="22">
        <v>29.3</v>
      </c>
      <c r="P6" s="40"/>
      <c r="Q6" s="47">
        <v>21300</v>
      </c>
      <c r="R6" s="22">
        <f>72*E6</f>
        <v>14472</v>
      </c>
      <c r="S6" s="43">
        <f>-38*E6</f>
        <v>-7638</v>
      </c>
      <c r="T6" s="43">
        <f>X6*F6*0.0045</f>
        <v>3911.4777788513511</v>
      </c>
      <c r="U6" s="22">
        <f>E6*5</f>
        <v>1005</v>
      </c>
      <c r="W6" s="22">
        <v>0.3</v>
      </c>
      <c r="X6" s="22">
        <f>((O6*F6)+Q6+R6+S6+U6)/G6</f>
        <v>37.899162162162163</v>
      </c>
      <c r="Y6" s="22">
        <f>((O6*F6)+Q6+R6+S6+T6+U6)/G6+W6</f>
        <v>38.410593393451421</v>
      </c>
      <c r="Z6" s="3">
        <f>Y6*G6</f>
        <v>710595.97777885129</v>
      </c>
      <c r="AA6" s="44">
        <v>43297</v>
      </c>
      <c r="AB6" s="3"/>
      <c r="AC6" s="119"/>
    </row>
    <row r="7" spans="1:35" x14ac:dyDescent="0.25">
      <c r="A7" s="203"/>
      <c r="B7" s="34" t="s">
        <v>340</v>
      </c>
      <c r="C7" t="s">
        <v>341</v>
      </c>
      <c r="D7" s="35" t="s">
        <v>1060</v>
      </c>
      <c r="E7">
        <v>130</v>
      </c>
      <c r="F7" s="36">
        <v>15100</v>
      </c>
      <c r="G7" s="38">
        <v>11980</v>
      </c>
      <c r="H7" s="38">
        <f t="shared" ref="H7" si="2">G7-F7</f>
        <v>-3120</v>
      </c>
      <c r="I7" s="35" t="s">
        <v>3235</v>
      </c>
      <c r="J7" s="10">
        <v>131</v>
      </c>
      <c r="K7" s="39"/>
      <c r="L7" s="39">
        <v>43283</v>
      </c>
      <c r="M7" s="35" t="s">
        <v>350</v>
      </c>
      <c r="O7" s="22">
        <v>29.3</v>
      </c>
      <c r="P7" s="40"/>
      <c r="Q7" s="111">
        <v>16900</v>
      </c>
      <c r="R7" s="22">
        <f>72*E7</f>
        <v>9360</v>
      </c>
      <c r="S7" s="43">
        <f>-38*E7</f>
        <v>-4940</v>
      </c>
      <c r="T7" s="43">
        <f>X7*F7*0.0045</f>
        <v>2634.0550918196991</v>
      </c>
      <c r="U7" s="22">
        <f>E7*5</f>
        <v>650</v>
      </c>
      <c r="W7" s="22">
        <v>0.3</v>
      </c>
      <c r="X7" s="22">
        <f>((O7*F7)+Q7+R7+S7+U7)/G7</f>
        <v>38.764607679465776</v>
      </c>
      <c r="Y7" s="22">
        <f>((O7*F7)+Q7+R7+S7+T7+U7)/G7+W7</f>
        <v>39.284478722188624</v>
      </c>
      <c r="Z7" s="3">
        <f>Y7*G7</f>
        <v>470628.05509181973</v>
      </c>
      <c r="AA7" s="44">
        <v>43297</v>
      </c>
      <c r="AB7" s="3"/>
      <c r="AC7" s="119" t="s">
        <v>3240</v>
      </c>
    </row>
    <row r="8" spans="1:35" x14ac:dyDescent="0.25">
      <c r="A8" s="203"/>
      <c r="B8" s="34" t="s">
        <v>328</v>
      </c>
      <c r="C8" t="s">
        <v>329</v>
      </c>
      <c r="D8" s="35" t="s">
        <v>329</v>
      </c>
      <c r="E8" t="s">
        <v>1021</v>
      </c>
      <c r="F8" s="36">
        <f>41386*0.4536</f>
        <v>18772.689600000002</v>
      </c>
      <c r="G8" s="38">
        <v>18695.810000000001</v>
      </c>
      <c r="H8" s="38">
        <f t="shared" si="0"/>
        <v>-76.87960000000021</v>
      </c>
      <c r="I8" s="35" t="s">
        <v>3192</v>
      </c>
      <c r="J8" s="106" t="s">
        <v>1022</v>
      </c>
      <c r="K8" s="39">
        <v>43283</v>
      </c>
      <c r="L8" s="39">
        <v>43284</v>
      </c>
      <c r="M8" s="35" t="s">
        <v>355</v>
      </c>
      <c r="N8" s="35" t="s">
        <v>3196</v>
      </c>
      <c r="O8" s="22"/>
      <c r="P8" s="40">
        <f>0.6184+0.095</f>
        <v>0.71339999999999992</v>
      </c>
      <c r="Q8" s="111">
        <v>26000</v>
      </c>
      <c r="R8" s="22">
        <v>63693</v>
      </c>
      <c r="S8" s="45">
        <v>19.47</v>
      </c>
      <c r="T8" s="43">
        <f t="shared" ref="T8:T13" si="3">X8*F8*0.005</f>
        <v>3335.8282082443079</v>
      </c>
      <c r="V8" s="22">
        <v>0.12</v>
      </c>
      <c r="W8" s="22">
        <v>0.3</v>
      </c>
      <c r="X8" s="22">
        <f>IF(O8&gt;0,O8,((P8*2.2046*S8)+(Q8+R8)/G8)+V8)</f>
        <v>35.539161189180987</v>
      </c>
      <c r="Y8" s="22">
        <f>IF(O8&gt;0,O8,((P8*2.2046*S8)+(Q8+R8+T8)/G8)+V8+W8)</f>
        <v>36.017587703370225</v>
      </c>
      <c r="Z8" s="3">
        <f>Y8*F8</f>
        <v>676146.9940961462</v>
      </c>
      <c r="AA8" s="44">
        <v>43287</v>
      </c>
      <c r="AB8" s="3">
        <v>40</v>
      </c>
      <c r="AC8" s="119"/>
    </row>
    <row r="9" spans="1:35" x14ac:dyDescent="0.25">
      <c r="A9" s="203"/>
      <c r="B9" s="34" t="s">
        <v>328</v>
      </c>
      <c r="C9" t="s">
        <v>336</v>
      </c>
      <c r="D9" s="35" t="s">
        <v>336</v>
      </c>
      <c r="E9" t="s">
        <v>1021</v>
      </c>
      <c r="F9" s="36">
        <f>41881*0.4536</f>
        <v>18997.221600000001</v>
      </c>
      <c r="G9" s="38">
        <v>18970.28</v>
      </c>
      <c r="H9" s="38">
        <f t="shared" ref="H9" si="4">G9-F9</f>
        <v>-26.941600000001927</v>
      </c>
      <c r="I9" t="s">
        <v>3170</v>
      </c>
      <c r="J9" s="106" t="s">
        <v>1022</v>
      </c>
      <c r="K9" s="39">
        <v>43283</v>
      </c>
      <c r="L9" s="39">
        <v>43284</v>
      </c>
      <c r="M9" s="35" t="s">
        <v>355</v>
      </c>
      <c r="N9" s="35" t="s">
        <v>3196</v>
      </c>
      <c r="O9" s="22"/>
      <c r="P9" s="40">
        <f>0.6184+0.095</f>
        <v>0.71339999999999992</v>
      </c>
      <c r="Q9" s="111">
        <v>26000</v>
      </c>
      <c r="R9" s="22">
        <v>64341</v>
      </c>
      <c r="S9" s="45">
        <v>20.11</v>
      </c>
      <c r="T9" s="43">
        <f t="shared" si="3"/>
        <v>3467.9879402751053</v>
      </c>
      <c r="V9" s="22">
        <v>0.12</v>
      </c>
      <c r="W9" s="22">
        <v>0.3</v>
      </c>
      <c r="X9" s="22">
        <f t="shared" ref="X9" si="5">IF(O9&gt;0,O9,((P9*2.2046*S9)+(Q9+R9)/G9)+V9)</f>
        <v>36.510475197858462</v>
      </c>
      <c r="Y9" s="22">
        <f t="shared" ref="Y9" si="6">IF(O9&gt;0,O9,((P9*2.2046*S9)+(Q9+R9+T9)/G9)+V9+W9)</f>
        <v>36.99328683481243</v>
      </c>
      <c r="Z9" s="3">
        <f t="shared" ref="Z9" si="7">Y9*F9</f>
        <v>702769.66771329439</v>
      </c>
      <c r="AA9" s="44">
        <v>43276</v>
      </c>
      <c r="AB9" s="3">
        <v>40</v>
      </c>
      <c r="AC9" s="119"/>
    </row>
    <row r="10" spans="1:35" x14ac:dyDescent="0.25">
      <c r="A10" s="203"/>
      <c r="B10" s="34" t="s">
        <v>340</v>
      </c>
      <c r="C10" t="s">
        <v>44</v>
      </c>
      <c r="D10" s="35" t="s">
        <v>2048</v>
      </c>
      <c r="E10">
        <v>234</v>
      </c>
      <c r="F10" s="36">
        <v>20400</v>
      </c>
      <c r="G10" s="38">
        <f>14330+6040</f>
        <v>20370</v>
      </c>
      <c r="H10" s="38">
        <f t="shared" si="0"/>
        <v>-30</v>
      </c>
      <c r="I10" t="s">
        <v>3297</v>
      </c>
      <c r="K10" s="39"/>
      <c r="L10" s="39">
        <v>43284</v>
      </c>
      <c r="M10" s="35" t="s">
        <v>355</v>
      </c>
      <c r="O10" s="22">
        <v>37.700000000000003</v>
      </c>
      <c r="P10" s="40"/>
      <c r="Q10" s="47">
        <v>21300</v>
      </c>
      <c r="R10" s="22"/>
      <c r="S10" s="43"/>
      <c r="T10" s="43"/>
      <c r="U10" s="22">
        <f>E10*5</f>
        <v>1170</v>
      </c>
      <c r="W10" s="22">
        <v>0.3</v>
      </c>
      <c r="X10" s="22">
        <f>((O10*F10)+Q10+R10+S10+U10)/G10</f>
        <v>38.858615611192931</v>
      </c>
      <c r="Y10" s="22">
        <f>((O10*F10)+Q10+R10+S10+T10+U10)/G10+W10</f>
        <v>39.158615611192928</v>
      </c>
      <c r="Z10" s="3">
        <f>Y10*G10</f>
        <v>797661</v>
      </c>
      <c r="AA10" s="44">
        <v>43294</v>
      </c>
      <c r="AB10" s="3"/>
      <c r="AC10" s="119" t="s">
        <v>3246</v>
      </c>
      <c r="AE10" s="14"/>
      <c r="AF10" s="38">
        <f>F10</f>
        <v>20400</v>
      </c>
      <c r="AG10">
        <v>37.1</v>
      </c>
      <c r="AH10">
        <f>(O10-AG10)/2</f>
        <v>0.30000000000000071</v>
      </c>
      <c r="AI10">
        <f>AH10*AF10</f>
        <v>6120.0000000000146</v>
      </c>
    </row>
    <row r="11" spans="1:35" x14ac:dyDescent="0.25">
      <c r="A11" s="203"/>
      <c r="B11" s="34" t="s">
        <v>340</v>
      </c>
      <c r="C11" t="s">
        <v>341</v>
      </c>
      <c r="D11" s="35" t="s">
        <v>1244</v>
      </c>
      <c r="E11">
        <v>250</v>
      </c>
      <c r="F11" s="36">
        <v>27595</v>
      </c>
      <c r="G11" s="38">
        <f>15560+6180</f>
        <v>21740</v>
      </c>
      <c r="H11" s="38">
        <f t="shared" si="0"/>
        <v>-5855</v>
      </c>
      <c r="I11" s="35" t="s">
        <v>3253</v>
      </c>
      <c r="J11" s="10">
        <v>247</v>
      </c>
      <c r="K11" s="39"/>
      <c r="L11" s="39">
        <v>43255</v>
      </c>
      <c r="M11" s="35" t="s">
        <v>331</v>
      </c>
      <c r="O11" s="22">
        <v>29.3</v>
      </c>
      <c r="P11" s="40"/>
      <c r="Q11" s="47">
        <v>21300</v>
      </c>
      <c r="R11" s="22">
        <f>72*E11</f>
        <v>18000</v>
      </c>
      <c r="S11" s="43">
        <f>-38*E11</f>
        <v>-9500</v>
      </c>
      <c r="T11" s="43">
        <f t="shared" si="3"/>
        <v>5328.4973970791161</v>
      </c>
      <c r="U11" s="22">
        <f>E11*5</f>
        <v>1250</v>
      </c>
      <c r="W11" s="22">
        <v>0.3</v>
      </c>
      <c r="X11" s="22">
        <f>((O11*F11)+Q11+R11+S11+U11)/G11</f>
        <v>38.619296228150873</v>
      </c>
      <c r="Y11" s="22">
        <f>((O11*F11)+Q11+R11+S11+T11+U11)/G11+W11</f>
        <v>39.164397304373459</v>
      </c>
      <c r="Z11" s="3">
        <f>Y11*G11</f>
        <v>851433.99739707902</v>
      </c>
      <c r="AA11" s="44">
        <v>43298</v>
      </c>
      <c r="AB11" s="3"/>
      <c r="AC11" s="119" t="s">
        <v>3254</v>
      </c>
    </row>
    <row r="12" spans="1:35" x14ac:dyDescent="0.25">
      <c r="A12" s="203"/>
      <c r="B12" s="34" t="s">
        <v>351</v>
      </c>
      <c r="C12" t="s">
        <v>1938</v>
      </c>
      <c r="D12" s="35" t="s">
        <v>1065</v>
      </c>
      <c r="E12" t="s">
        <v>2824</v>
      </c>
      <c r="F12" s="36">
        <v>9254.7999999999993</v>
      </c>
      <c r="G12" s="38">
        <v>9254.7999999999993</v>
      </c>
      <c r="H12" s="38">
        <f t="shared" si="0"/>
        <v>0</v>
      </c>
      <c r="I12" s="35" t="s">
        <v>3316</v>
      </c>
      <c r="K12" s="39"/>
      <c r="L12" s="39">
        <v>43285</v>
      </c>
      <c r="M12" s="35" t="s">
        <v>331</v>
      </c>
      <c r="O12" s="22">
        <v>41.8</v>
      </c>
      <c r="P12" s="40"/>
      <c r="Q12" s="22"/>
      <c r="R12" s="22"/>
      <c r="S12" s="43"/>
      <c r="T12" s="43"/>
      <c r="U12" s="22"/>
      <c r="W12" s="22"/>
      <c r="X12" s="22">
        <f>IF(O12&gt;0,O12,((P12*2.2046*S12)+(Q12+R12)/G12)+V12)</f>
        <v>41.8</v>
      </c>
      <c r="Y12" s="22">
        <f>IF(O12&gt;0,O12,((P12*2.2046*S12)+(Q12+R12+T12)/G12)+V12+W12)</f>
        <v>41.8</v>
      </c>
      <c r="Z12" s="3">
        <f>Y12*F12</f>
        <v>386850.63999999996</v>
      </c>
      <c r="AA12" s="44">
        <v>43292</v>
      </c>
      <c r="AB12" s="3"/>
      <c r="AC12" s="119"/>
    </row>
    <row r="13" spans="1:35" x14ac:dyDescent="0.25">
      <c r="A13" s="203"/>
      <c r="B13" s="34" t="s">
        <v>328</v>
      </c>
      <c r="C13" s="35" t="s">
        <v>343</v>
      </c>
      <c r="D13" s="35" t="s">
        <v>343</v>
      </c>
      <c r="E13" t="s">
        <v>1040</v>
      </c>
      <c r="F13" s="36">
        <f>42198*0.4536</f>
        <v>19141.0128</v>
      </c>
      <c r="G13" s="38">
        <v>19080.98</v>
      </c>
      <c r="H13" s="38">
        <f t="shared" si="0"/>
        <v>-60.032800000000861</v>
      </c>
      <c r="I13" t="s">
        <v>3193</v>
      </c>
      <c r="J13" s="106" t="s">
        <v>1089</v>
      </c>
      <c r="K13" s="39">
        <v>43285</v>
      </c>
      <c r="L13" s="39">
        <v>43286</v>
      </c>
      <c r="M13" s="35" t="s">
        <v>342</v>
      </c>
      <c r="N13" s="35" t="s">
        <v>3197</v>
      </c>
      <c r="O13" s="22"/>
      <c r="P13" s="40">
        <f>0.5714+0.105</f>
        <v>0.6764</v>
      </c>
      <c r="Q13" s="111">
        <v>26000</v>
      </c>
      <c r="R13" s="22">
        <v>62396</v>
      </c>
      <c r="S13" s="45">
        <v>19.97</v>
      </c>
      <c r="T13" s="43">
        <f t="shared" si="3"/>
        <v>3304.8651771317136</v>
      </c>
      <c r="V13" s="22">
        <v>0.12</v>
      </c>
      <c r="W13" s="22">
        <v>0.3</v>
      </c>
      <c r="X13" s="22">
        <f>IF(O13&gt;0,O13,((P13*2.2046*S13)+(Q13+R13)/G13)+V13)</f>
        <v>34.531769156245623</v>
      </c>
      <c r="Y13" s="22">
        <f>IF(O13&gt;0,O13,((P13*2.2046*S13)+(Q13+R13+T13)/G13)+V13+W13)</f>
        <v>35.00497122328472</v>
      </c>
      <c r="Z13" s="3">
        <f>Y13*F13</f>
        <v>670030.60224852455</v>
      </c>
      <c r="AA13" s="44">
        <v>43279</v>
      </c>
      <c r="AB13" s="3">
        <v>39</v>
      </c>
      <c r="AC13" s="119"/>
    </row>
    <row r="14" spans="1:35" x14ac:dyDescent="0.25">
      <c r="A14" s="203"/>
      <c r="B14" s="34" t="s">
        <v>340</v>
      </c>
      <c r="C14" t="s">
        <v>341</v>
      </c>
      <c r="D14" s="35" t="s">
        <v>1244</v>
      </c>
      <c r="E14">
        <v>250</v>
      </c>
      <c r="F14" s="36">
        <v>29070</v>
      </c>
      <c r="G14" s="38">
        <v>23240</v>
      </c>
      <c r="H14" s="38">
        <f t="shared" si="0"/>
        <v>-5830</v>
      </c>
      <c r="I14" t="s">
        <v>3295</v>
      </c>
      <c r="K14" s="39"/>
      <c r="L14" s="39">
        <v>43286</v>
      </c>
      <c r="M14" s="35" t="s">
        <v>342</v>
      </c>
      <c r="O14" s="22">
        <v>30</v>
      </c>
      <c r="P14" s="40"/>
      <c r="Q14" s="47">
        <v>21300</v>
      </c>
      <c r="R14" s="22">
        <f>72*E14</f>
        <v>18000</v>
      </c>
      <c r="S14" s="43">
        <f>-38*E14</f>
        <v>-9500</v>
      </c>
      <c r="T14" s="43">
        <f>X14*F14*0.0045</f>
        <v>5083.7163188468148</v>
      </c>
      <c r="U14" s="22">
        <f>E14*5</f>
        <v>1250</v>
      </c>
      <c r="W14" s="22">
        <v>0.3</v>
      </c>
      <c r="X14" s="22">
        <f>((O14*F14)+Q14+R14+S14+U14)/G14</f>
        <v>38.861876075731494</v>
      </c>
      <c r="Y14" s="22">
        <f>((O14*F14)+Q14+R14+S14+T14+U14)/G14+W14</f>
        <v>39.380624626456402</v>
      </c>
      <c r="Z14" s="3">
        <f>Y14*G14</f>
        <v>915205.7163188468</v>
      </c>
      <c r="AA14" s="44">
        <v>43299</v>
      </c>
      <c r="AB14" s="3"/>
      <c r="AC14" s="119"/>
    </row>
    <row r="15" spans="1:35" x14ac:dyDescent="0.25">
      <c r="A15" s="203"/>
      <c r="B15" s="34" t="s">
        <v>340</v>
      </c>
      <c r="C15" t="s">
        <v>341</v>
      </c>
      <c r="D15" s="35" t="s">
        <v>1389</v>
      </c>
      <c r="E15">
        <v>130</v>
      </c>
      <c r="F15" s="36">
        <v>13330</v>
      </c>
      <c r="G15" s="38">
        <v>10630</v>
      </c>
      <c r="H15" s="38">
        <f t="shared" si="0"/>
        <v>-2700</v>
      </c>
      <c r="I15" t="s">
        <v>3294</v>
      </c>
      <c r="K15" s="39"/>
      <c r="L15" s="39">
        <v>43286</v>
      </c>
      <c r="M15" s="35" t="s">
        <v>342</v>
      </c>
      <c r="O15" s="22">
        <v>30</v>
      </c>
      <c r="P15" s="40"/>
      <c r="Q15" s="111">
        <v>16900</v>
      </c>
      <c r="R15" s="22">
        <f>72*E15</f>
        <v>9360</v>
      </c>
      <c r="S15" s="43">
        <f>-38*E15</f>
        <v>-4940</v>
      </c>
      <c r="T15" s="43">
        <f>X15*F15*0.0045</f>
        <v>2380.6088381937907</v>
      </c>
      <c r="U15" s="22">
        <f>E15*5</f>
        <v>650</v>
      </c>
      <c r="W15" s="22">
        <v>0.3</v>
      </c>
      <c r="X15" s="22">
        <f>((O15*F15)+Q15+R15+S15+U15)/G15</f>
        <v>39.686735653809968</v>
      </c>
      <c r="Y15" s="22">
        <f>((O15*F15)+Q15+R15+S15+T15+U15)/G15+W15</f>
        <v>40.210687567092549</v>
      </c>
      <c r="Z15" s="3">
        <f>Y15*G15</f>
        <v>427439.60883819382</v>
      </c>
      <c r="AA15" s="44">
        <v>43299</v>
      </c>
      <c r="AB15" s="3"/>
      <c r="AC15" s="119" t="s">
        <v>3296</v>
      </c>
    </row>
    <row r="16" spans="1:35" x14ac:dyDescent="0.25">
      <c r="A16" s="203"/>
      <c r="B16" s="34" t="s">
        <v>1010</v>
      </c>
      <c r="C16" t="s">
        <v>1601</v>
      </c>
      <c r="D16" s="35" t="s">
        <v>1014</v>
      </c>
      <c r="E16" t="s">
        <v>3315</v>
      </c>
      <c r="F16" s="36">
        <v>990</v>
      </c>
      <c r="G16" s="38">
        <v>990</v>
      </c>
      <c r="H16" s="38">
        <f t="shared" si="0"/>
        <v>0</v>
      </c>
      <c r="I16" t="s">
        <v>3251</v>
      </c>
      <c r="K16" s="39"/>
      <c r="L16" s="39">
        <v>43286</v>
      </c>
      <c r="M16" s="35" t="s">
        <v>342</v>
      </c>
      <c r="O16" s="22">
        <v>49</v>
      </c>
      <c r="P16" s="40"/>
      <c r="Q16" s="22"/>
      <c r="R16" s="22"/>
      <c r="S16" s="43"/>
      <c r="T16" s="43"/>
      <c r="U16" s="22"/>
      <c r="W16" s="22"/>
      <c r="X16" s="22">
        <f>IF(O16&gt;0,O16,((P16*2.2046*S16)+(Q16+R16)/G16)+V16)</f>
        <v>49</v>
      </c>
      <c r="Y16" s="22">
        <f>IF(O16&gt;0,O16,((P16*2.2046*S16)+(Q16+R16+T16)/G16)+V16+W16)</f>
        <v>49</v>
      </c>
      <c r="Z16" s="3">
        <f>Y16*F16</f>
        <v>48510</v>
      </c>
      <c r="AA16" s="44">
        <v>43286</v>
      </c>
      <c r="AB16" s="3"/>
      <c r="AC16" s="119"/>
    </row>
    <row r="17" spans="1:35" x14ac:dyDescent="0.25">
      <c r="A17" s="203"/>
      <c r="B17" s="34" t="s">
        <v>328</v>
      </c>
      <c r="C17" s="35" t="s">
        <v>329</v>
      </c>
      <c r="D17" s="35" t="s">
        <v>329</v>
      </c>
      <c r="E17" t="s">
        <v>1021</v>
      </c>
      <c r="F17" s="36">
        <f>42115*0.4536</f>
        <v>19103.364000000001</v>
      </c>
      <c r="G17" s="38">
        <v>19031.43</v>
      </c>
      <c r="H17" s="38">
        <f t="shared" si="0"/>
        <v>-71.934000000001106</v>
      </c>
      <c r="I17" t="s">
        <v>3194</v>
      </c>
      <c r="J17" s="106" t="s">
        <v>1022</v>
      </c>
      <c r="K17" s="39">
        <v>43286</v>
      </c>
      <c r="L17" s="39">
        <v>43287</v>
      </c>
      <c r="M17" s="35" t="s">
        <v>345</v>
      </c>
      <c r="N17" s="35" t="s">
        <v>3198</v>
      </c>
      <c r="O17" s="22"/>
      <c r="P17" s="40">
        <f>0.5714+0.095</f>
        <v>0.66639999999999999</v>
      </c>
      <c r="Q17" s="111">
        <v>26000</v>
      </c>
      <c r="R17" s="22">
        <v>110656</v>
      </c>
      <c r="S17" s="45">
        <v>19.010999999999999</v>
      </c>
      <c r="T17" s="43">
        <f>X17*F17*0.005</f>
        <v>3365.1021637588201</v>
      </c>
      <c r="V17" s="22">
        <v>0.12</v>
      </c>
      <c r="W17" s="22">
        <v>0.3</v>
      </c>
      <c r="X17" s="22">
        <f>IF(O17&gt;0,O17,((P17*2.2046*S17)+(Q17+R17)/G17)+V17)</f>
        <v>35.23046688278378</v>
      </c>
      <c r="Y17" s="22">
        <f>IF(O17&gt;0,O17,((P17*2.2046*S17)+(Q17+R17+T17)/G17)+V17+W17)</f>
        <v>35.707285028543652</v>
      </c>
      <c r="Z17" s="3">
        <f>Y17*F17</f>
        <v>682129.26335201983</v>
      </c>
      <c r="AA17" s="44">
        <v>43294</v>
      </c>
      <c r="AB17" s="3">
        <v>38</v>
      </c>
      <c r="AC17" s="198" t="s">
        <v>3389</v>
      </c>
    </row>
    <row r="18" spans="1:35" x14ac:dyDescent="0.25">
      <c r="A18" s="203"/>
      <c r="B18" s="34" t="s">
        <v>340</v>
      </c>
      <c r="C18" t="s">
        <v>341</v>
      </c>
      <c r="D18" s="35" t="s">
        <v>1665</v>
      </c>
      <c r="E18">
        <v>250</v>
      </c>
      <c r="F18" s="36">
        <v>27100</v>
      </c>
      <c r="G18" s="38">
        <v>22480</v>
      </c>
      <c r="H18" s="38">
        <f t="shared" si="0"/>
        <v>-4620</v>
      </c>
      <c r="I18" t="s">
        <v>3299</v>
      </c>
      <c r="K18" s="39"/>
      <c r="L18" s="39">
        <v>43287</v>
      </c>
      <c r="M18" s="35" t="s">
        <v>345</v>
      </c>
      <c r="O18" s="22">
        <v>30</v>
      </c>
      <c r="P18" s="40"/>
      <c r="Q18" s="47">
        <v>21300</v>
      </c>
      <c r="R18" s="22">
        <f>72*E18</f>
        <v>18000</v>
      </c>
      <c r="S18" s="43">
        <f>-38*E18</f>
        <v>-9500</v>
      </c>
      <c r="T18" s="43">
        <f>X18*F18*0.0045</f>
        <v>4578.82106316726</v>
      </c>
      <c r="U18" s="22">
        <f>E18*5</f>
        <v>1250</v>
      </c>
      <c r="W18" s="22">
        <v>0.3</v>
      </c>
      <c r="X18" s="22">
        <f>((O18*F18)+Q18+R18+S18+U18)/G18</f>
        <v>37.546708185053383</v>
      </c>
      <c r="Y18" s="22">
        <f>((O18*F18)+Q18+R18+S18+T18+U18)/G18+W18</f>
        <v>38.050392396048366</v>
      </c>
      <c r="Z18" s="3">
        <f>Y18*G18</f>
        <v>855372.8210631673</v>
      </c>
      <c r="AA18" s="44">
        <v>43300</v>
      </c>
      <c r="AB18" s="3"/>
      <c r="AC18" s="119"/>
    </row>
    <row r="19" spans="1:35" x14ac:dyDescent="0.25">
      <c r="A19" s="203"/>
      <c r="B19" s="34" t="s">
        <v>340</v>
      </c>
      <c r="C19" t="s">
        <v>341</v>
      </c>
      <c r="D19" s="35" t="s">
        <v>1389</v>
      </c>
      <c r="E19">
        <v>130</v>
      </c>
      <c r="F19" s="36">
        <v>15310</v>
      </c>
      <c r="G19" s="38">
        <v>11260</v>
      </c>
      <c r="H19" s="38">
        <f t="shared" si="0"/>
        <v>-4050</v>
      </c>
      <c r="I19" s="35" t="s">
        <v>3300</v>
      </c>
      <c r="K19" s="39"/>
      <c r="L19" s="39">
        <v>43287</v>
      </c>
      <c r="M19" s="35" t="s">
        <v>345</v>
      </c>
      <c r="O19" s="22">
        <v>30</v>
      </c>
      <c r="P19" s="40"/>
      <c r="Q19" s="111">
        <v>16900</v>
      </c>
      <c r="R19" s="22">
        <f>72*E19</f>
        <v>9360</v>
      </c>
      <c r="S19" s="43">
        <f>-38*E19</f>
        <v>-4940</v>
      </c>
      <c r="T19" s="43">
        <f>X19*F19*0.0045</f>
        <v>2944.6799866785077</v>
      </c>
      <c r="U19" s="22">
        <f>E19*5</f>
        <v>650</v>
      </c>
      <c r="W19" s="22">
        <v>0.3</v>
      </c>
      <c r="X19" s="22">
        <f>((O19*F19)+Q19+R19+S19+U19)/G19</f>
        <v>42.741563055062166</v>
      </c>
      <c r="Y19" s="22">
        <f>((O19*F19)+Q19+R19+S19+T19+U19)/G19+W19</f>
        <v>43.303079927768962</v>
      </c>
      <c r="Z19" s="3">
        <f>Y19*G19</f>
        <v>487592.67998667853</v>
      </c>
      <c r="AA19" s="44">
        <v>43300</v>
      </c>
      <c r="AB19" s="3"/>
      <c r="AC19" s="119"/>
    </row>
    <row r="20" spans="1:35" x14ac:dyDescent="0.25">
      <c r="A20" s="203"/>
      <c r="B20" s="34" t="s">
        <v>328</v>
      </c>
      <c r="C20" t="s">
        <v>343</v>
      </c>
      <c r="D20" s="35" t="s">
        <v>343</v>
      </c>
      <c r="E20" t="s">
        <v>1040</v>
      </c>
      <c r="F20" s="36">
        <f>42268*0.4536</f>
        <v>19172.764800000001</v>
      </c>
      <c r="G20" s="38">
        <v>19117.7</v>
      </c>
      <c r="H20" s="38">
        <f t="shared" si="0"/>
        <v>-55.064800000000105</v>
      </c>
      <c r="I20" s="35" t="s">
        <v>3195</v>
      </c>
      <c r="J20" s="106" t="s">
        <v>1022</v>
      </c>
      <c r="K20" s="39">
        <v>43287</v>
      </c>
      <c r="L20" s="39">
        <v>43288</v>
      </c>
      <c r="M20" s="35" t="s">
        <v>348</v>
      </c>
      <c r="N20" s="35" t="s">
        <v>3255</v>
      </c>
      <c r="O20" s="22"/>
      <c r="P20" s="40">
        <f>0.5487+0.105</f>
        <v>0.65369999999999995</v>
      </c>
      <c r="Q20" s="22">
        <v>26000</v>
      </c>
      <c r="R20" s="22">
        <v>108061</v>
      </c>
      <c r="S20" s="45">
        <v>19.899000000000001</v>
      </c>
      <c r="T20" s="43">
        <f>X20*F20*0.005</f>
        <v>3432.8630868566152</v>
      </c>
      <c r="V20" s="22">
        <v>0.12</v>
      </c>
      <c r="W20" s="22">
        <v>0.3</v>
      </c>
      <c r="X20" s="22">
        <f>IF(O20&gt;0,O20,((P20*2.2046*S20)+(Q20+R20)/G20)+V20)</f>
        <v>35.80978667048182</v>
      </c>
      <c r="Y20" s="22">
        <f>IF(O20&gt;0,O20,((P20*2.2046*S20)+(Q20+R20+T20)/G20)+V20+W20)</f>
        <v>36.289351319307599</v>
      </c>
      <c r="Z20" s="3">
        <f>Y20*F20</f>
        <v>695767.19758965436</v>
      </c>
      <c r="AA20" s="44">
        <v>43283</v>
      </c>
      <c r="AB20" s="3">
        <v>39.799999999999997</v>
      </c>
      <c r="AC20" s="119" t="s">
        <v>3301</v>
      </c>
    </row>
    <row r="21" spans="1:35" x14ac:dyDescent="0.25">
      <c r="A21" s="203"/>
      <c r="B21" s="34" t="s">
        <v>328</v>
      </c>
      <c r="C21" t="s">
        <v>336</v>
      </c>
      <c r="D21" s="35" t="s">
        <v>336</v>
      </c>
      <c r="E21" t="s">
        <v>1021</v>
      </c>
      <c r="F21" s="36">
        <f>41886*0.4536</f>
        <v>18999.489600000001</v>
      </c>
      <c r="G21" s="38">
        <v>18968.669999999998</v>
      </c>
      <c r="H21" s="38">
        <f t="shared" si="0"/>
        <v>-30.819600000002538</v>
      </c>
      <c r="I21" t="s">
        <v>2863</v>
      </c>
      <c r="J21" s="106" t="s">
        <v>1022</v>
      </c>
      <c r="K21" s="39">
        <v>43287</v>
      </c>
      <c r="L21" s="39">
        <v>43288</v>
      </c>
      <c r="M21" s="35" t="s">
        <v>348</v>
      </c>
      <c r="N21" s="35" t="s">
        <v>3199</v>
      </c>
      <c r="O21" s="22"/>
      <c r="P21" s="40">
        <f>0.5487+0.095</f>
        <v>0.64369999999999994</v>
      </c>
      <c r="Q21" s="22">
        <v>26000</v>
      </c>
      <c r="R21" s="22">
        <v>105545</v>
      </c>
      <c r="S21" s="45">
        <v>19.87</v>
      </c>
      <c r="T21" s="43">
        <f t="shared" ref="T21:T22" si="8">X21*F21*0.005</f>
        <v>3348.8874215287142</v>
      </c>
      <c r="V21" s="22">
        <v>0.12</v>
      </c>
      <c r="W21" s="22">
        <v>0.3</v>
      </c>
      <c r="X21" s="22">
        <f t="shared" ref="X21:X22" si="9">IF(O21&gt;0,O21,((P21*2.2046*S21)+(Q21+R21)/G21)+V21)</f>
        <v>35.252393533021156</v>
      </c>
      <c r="Y21" s="22">
        <f t="shared" ref="Y21:Y22" si="10">IF(O21&gt;0,O21,((P21*2.2046*S21)+(Q21+R21+T21)/G21)+V21+W21)</f>
        <v>35.728941884673041</v>
      </c>
      <c r="Z21" s="3">
        <f t="shared" ref="Z21:Z22" si="11">Y21*F21</f>
        <v>678831.65975684987</v>
      </c>
      <c r="AA21" s="44">
        <v>43283</v>
      </c>
      <c r="AB21" s="3"/>
      <c r="AC21" s="119"/>
    </row>
    <row r="22" spans="1:35" x14ac:dyDescent="0.25">
      <c r="A22" s="203"/>
      <c r="B22" s="34" t="s">
        <v>328</v>
      </c>
      <c r="C22" t="s">
        <v>336</v>
      </c>
      <c r="D22" s="35" t="s">
        <v>336</v>
      </c>
      <c r="E22" t="s">
        <v>1021</v>
      </c>
      <c r="F22" s="36">
        <f>41653*0.4536</f>
        <v>18893.800800000001</v>
      </c>
      <c r="G22" s="38">
        <v>18868.669999999998</v>
      </c>
      <c r="H22" s="38">
        <f t="shared" si="0"/>
        <v>-25.130800000002637</v>
      </c>
      <c r="I22" t="s">
        <v>2864</v>
      </c>
      <c r="J22" s="106" t="s">
        <v>1022</v>
      </c>
      <c r="K22" s="39">
        <v>43287</v>
      </c>
      <c r="L22" s="39">
        <v>43288</v>
      </c>
      <c r="M22" s="35" t="s">
        <v>348</v>
      </c>
      <c r="N22" s="35" t="s">
        <v>3199</v>
      </c>
      <c r="O22" s="22"/>
      <c r="P22" s="40">
        <f>0.5487+0.095</f>
        <v>0.64369999999999994</v>
      </c>
      <c r="Q22" s="22">
        <v>26000</v>
      </c>
      <c r="R22" s="22">
        <v>105012</v>
      </c>
      <c r="S22" s="45">
        <v>19.899000000000001</v>
      </c>
      <c r="T22" s="43">
        <f t="shared" si="8"/>
        <v>3334.9497732892719</v>
      </c>
      <c r="V22" s="22">
        <v>0.12</v>
      </c>
      <c r="W22" s="22">
        <v>0.3</v>
      </c>
      <c r="X22" s="22">
        <f t="shared" si="9"/>
        <v>35.302052864760505</v>
      </c>
      <c r="Y22" s="22">
        <f t="shared" si="10"/>
        <v>35.778798219535865</v>
      </c>
      <c r="Z22" s="3">
        <f t="shared" si="11"/>
        <v>675997.48642330535</v>
      </c>
      <c r="AA22" s="44">
        <v>43283</v>
      </c>
      <c r="AB22" s="3"/>
      <c r="AC22" s="119"/>
    </row>
    <row r="23" spans="1:35" ht="15.75" thickBot="1" x14ac:dyDescent="0.3">
      <c r="A23" s="204"/>
      <c r="B23" s="49"/>
      <c r="C23" s="23"/>
      <c r="D23" s="23"/>
      <c r="E23" s="23"/>
      <c r="F23" s="50"/>
      <c r="G23" s="50"/>
      <c r="H23" s="50"/>
      <c r="I23" s="26"/>
      <c r="J23" s="23"/>
      <c r="K23" s="27"/>
      <c r="L23" s="27"/>
      <c r="M23" s="23"/>
      <c r="N23" s="23"/>
      <c r="O23" s="28"/>
      <c r="P23" s="29"/>
      <c r="Q23" s="28"/>
      <c r="R23" s="28"/>
      <c r="S23" s="28"/>
      <c r="T23" s="28"/>
      <c r="U23" s="28"/>
      <c r="V23" s="28"/>
      <c r="W23" s="28"/>
      <c r="X23" s="28"/>
      <c r="Y23" s="28"/>
      <c r="Z23" s="32"/>
      <c r="AA23" s="51"/>
      <c r="AB23" s="3"/>
      <c r="AC23" s="119"/>
    </row>
    <row r="24" spans="1:35" ht="15.75" thickTop="1" x14ac:dyDescent="0.25">
      <c r="A24" s="67"/>
      <c r="B24" s="53" t="s">
        <v>340</v>
      </c>
      <c r="C24" s="53" t="s">
        <v>341</v>
      </c>
      <c r="D24" s="54" t="s">
        <v>3324</v>
      </c>
      <c r="E24" s="53">
        <f>250+10</f>
        <v>260</v>
      </c>
      <c r="F24" s="55">
        <f>27370+1085</f>
        <v>28455</v>
      </c>
      <c r="G24" s="56">
        <f>11410+11440</f>
        <v>22850</v>
      </c>
      <c r="H24" s="121">
        <f t="shared" ref="H24:H43" si="12">G24-F24</f>
        <v>-5605</v>
      </c>
      <c r="I24" s="57" t="s">
        <v>3319</v>
      </c>
      <c r="J24" s="53"/>
      <c r="K24" s="58"/>
      <c r="L24" s="58">
        <v>43289</v>
      </c>
      <c r="M24" s="54" t="s">
        <v>349</v>
      </c>
      <c r="N24" s="53"/>
      <c r="O24" s="59">
        <v>31</v>
      </c>
      <c r="P24" s="60"/>
      <c r="Q24" s="61">
        <v>21300</v>
      </c>
      <c r="R24" s="22">
        <f>72*E24</f>
        <v>18720</v>
      </c>
      <c r="S24" s="59">
        <f>-38*E24</f>
        <v>-9880</v>
      </c>
      <c r="T24" s="62">
        <f>X24*F24*0.0045</f>
        <v>5119.3502576586425</v>
      </c>
      <c r="U24" s="59">
        <f>E24*5</f>
        <v>1300</v>
      </c>
      <c r="V24" s="53"/>
      <c r="W24" s="59">
        <v>0.3</v>
      </c>
      <c r="X24" s="59">
        <f>((O24*F24)+Q24+R24+S24+U24)/G24</f>
        <v>39.980087527352296</v>
      </c>
      <c r="Y24" s="63">
        <f>((O24*F24)+Q24+R24+S24+T24+U24)/G24+W24</f>
        <v>40.504129114120722</v>
      </c>
      <c r="Z24" s="63">
        <f>Y24*G24</f>
        <v>925519.35025765852</v>
      </c>
      <c r="AA24" s="44">
        <v>43304</v>
      </c>
      <c r="AB24" s="3"/>
      <c r="AC24" s="3" t="s">
        <v>3332</v>
      </c>
    </row>
    <row r="25" spans="1:35" x14ac:dyDescent="0.25">
      <c r="A25" s="68"/>
      <c r="B25" s="34" t="s">
        <v>340</v>
      </c>
      <c r="C25" t="s">
        <v>341</v>
      </c>
      <c r="D25" s="35" t="s">
        <v>1244</v>
      </c>
      <c r="E25">
        <v>200</v>
      </c>
      <c r="F25" s="36">
        <v>22410</v>
      </c>
      <c r="G25" s="38">
        <v>18010</v>
      </c>
      <c r="H25" s="38">
        <f t="shared" si="12"/>
        <v>-4400</v>
      </c>
      <c r="I25" s="35" t="s">
        <v>3318</v>
      </c>
      <c r="K25" s="39"/>
      <c r="L25" s="39">
        <v>43290</v>
      </c>
      <c r="M25" s="35" t="s">
        <v>350</v>
      </c>
      <c r="O25" s="22">
        <v>31</v>
      </c>
      <c r="P25" s="40"/>
      <c r="Q25" s="47">
        <v>21300</v>
      </c>
      <c r="R25" s="22">
        <f>72*E25</f>
        <v>14400</v>
      </c>
      <c r="S25" s="43">
        <f>-38*E25</f>
        <v>-7600</v>
      </c>
      <c r="T25" s="43">
        <f>X25*F25*0.0045</f>
        <v>4052.8939172681835</v>
      </c>
      <c r="U25" s="22">
        <f>E25*5</f>
        <v>1000</v>
      </c>
      <c r="W25" s="22">
        <v>0.3</v>
      </c>
      <c r="X25" s="22">
        <f>((O25*F25)+Q25+R25+S25+U25)/G25</f>
        <v>40.189339255968903</v>
      </c>
      <c r="Y25" s="22">
        <f>((O25*F25)+Q25+R25+S25+T25+U25)/G25+W25</f>
        <v>40.714375009287515</v>
      </c>
      <c r="Z25" s="3">
        <f>Y25*G25</f>
        <v>733265.89391726814</v>
      </c>
      <c r="AA25" s="44">
        <v>43305</v>
      </c>
      <c r="AB25" s="3">
        <v>43</v>
      </c>
      <c r="AC25" s="119"/>
    </row>
    <row r="26" spans="1:35" x14ac:dyDescent="0.25">
      <c r="A26" s="68"/>
      <c r="B26" s="34" t="s">
        <v>340</v>
      </c>
      <c r="C26" t="s">
        <v>341</v>
      </c>
      <c r="D26" s="35" t="s">
        <v>1047</v>
      </c>
      <c r="E26">
        <v>130</v>
      </c>
      <c r="F26" s="36">
        <v>14725</v>
      </c>
      <c r="G26" s="38">
        <v>11470</v>
      </c>
      <c r="H26" s="38">
        <f t="shared" si="12"/>
        <v>-3255</v>
      </c>
      <c r="I26" s="35" t="s">
        <v>3352</v>
      </c>
      <c r="K26" s="39"/>
      <c r="L26" s="39">
        <v>43290</v>
      </c>
      <c r="M26" s="35" t="s">
        <v>350</v>
      </c>
      <c r="O26" s="22">
        <v>31</v>
      </c>
      <c r="P26" s="40"/>
      <c r="Q26" s="111">
        <v>16900</v>
      </c>
      <c r="R26" s="22">
        <f>72*E26</f>
        <v>9360</v>
      </c>
      <c r="S26" s="43">
        <f>-38*E26</f>
        <v>-4940</v>
      </c>
      <c r="T26" s="43">
        <f>X26*F26*0.0045</f>
        <v>2763.9896959459456</v>
      </c>
      <c r="U26" s="22">
        <f>E26*5</f>
        <v>650</v>
      </c>
      <c r="W26" s="22">
        <v>0.3</v>
      </c>
      <c r="X26" s="22">
        <f>((O26*F26)+Q26+R26+S26+U26)/G26</f>
        <v>41.712728857890149</v>
      </c>
      <c r="Y26" s="22">
        <f>((O26*F26)+Q26+R26+S26+T26+U26)/G26+W26</f>
        <v>42.253704419873223</v>
      </c>
      <c r="Z26" s="3">
        <f>Y26*G26</f>
        <v>484649.98969594587</v>
      </c>
      <c r="AA26" s="44">
        <v>43305</v>
      </c>
      <c r="AB26" s="3">
        <v>41.31</v>
      </c>
      <c r="AC26" s="119" t="s">
        <v>3333</v>
      </c>
    </row>
    <row r="27" spans="1:35" x14ac:dyDescent="0.25">
      <c r="A27" s="68"/>
      <c r="B27" s="34" t="s">
        <v>328</v>
      </c>
      <c r="C27" t="s">
        <v>329</v>
      </c>
      <c r="D27" s="35" t="s">
        <v>329</v>
      </c>
      <c r="E27" t="s">
        <v>1021</v>
      </c>
      <c r="F27" s="36">
        <f>42229*0.4536</f>
        <v>19155.074400000001</v>
      </c>
      <c r="G27" s="38">
        <v>19151.46</v>
      </c>
      <c r="H27" s="38">
        <f t="shared" si="12"/>
        <v>-3.6144000000022061</v>
      </c>
      <c r="I27" s="35" t="s">
        <v>3264</v>
      </c>
      <c r="J27" s="106" t="s">
        <v>1022</v>
      </c>
      <c r="K27" s="39">
        <v>43290</v>
      </c>
      <c r="L27" s="39">
        <v>43292</v>
      </c>
      <c r="M27" s="35" t="s">
        <v>331</v>
      </c>
      <c r="N27" s="35" t="s">
        <v>3259</v>
      </c>
      <c r="O27" s="22"/>
      <c r="P27" s="40">
        <f>0.5222+0.095</f>
        <v>0.61719999999999997</v>
      </c>
      <c r="Q27" s="111">
        <v>26000</v>
      </c>
      <c r="R27" s="22">
        <v>101137</v>
      </c>
      <c r="S27" s="42">
        <v>18.972999999999999</v>
      </c>
      <c r="T27" s="43">
        <f>X27*F27*0.005</f>
        <v>3119.850816744914</v>
      </c>
      <c r="V27" s="22">
        <v>0.12</v>
      </c>
      <c r="W27" s="22">
        <v>0.3</v>
      </c>
      <c r="X27" s="22">
        <f>IF(O27&gt;0,O27,((P27*2.2046*S27)+(Q27+R27)/G27)+V27)</f>
        <v>32.574666655900998</v>
      </c>
      <c r="Y27" s="22">
        <f>IF(O27&gt;0,O27,((P27*2.2046*S27)+(Q27+R27+T27)/G27)+V27+W27)</f>
        <v>33.037570727796556</v>
      </c>
      <c r="Z27" s="3">
        <f>Y27*F27</f>
        <v>632837.12528620521</v>
      </c>
      <c r="AA27" s="44">
        <v>43300</v>
      </c>
      <c r="AB27" s="3">
        <v>37</v>
      </c>
      <c r="AC27" s="119"/>
    </row>
    <row r="28" spans="1:35" x14ac:dyDescent="0.25">
      <c r="A28" s="68"/>
      <c r="B28" s="34" t="s">
        <v>328</v>
      </c>
      <c r="C28" s="35" t="s">
        <v>343</v>
      </c>
      <c r="D28" s="35" t="s">
        <v>343</v>
      </c>
      <c r="E28" t="s">
        <v>1040</v>
      </c>
      <c r="F28" s="36">
        <f>42270*0.4536</f>
        <v>19173.671999999999</v>
      </c>
      <c r="G28" s="38">
        <v>19173.5</v>
      </c>
      <c r="H28" s="38">
        <f>G28-F28</f>
        <v>-0.17199999999866122</v>
      </c>
      <c r="I28" t="s">
        <v>3265</v>
      </c>
      <c r="J28" s="106" t="s">
        <v>1089</v>
      </c>
      <c r="K28" s="39">
        <v>43290</v>
      </c>
      <c r="L28" s="39">
        <v>43291</v>
      </c>
      <c r="M28" s="35" t="s">
        <v>355</v>
      </c>
      <c r="N28" s="35" t="s">
        <v>3260</v>
      </c>
      <c r="O28" s="22"/>
      <c r="P28" s="40">
        <f>0.5222+0.105</f>
        <v>0.62719999999999998</v>
      </c>
      <c r="Q28" s="111">
        <v>26000</v>
      </c>
      <c r="R28" s="22">
        <v>102853</v>
      </c>
      <c r="S28" s="45">
        <v>19.727</v>
      </c>
      <c r="T28" s="43">
        <f>X28*F28*0.005</f>
        <v>3270.7780064648659</v>
      </c>
      <c r="V28" s="22">
        <v>0.12</v>
      </c>
      <c r="W28" s="22">
        <v>0.3</v>
      </c>
      <c r="X28" s="22">
        <f>IF(O28&gt;0,O28,((P28*2.2046*S28)+(Q28+R28)/G28)+V28)</f>
        <v>34.117387701895247</v>
      </c>
      <c r="Y28" s="22">
        <f>IF(O28&gt;0,O28,((P28*2.2046*S28)+(Q28+R28+T28)/G28)+V28+W28)</f>
        <v>34.587976170691498</v>
      </c>
      <c r="Z28" s="3">
        <f>Y28*F28</f>
        <v>663178.51024065469</v>
      </c>
      <c r="AA28" s="44">
        <v>43286</v>
      </c>
      <c r="AB28" s="3"/>
      <c r="AC28" s="119"/>
    </row>
    <row r="29" spans="1:35" x14ac:dyDescent="0.25">
      <c r="A29" s="68"/>
      <c r="B29" s="34" t="s">
        <v>328</v>
      </c>
      <c r="C29" t="s">
        <v>1129</v>
      </c>
      <c r="D29" s="35" t="s">
        <v>2091</v>
      </c>
      <c r="E29" t="s">
        <v>1040</v>
      </c>
      <c r="F29" s="36">
        <f>41732*0.4536</f>
        <v>18929.635200000001</v>
      </c>
      <c r="G29" s="38">
        <v>18748.61</v>
      </c>
      <c r="H29" s="38">
        <f>G29-F29</f>
        <v>-181.02520000000004</v>
      </c>
      <c r="I29" t="s">
        <v>2927</v>
      </c>
      <c r="J29" s="106" t="s">
        <v>2064</v>
      </c>
      <c r="K29" s="39">
        <v>43290</v>
      </c>
      <c r="L29" s="39">
        <v>43291</v>
      </c>
      <c r="M29" s="35" t="s">
        <v>355</v>
      </c>
      <c r="N29" s="35" t="s">
        <v>3261</v>
      </c>
      <c r="O29" s="22"/>
      <c r="P29" s="40">
        <f>0.5222+0.1</f>
        <v>0.62219999999999998</v>
      </c>
      <c r="Q29" s="111">
        <v>26000</v>
      </c>
      <c r="R29" s="22">
        <v>96847</v>
      </c>
      <c r="S29" s="45">
        <v>19.007000000000001</v>
      </c>
      <c r="T29" s="43">
        <f>X29*F29*0.005</f>
        <v>3099.1852350319896</v>
      </c>
      <c r="V29" s="22">
        <v>0.12</v>
      </c>
      <c r="W29" s="22">
        <v>0.3</v>
      </c>
      <c r="X29" s="22">
        <f>IF(O29&gt;0,O29,((P29*2.2046*S29)+(Q29+R29)/G29)+V29)</f>
        <v>32.744267940588621</v>
      </c>
      <c r="Y29" s="22">
        <f>IF(O29&gt;0,O29,((P29*2.2046*S29)+(Q29+R29+T29)/G29)+V29+W29)</f>
        <v>33.209570074188491</v>
      </c>
      <c r="Z29" s="3">
        <f>Y29*F29</f>
        <v>628645.04665322509</v>
      </c>
      <c r="AA29" s="44">
        <v>43293</v>
      </c>
      <c r="AB29" s="3"/>
      <c r="AC29" s="119"/>
    </row>
    <row r="30" spans="1:35" x14ac:dyDescent="0.25">
      <c r="A30" s="68"/>
      <c r="B30" s="34" t="s">
        <v>340</v>
      </c>
      <c r="C30" t="s">
        <v>44</v>
      </c>
      <c r="D30" s="35" t="s">
        <v>3325</v>
      </c>
      <c r="E30">
        <v>234</v>
      </c>
      <c r="F30" s="36">
        <v>20450</v>
      </c>
      <c r="G30" s="38">
        <f>14380+6060</f>
        <v>20440</v>
      </c>
      <c r="H30" s="38">
        <f t="shared" si="12"/>
        <v>-10</v>
      </c>
      <c r="I30" t="s">
        <v>3387</v>
      </c>
      <c r="K30" s="39"/>
      <c r="L30" s="39">
        <v>43291</v>
      </c>
      <c r="M30" s="35" t="s">
        <v>355</v>
      </c>
      <c r="O30" s="22">
        <v>38.799999999999997</v>
      </c>
      <c r="P30" s="40"/>
      <c r="Q30" s="47">
        <v>21300</v>
      </c>
      <c r="R30" s="22"/>
      <c r="S30" s="43"/>
      <c r="T30" s="43"/>
      <c r="U30" s="22">
        <f>E30*5</f>
        <v>1170</v>
      </c>
      <c r="W30" s="22">
        <v>0.3</v>
      </c>
      <c r="X30" s="22">
        <f>((O30*F30)+Q30+R30+S30+U30)/G30</f>
        <v>39.918297455968691</v>
      </c>
      <c r="Y30" s="22">
        <f>((O30*F30)+Q30+R30+S30+T30+U30)/G30+W30</f>
        <v>40.218297455968688</v>
      </c>
      <c r="Z30" s="3">
        <f>Y30*G30</f>
        <v>822062</v>
      </c>
      <c r="AA30" s="44">
        <v>43301</v>
      </c>
      <c r="AB30" s="3"/>
      <c r="AC30" s="119" t="s">
        <v>3339</v>
      </c>
      <c r="AE30" s="14"/>
      <c r="AF30" s="38">
        <f>F30</f>
        <v>20450</v>
      </c>
      <c r="AG30">
        <v>38.4</v>
      </c>
      <c r="AH30">
        <f>(O30-AG30)/2</f>
        <v>0.19999999999999929</v>
      </c>
      <c r="AI30">
        <f>AH30*AF30</f>
        <v>4089.9999999999854</v>
      </c>
    </row>
    <row r="31" spans="1:35" x14ac:dyDescent="0.25">
      <c r="A31" s="68"/>
      <c r="B31" s="34" t="s">
        <v>1501</v>
      </c>
      <c r="C31" t="s">
        <v>343</v>
      </c>
      <c r="D31" s="35" t="s">
        <v>1106</v>
      </c>
      <c r="E31" t="s">
        <v>1260</v>
      </c>
      <c r="F31" s="36">
        <v>1880.6</v>
      </c>
      <c r="G31" s="38">
        <v>1880.6</v>
      </c>
      <c r="H31" s="38">
        <f t="shared" si="12"/>
        <v>0</v>
      </c>
      <c r="I31" t="s">
        <v>3397</v>
      </c>
      <c r="K31" s="39"/>
      <c r="L31" s="39">
        <v>43291</v>
      </c>
      <c r="M31" s="35" t="s">
        <v>355</v>
      </c>
      <c r="O31" s="22">
        <v>20</v>
      </c>
      <c r="P31" s="40"/>
      <c r="Q31" s="22"/>
      <c r="R31" s="22"/>
      <c r="S31" s="43"/>
      <c r="T31" s="43"/>
      <c r="U31" s="22"/>
      <c r="W31" s="22">
        <v>0.3</v>
      </c>
      <c r="X31" s="22">
        <f>IF(O31&gt;0,O31,((P31*2.2046*S31)+(Q31+R31)/G31)+V31)</f>
        <v>20</v>
      </c>
      <c r="Y31" s="22">
        <f>IF(O31&gt;0,O31,((P31*2.2046*S31)+(Q31+R31+T31)/G31)+V31+W31)</f>
        <v>20</v>
      </c>
      <c r="Z31" s="3">
        <f>Y31*F31</f>
        <v>37612</v>
      </c>
      <c r="AA31" s="44">
        <v>43298</v>
      </c>
      <c r="AB31" s="3"/>
      <c r="AC31" s="119"/>
      <c r="AE31" s="14"/>
      <c r="AF31" s="38"/>
    </row>
    <row r="32" spans="1:35" x14ac:dyDescent="0.25">
      <c r="A32" s="68"/>
      <c r="B32" s="34" t="s">
        <v>3382</v>
      </c>
      <c r="C32" t="s">
        <v>343</v>
      </c>
      <c r="D32" s="35" t="s">
        <v>1065</v>
      </c>
      <c r="E32" t="s">
        <v>3359</v>
      </c>
      <c r="F32" s="36">
        <f>4416*0.4536</f>
        <v>2003.0976000000001</v>
      </c>
      <c r="G32" s="38">
        <f>184*0.4536*24</f>
        <v>2003.0976000000001</v>
      </c>
      <c r="H32" s="38">
        <f t="shared" si="12"/>
        <v>0</v>
      </c>
      <c r="I32" t="s">
        <v>3360</v>
      </c>
      <c r="K32" s="39"/>
      <c r="L32" s="39">
        <v>43291</v>
      </c>
      <c r="M32" s="35" t="s">
        <v>355</v>
      </c>
      <c r="O32" s="22">
        <v>56.072000000000003</v>
      </c>
      <c r="P32" s="40"/>
      <c r="Q32" s="22"/>
      <c r="R32" s="22"/>
      <c r="S32" s="43"/>
      <c r="T32" s="43"/>
      <c r="U32" s="22"/>
      <c r="W32" s="22"/>
      <c r="X32" s="22">
        <f>IF(O32&gt;0,O32,((P32*2.2046*S32)+(Q32+R32)/G32)+V32)</f>
        <v>56.072000000000003</v>
      </c>
      <c r="Y32" s="22">
        <f>IF(O32&gt;0,O32,((P32*2.2046*S32)+(Q32+R32+T32)/G32)+V32+W32)</f>
        <v>56.072000000000003</v>
      </c>
      <c r="Z32" s="3">
        <f>Y32*F32</f>
        <v>112317.68862720001</v>
      </c>
      <c r="AA32" s="44">
        <v>43298</v>
      </c>
      <c r="AB32" s="3"/>
      <c r="AC32" s="119"/>
      <c r="AE32" s="14"/>
      <c r="AF32" s="38"/>
    </row>
    <row r="33" spans="1:29" x14ac:dyDescent="0.25">
      <c r="A33" s="68"/>
      <c r="B33" s="34" t="s">
        <v>328</v>
      </c>
      <c r="C33" t="s">
        <v>336</v>
      </c>
      <c r="D33" s="35" t="s">
        <v>336</v>
      </c>
      <c r="E33" t="s">
        <v>1021</v>
      </c>
      <c r="F33" s="36">
        <f>40966*0.4536</f>
        <v>18582.177599999999</v>
      </c>
      <c r="G33" s="38">
        <v>18581.78</v>
      </c>
      <c r="H33" s="38">
        <f>G33-F33</f>
        <v>-0.39760000000023865</v>
      </c>
      <c r="I33" t="s">
        <v>3225</v>
      </c>
      <c r="J33" s="106" t="s">
        <v>1022</v>
      </c>
      <c r="K33" s="39">
        <v>43291</v>
      </c>
      <c r="L33" s="39">
        <v>43293</v>
      </c>
      <c r="M33" s="35" t="s">
        <v>342</v>
      </c>
      <c r="N33" s="35" t="s">
        <v>3259</v>
      </c>
      <c r="O33" s="22"/>
      <c r="P33" s="40">
        <f t="shared" ref="P33" si="13">0.5222+0.095</f>
        <v>0.61719999999999997</v>
      </c>
      <c r="Q33" s="111">
        <v>26000</v>
      </c>
      <c r="R33" s="22">
        <v>100427</v>
      </c>
      <c r="S33" s="45">
        <v>19.57</v>
      </c>
      <c r="T33" s="43">
        <f>X33*F33*0.005</f>
        <v>3117.3745197015164</v>
      </c>
      <c r="V33" s="22">
        <v>0.12</v>
      </c>
      <c r="W33" s="22">
        <v>0.3</v>
      </c>
      <c r="X33" s="22">
        <f>IF(O33&gt;0,O33,((P33*2.2046*S33)+(Q33+R33)/G33)+V33)</f>
        <v>33.552305728705512</v>
      </c>
      <c r="Y33" s="22">
        <f>IF(O33&gt;0,O33,((P33*2.2046*S33)+(Q33+R33+T33)/G33)+V33+W33)</f>
        <v>34.020070846993505</v>
      </c>
      <c r="Z33" s="3">
        <f>Y33*F33</f>
        <v>632166.99844341574</v>
      </c>
      <c r="AA33" s="44">
        <v>43284</v>
      </c>
      <c r="AB33" s="3">
        <v>37</v>
      </c>
      <c r="AC33" s="119"/>
    </row>
    <row r="34" spans="1:29" x14ac:dyDescent="0.25">
      <c r="A34" s="68"/>
      <c r="B34" s="34" t="s">
        <v>340</v>
      </c>
      <c r="C34" t="s">
        <v>341</v>
      </c>
      <c r="D34" s="35" t="s">
        <v>1244</v>
      </c>
      <c r="E34">
        <v>200</v>
      </c>
      <c r="F34" s="36">
        <v>22140</v>
      </c>
      <c r="G34" s="38">
        <f>11650+6250</f>
        <v>17900</v>
      </c>
      <c r="H34" s="38">
        <f t="shared" si="12"/>
        <v>-4240</v>
      </c>
      <c r="I34" t="s">
        <v>3335</v>
      </c>
      <c r="K34" s="39"/>
      <c r="L34" s="39">
        <v>43292</v>
      </c>
      <c r="M34" s="35" t="s">
        <v>331</v>
      </c>
      <c r="O34" s="22">
        <v>31.5</v>
      </c>
      <c r="P34" s="40"/>
      <c r="Q34" s="47">
        <v>21300</v>
      </c>
      <c r="R34" s="22">
        <f>72*E34</f>
        <v>14400</v>
      </c>
      <c r="S34" s="43">
        <f>-38*E34</f>
        <v>-7600</v>
      </c>
      <c r="T34" s="43">
        <f t="shared" ref="T34" si="14">X34*F34*0.005</f>
        <v>4492.997597765363</v>
      </c>
      <c r="U34" s="22">
        <f>E34*5</f>
        <v>1000</v>
      </c>
      <c r="W34" s="22">
        <v>0.3</v>
      </c>
      <c r="X34" s="22">
        <f>((O34*F34)+Q34+R34+S34+U34)/G34</f>
        <v>40.58715083798883</v>
      </c>
      <c r="Y34" s="22">
        <f>((O34*F34)+Q34+R34+S34+T34+U34)/G34+W34</f>
        <v>41.13815629037795</v>
      </c>
      <c r="Z34" s="3">
        <f>Y34*G34</f>
        <v>736372.99759776529</v>
      </c>
      <c r="AA34" s="44">
        <v>43307</v>
      </c>
      <c r="AB34" s="3">
        <v>43</v>
      </c>
      <c r="AC34" s="119" t="s">
        <v>3357</v>
      </c>
    </row>
    <row r="35" spans="1:29" x14ac:dyDescent="0.25">
      <c r="A35" s="68"/>
      <c r="B35" s="34" t="s">
        <v>1596</v>
      </c>
      <c r="C35" t="s">
        <v>1349</v>
      </c>
      <c r="D35" s="35" t="s">
        <v>1065</v>
      </c>
      <c r="E35" t="s">
        <v>3403</v>
      </c>
      <c r="F35" s="36">
        <f>670.37+587.42+602</f>
        <v>1859.79</v>
      </c>
      <c r="G35" s="38">
        <v>1859.78</v>
      </c>
      <c r="H35" s="38">
        <f t="shared" si="12"/>
        <v>-9.9999999999909051E-3</v>
      </c>
      <c r="I35" t="s">
        <v>3401</v>
      </c>
      <c r="K35" s="39"/>
      <c r="L35" s="39">
        <v>43292</v>
      </c>
      <c r="M35" s="35" t="s">
        <v>331</v>
      </c>
      <c r="O35" s="22">
        <v>94</v>
      </c>
      <c r="P35" s="40"/>
      <c r="Q35" s="22"/>
      <c r="R35" s="22"/>
      <c r="S35" s="43"/>
      <c r="T35" s="43"/>
      <c r="U35" s="22"/>
      <c r="W35" s="22"/>
      <c r="X35" s="22"/>
      <c r="Y35" s="22">
        <f>IF(O35&gt;0,O35,((P35*2.2046*S35)+(Q35+R35+T35)/G35)+V35+W35)</f>
        <v>94</v>
      </c>
      <c r="Z35" s="3">
        <f>Y35*F35</f>
        <v>174820.26</v>
      </c>
      <c r="AA35" s="44">
        <v>43299</v>
      </c>
      <c r="AB35" s="3"/>
      <c r="AC35" s="119"/>
    </row>
    <row r="36" spans="1:29" x14ac:dyDescent="0.25">
      <c r="A36" s="68"/>
      <c r="B36" s="34" t="s">
        <v>3399</v>
      </c>
      <c r="C36" t="s">
        <v>3400</v>
      </c>
      <c r="D36" s="35" t="s">
        <v>1065</v>
      </c>
      <c r="E36" t="s">
        <v>1016</v>
      </c>
      <c r="F36" s="36">
        <v>185.3</v>
      </c>
      <c r="G36" s="38">
        <v>185.3</v>
      </c>
      <c r="H36" s="38">
        <f t="shared" si="12"/>
        <v>0</v>
      </c>
      <c r="I36" t="s">
        <v>3402</v>
      </c>
      <c r="K36" s="39"/>
      <c r="L36" s="39">
        <v>43292</v>
      </c>
      <c r="M36" s="35" t="s">
        <v>331</v>
      </c>
      <c r="O36" s="22">
        <v>94</v>
      </c>
      <c r="P36" s="40"/>
      <c r="Q36" s="22"/>
      <c r="R36" s="22"/>
      <c r="S36" s="43"/>
      <c r="T36" s="43"/>
      <c r="U36" s="22"/>
      <c r="W36" s="22"/>
      <c r="X36" s="22"/>
      <c r="Y36" s="22">
        <f>IF(O36&gt;0,O36,((P36*2.2046*S36)+(Q36+R36+T36)/G36)+V36+W36)</f>
        <v>94</v>
      </c>
      <c r="Z36" s="3">
        <f>Y36*F36</f>
        <v>17418.2</v>
      </c>
      <c r="AA36" s="44">
        <v>43299</v>
      </c>
      <c r="AB36" s="3"/>
      <c r="AC36" s="119"/>
    </row>
    <row r="37" spans="1:29" x14ac:dyDescent="0.25">
      <c r="A37" s="68"/>
      <c r="B37" s="34" t="s">
        <v>340</v>
      </c>
      <c r="C37" t="s">
        <v>341</v>
      </c>
      <c r="D37" s="35" t="s">
        <v>1665</v>
      </c>
      <c r="E37">
        <v>200</v>
      </c>
      <c r="F37" s="36">
        <v>21140</v>
      </c>
      <c r="G37" s="38">
        <v>16760</v>
      </c>
      <c r="H37" s="38">
        <f t="shared" si="12"/>
        <v>-4380</v>
      </c>
      <c r="I37" t="s">
        <v>3342</v>
      </c>
      <c r="K37" s="39"/>
      <c r="L37" s="39">
        <v>43293</v>
      </c>
      <c r="M37" s="35" t="s">
        <v>342</v>
      </c>
      <c r="O37" s="22">
        <v>31.5</v>
      </c>
      <c r="P37" s="40"/>
      <c r="Q37" s="47">
        <v>21300</v>
      </c>
      <c r="R37" s="22">
        <f>72*E37</f>
        <v>14400</v>
      </c>
      <c r="S37" s="43">
        <f>-38*E37</f>
        <v>-7600</v>
      </c>
      <c r="T37" s="43">
        <f>X37*F37*0.0045</f>
        <v>3944.8867124105004</v>
      </c>
      <c r="U37" s="22">
        <f>E37*5</f>
        <v>1000</v>
      </c>
      <c r="W37" s="22">
        <v>0.3</v>
      </c>
      <c r="X37" s="22">
        <f t="shared" ref="X37:X38" si="15">((O37*F37)+Q37+R37+S37+U37)/G37</f>
        <v>41.468377088305488</v>
      </c>
      <c r="Y37" s="22">
        <f t="shared" ref="Y37:Y38" si="16">((O37*F37)+Q37+R37+S37+T37+U37)/G37+W37</f>
        <v>42.003752190477947</v>
      </c>
      <c r="Z37" s="3">
        <f t="shared" ref="Z37:Z38" si="17">Y37*G37</f>
        <v>703982.88671241037</v>
      </c>
      <c r="AA37" s="44">
        <v>43306</v>
      </c>
      <c r="AB37" s="3">
        <v>43</v>
      </c>
      <c r="AC37" s="119"/>
    </row>
    <row r="38" spans="1:29" x14ac:dyDescent="0.25">
      <c r="A38" s="68"/>
      <c r="B38" s="34" t="s">
        <v>340</v>
      </c>
      <c r="C38" t="s">
        <v>341</v>
      </c>
      <c r="D38" s="35" t="s">
        <v>1060</v>
      </c>
      <c r="E38">
        <v>129</v>
      </c>
      <c r="F38" s="36">
        <v>14740</v>
      </c>
      <c r="G38" s="38">
        <v>11770</v>
      </c>
      <c r="H38" s="38">
        <f t="shared" si="12"/>
        <v>-2970</v>
      </c>
      <c r="I38" t="s">
        <v>3343</v>
      </c>
      <c r="J38" s="159">
        <v>128</v>
      </c>
      <c r="K38" s="39"/>
      <c r="L38" s="39">
        <v>43293</v>
      </c>
      <c r="M38" s="35" t="s">
        <v>342</v>
      </c>
      <c r="O38" s="22">
        <v>31.5</v>
      </c>
      <c r="P38" s="40"/>
      <c r="Q38" s="111">
        <v>16900</v>
      </c>
      <c r="R38" s="22">
        <f>72*E38</f>
        <v>9288</v>
      </c>
      <c r="S38" s="43">
        <f>-38*E38</f>
        <v>-4902</v>
      </c>
      <c r="T38" s="43">
        <f>X38*F38*0.0045</f>
        <v>2740.2179719626165</v>
      </c>
      <c r="U38" s="22">
        <f>E38*5</f>
        <v>645</v>
      </c>
      <c r="W38" s="22">
        <v>0.3</v>
      </c>
      <c r="X38" s="22">
        <f t="shared" si="15"/>
        <v>41.311894647408664</v>
      </c>
      <c r="Y38" s="22">
        <f t="shared" si="16"/>
        <v>41.844708408832844</v>
      </c>
      <c r="Z38" s="3">
        <f t="shared" si="17"/>
        <v>492512.21797196259</v>
      </c>
      <c r="AA38" s="44">
        <v>43306</v>
      </c>
      <c r="AB38" s="3">
        <v>43</v>
      </c>
      <c r="AC38" s="119" t="s">
        <v>3388</v>
      </c>
    </row>
    <row r="39" spans="1:29" x14ac:dyDescent="0.25">
      <c r="A39" s="68"/>
      <c r="B39" s="34" t="s">
        <v>328</v>
      </c>
      <c r="C39" s="35" t="s">
        <v>329</v>
      </c>
      <c r="D39" s="35" t="s">
        <v>329</v>
      </c>
      <c r="E39" t="s">
        <v>1021</v>
      </c>
      <c r="F39" s="36">
        <f>42242*0.4536</f>
        <v>19160.9712</v>
      </c>
      <c r="G39" s="38">
        <v>19156.36</v>
      </c>
      <c r="H39" s="38">
        <f t="shared" si="12"/>
        <v>-4.6111999999993714</v>
      </c>
      <c r="I39" t="s">
        <v>3266</v>
      </c>
      <c r="J39" s="106" t="s">
        <v>1022</v>
      </c>
      <c r="K39" s="39">
        <v>43293</v>
      </c>
      <c r="L39" s="39">
        <v>43294</v>
      </c>
      <c r="M39" s="35" t="s">
        <v>345</v>
      </c>
      <c r="N39" s="35" t="s">
        <v>3262</v>
      </c>
      <c r="O39" s="22"/>
      <c r="P39" s="40">
        <f>0.5284+0.095</f>
        <v>0.62339999999999995</v>
      </c>
      <c r="Q39" s="111">
        <v>26000</v>
      </c>
      <c r="R39" s="22">
        <v>100427</v>
      </c>
      <c r="S39" s="42">
        <v>18.95</v>
      </c>
      <c r="T39" s="43">
        <f>X39*F39*0.005</f>
        <v>3138.9146645824903</v>
      </c>
      <c r="V39" s="22">
        <v>0.12</v>
      </c>
      <c r="W39" s="22">
        <v>0.3</v>
      </c>
      <c r="X39" s="22">
        <f>IF(O39&gt;0,O39,((P39*2.2046*S39)+(Q39+R39)/G39)+V39)</f>
        <v>32.763628020927143</v>
      </c>
      <c r="Y39" s="22">
        <f>IF(O39&gt;0,O39,((P39*2.2046*S39)+(Q39+R39+T39)/G39)+V39+W39)</f>
        <v>33.227485594316995</v>
      </c>
      <c r="Z39" s="3">
        <f>Y39*F39</f>
        <v>636670.8945211228</v>
      </c>
      <c r="AA39" s="44">
        <v>43304</v>
      </c>
      <c r="AB39" s="3">
        <v>37</v>
      </c>
      <c r="AC39" s="119"/>
    </row>
    <row r="40" spans="1:29" x14ac:dyDescent="0.25">
      <c r="A40" s="68"/>
      <c r="B40" s="34" t="s">
        <v>340</v>
      </c>
      <c r="C40" t="s">
        <v>341</v>
      </c>
      <c r="D40" s="35" t="s">
        <v>1102</v>
      </c>
      <c r="E40">
        <v>200</v>
      </c>
      <c r="F40" s="36">
        <v>22040</v>
      </c>
      <c r="G40" s="38">
        <v>17740</v>
      </c>
      <c r="H40" s="38">
        <f t="shared" si="12"/>
        <v>-4300</v>
      </c>
      <c r="I40" t="s">
        <v>3383</v>
      </c>
      <c r="K40" s="39"/>
      <c r="L40" s="39">
        <v>43294</v>
      </c>
      <c r="M40" s="35" t="s">
        <v>345</v>
      </c>
      <c r="O40" s="22">
        <v>31.5</v>
      </c>
      <c r="P40" s="40"/>
      <c r="Q40" s="47">
        <v>21300</v>
      </c>
      <c r="R40" s="22">
        <f>72*E40</f>
        <v>14400</v>
      </c>
      <c r="S40" s="43">
        <f>-38*E40</f>
        <v>-7600</v>
      </c>
      <c r="T40" s="43">
        <f>X40*F40*0.0045</f>
        <v>4044.1287936865838</v>
      </c>
      <c r="U40" s="22">
        <f>E40*5</f>
        <v>1000</v>
      </c>
      <c r="W40" s="22">
        <v>0.3</v>
      </c>
      <c r="X40" s="22">
        <f>((O40*F40)+Q40+R40+S40+U40)/G40</f>
        <v>40.775648252536641</v>
      </c>
      <c r="Y40" s="22">
        <f>((O40*F40)+Q40+R40+S40+T40+U40)/G40+W40</f>
        <v>41.303614926363394</v>
      </c>
      <c r="Z40" s="3">
        <f>Y40*G40</f>
        <v>732726.12879368663</v>
      </c>
      <c r="AA40" s="44">
        <v>43308</v>
      </c>
      <c r="AB40" s="3">
        <v>43</v>
      </c>
      <c r="AC40" s="119"/>
    </row>
    <row r="41" spans="1:29" x14ac:dyDescent="0.25">
      <c r="A41" s="68"/>
      <c r="B41" s="34" t="s">
        <v>340</v>
      </c>
      <c r="C41" t="s">
        <v>341</v>
      </c>
      <c r="D41" s="35" t="s">
        <v>1665</v>
      </c>
      <c r="E41">
        <v>130</v>
      </c>
      <c r="F41" s="36">
        <v>15570</v>
      </c>
      <c r="G41" s="38">
        <v>12520</v>
      </c>
      <c r="H41" s="38">
        <f t="shared" si="12"/>
        <v>-3050</v>
      </c>
      <c r="I41" s="35" t="s">
        <v>3384</v>
      </c>
      <c r="K41" s="39"/>
      <c r="L41" s="39">
        <v>43294</v>
      </c>
      <c r="M41" s="35" t="s">
        <v>345</v>
      </c>
      <c r="O41" s="22">
        <v>31.5</v>
      </c>
      <c r="P41" s="40"/>
      <c r="Q41" s="111">
        <v>16900</v>
      </c>
      <c r="R41" s="22">
        <f>72*E41</f>
        <v>9360</v>
      </c>
      <c r="S41" s="43">
        <f>-38*E41</f>
        <v>-4940</v>
      </c>
      <c r="T41" s="43">
        <f>X41*F41*0.0045</f>
        <v>2867.6563598242806</v>
      </c>
      <c r="U41" s="22">
        <f>E41*5</f>
        <v>650</v>
      </c>
      <c r="W41" s="22">
        <v>0.3</v>
      </c>
      <c r="X41" s="22">
        <f>((O41*F41)+Q41+R41+S41+U41)/G41</f>
        <v>40.928514376996802</v>
      </c>
      <c r="Y41" s="22">
        <f>((O41*F41)+Q41+R41+S41+T41+U41)/G41+W41</f>
        <v>41.45756041212654</v>
      </c>
      <c r="Z41" s="3">
        <f>Y41*G41</f>
        <v>519048.65635982429</v>
      </c>
      <c r="AA41" s="44">
        <v>43308</v>
      </c>
      <c r="AB41" s="3">
        <v>43</v>
      </c>
      <c r="AC41" s="119" t="s">
        <v>3405</v>
      </c>
    </row>
    <row r="42" spans="1:29" x14ac:dyDescent="0.25">
      <c r="A42" s="68"/>
      <c r="B42" s="34" t="s">
        <v>328</v>
      </c>
      <c r="C42" t="s">
        <v>343</v>
      </c>
      <c r="D42" s="35" t="s">
        <v>343</v>
      </c>
      <c r="E42" t="s">
        <v>1040</v>
      </c>
      <c r="F42" s="36">
        <f>42398*0.4536</f>
        <v>19231.732800000002</v>
      </c>
      <c r="G42" s="38">
        <v>19231.2</v>
      </c>
      <c r="H42" s="38">
        <f t="shared" ref="H42" si="18">G42-F42</f>
        <v>-0.53280000000086147</v>
      </c>
      <c r="I42" s="35" t="s">
        <v>3267</v>
      </c>
      <c r="J42" s="106" t="s">
        <v>1022</v>
      </c>
      <c r="K42" s="39">
        <v>43294</v>
      </c>
      <c r="L42" s="39">
        <v>43295</v>
      </c>
      <c r="M42" s="35" t="s">
        <v>348</v>
      </c>
      <c r="N42" s="35" t="s">
        <v>3263</v>
      </c>
      <c r="O42" s="22"/>
      <c r="P42" s="40">
        <f>0.5274+0.105</f>
        <v>0.63239999999999996</v>
      </c>
      <c r="Q42" s="111">
        <v>26000</v>
      </c>
      <c r="R42" s="22">
        <v>101765</v>
      </c>
      <c r="S42" s="45">
        <v>19.12</v>
      </c>
      <c r="T42" s="43">
        <f>X42*F42*0.005</f>
        <v>3213.6730945144604</v>
      </c>
      <c r="V42" s="22">
        <v>0.12</v>
      </c>
      <c r="W42" s="22">
        <v>0.3</v>
      </c>
      <c r="X42" s="22">
        <f>IF(O42&gt;0,O42,((P42*2.2046*S42)+(Q42+R42)/G42)+V42)</f>
        <v>33.420525627461508</v>
      </c>
      <c r="Y42" s="22">
        <f>IF(O42&gt;0,O42,((P42*2.2046*S42)+(Q42+R42+T42)/G42)+V42+W42)</f>
        <v>33.88763288517368</v>
      </c>
      <c r="Z42" s="3">
        <f>Y42*F42</f>
        <v>651717.90087215335</v>
      </c>
      <c r="AA42" s="44">
        <v>43290</v>
      </c>
      <c r="AB42" s="3">
        <v>37</v>
      </c>
      <c r="AC42" s="119"/>
    </row>
    <row r="43" spans="1:29" x14ac:dyDescent="0.25">
      <c r="A43" s="68"/>
      <c r="B43" s="34" t="s">
        <v>328</v>
      </c>
      <c r="C43" t="s">
        <v>336</v>
      </c>
      <c r="D43" s="35" t="s">
        <v>1129</v>
      </c>
      <c r="E43" t="s">
        <v>1021</v>
      </c>
      <c r="F43" s="36">
        <f>41104*0.4536</f>
        <v>18644.774399999998</v>
      </c>
      <c r="G43" s="38">
        <v>18644.38</v>
      </c>
      <c r="H43" s="38">
        <f t="shared" si="12"/>
        <v>-0.39439999999740394</v>
      </c>
      <c r="I43" s="35" t="s">
        <v>3356</v>
      </c>
      <c r="J43" s="106" t="s">
        <v>1023</v>
      </c>
      <c r="K43" s="39">
        <v>43294</v>
      </c>
      <c r="L43" s="39">
        <v>43295</v>
      </c>
      <c r="M43" s="35" t="s">
        <v>348</v>
      </c>
      <c r="N43" s="35"/>
      <c r="O43" s="22"/>
      <c r="P43" s="40">
        <v>0.63</v>
      </c>
      <c r="Q43" s="111">
        <v>26000</v>
      </c>
      <c r="R43" s="22">
        <v>101516.4</v>
      </c>
      <c r="S43" s="45">
        <v>18.957999999999998</v>
      </c>
      <c r="T43" s="43">
        <f>X43*F43*0.005</f>
        <v>3103.4347951540963</v>
      </c>
      <c r="V43" s="22">
        <v>0.12</v>
      </c>
      <c r="W43" s="22">
        <v>0.3</v>
      </c>
      <c r="X43" s="22">
        <f>IF(O43&gt;0,O43,((P43*2.2046*S43)+(Q43+R43)/G43)+V43)</f>
        <v>33.290129755113547</v>
      </c>
      <c r="Y43" s="22">
        <f>IF(O43&gt;0,O43,((P43*2.2046*S43)+(Q43+R43+T43)/G43)+V43+W43)</f>
        <v>33.75658392495744</v>
      </c>
      <c r="Z43" s="3">
        <f>Y43*F43</f>
        <v>629383.89179549797</v>
      </c>
      <c r="AA43" s="44">
        <v>43297</v>
      </c>
      <c r="AB43" s="3">
        <v>37</v>
      </c>
      <c r="AC43" s="119"/>
    </row>
    <row r="44" spans="1:29" ht="15.75" thickBot="1" x14ac:dyDescent="0.3">
      <c r="A44" s="69"/>
      <c r="B44" s="49"/>
      <c r="C44" s="23"/>
      <c r="D44" s="23"/>
      <c r="E44" s="23"/>
      <c r="F44" s="50"/>
      <c r="G44" s="50"/>
      <c r="H44" s="50"/>
      <c r="I44" s="26"/>
      <c r="J44" s="23"/>
      <c r="K44" s="27"/>
      <c r="L44" s="27"/>
      <c r="M44" s="23"/>
      <c r="N44" s="23"/>
      <c r="O44" s="28"/>
      <c r="P44" s="29"/>
      <c r="Q44" s="28"/>
      <c r="R44" s="28"/>
      <c r="S44" s="28"/>
      <c r="T44" s="28"/>
      <c r="U44" s="28"/>
      <c r="V44" s="28"/>
      <c r="W44" s="28"/>
      <c r="X44" s="28"/>
      <c r="Y44" s="28"/>
      <c r="Z44" s="32"/>
      <c r="AA44" s="51"/>
      <c r="AB44" s="3"/>
      <c r="AC44" s="119"/>
    </row>
    <row r="45" spans="1:29" ht="15.75" thickTop="1" x14ac:dyDescent="0.25">
      <c r="A45" s="210"/>
      <c r="B45" s="53" t="s">
        <v>340</v>
      </c>
      <c r="C45" s="53" t="s">
        <v>341</v>
      </c>
      <c r="D45" s="54" t="s">
        <v>1047</v>
      </c>
      <c r="E45" s="53">
        <v>250</v>
      </c>
      <c r="F45" s="55">
        <f>27415-5200</f>
        <v>22215</v>
      </c>
      <c r="G45" s="56">
        <v>17810</v>
      </c>
      <c r="H45" s="121">
        <f t="shared" ref="H45:H49" si="19">G45-F45</f>
        <v>-4405</v>
      </c>
      <c r="I45" s="57" t="s">
        <v>3407</v>
      </c>
      <c r="J45" s="53"/>
      <c r="K45" s="58"/>
      <c r="L45" s="58">
        <v>43296</v>
      </c>
      <c r="M45" s="54" t="s">
        <v>349</v>
      </c>
      <c r="N45" s="53"/>
      <c r="O45" s="59">
        <v>32</v>
      </c>
      <c r="P45" s="60"/>
      <c r="Q45" s="61">
        <v>21300</v>
      </c>
      <c r="R45" s="22">
        <f>72*E45</f>
        <v>18000</v>
      </c>
      <c r="S45" s="59">
        <f>-38*E45</f>
        <v>-9500</v>
      </c>
      <c r="T45" s="62">
        <f>X45*F45*0.0045</f>
        <v>4164.4518402582817</v>
      </c>
      <c r="U45" s="59">
        <f>E45*5</f>
        <v>1250</v>
      </c>
      <c r="V45" s="53"/>
      <c r="W45" s="59">
        <v>0.3</v>
      </c>
      <c r="X45" s="59">
        <f>((O45*F45)+Q45+R45+S45+U45)/G45</f>
        <v>41.658057271195958</v>
      </c>
      <c r="Y45" s="63">
        <f>((O45*F45)+Q45+R45+S45+T45+U45)/G45+W45</f>
        <v>42.19188387648839</v>
      </c>
      <c r="Z45" s="63">
        <f>Y45*G45</f>
        <v>751437.4518402582</v>
      </c>
      <c r="AA45" s="64">
        <v>43311</v>
      </c>
      <c r="AB45" s="3"/>
      <c r="AC45" s="3"/>
    </row>
    <row r="46" spans="1:29" x14ac:dyDescent="0.25">
      <c r="A46" s="211"/>
      <c r="B46" s="34" t="s">
        <v>340</v>
      </c>
      <c r="C46" t="s">
        <v>341</v>
      </c>
      <c r="D46" s="35" t="s">
        <v>1244</v>
      </c>
      <c r="E46">
        <v>80</v>
      </c>
      <c r="F46" s="36">
        <f>8765+5200</f>
        <v>13965</v>
      </c>
      <c r="G46" s="38">
        <v>11160</v>
      </c>
      <c r="H46" s="38">
        <f t="shared" si="19"/>
        <v>-2805</v>
      </c>
      <c r="I46" s="35" t="s">
        <v>3408</v>
      </c>
      <c r="K46" s="39"/>
      <c r="L46" s="39">
        <v>43296</v>
      </c>
      <c r="M46" s="35" t="s">
        <v>349</v>
      </c>
      <c r="O46" s="22">
        <v>32</v>
      </c>
      <c r="P46" s="40"/>
      <c r="Q46" s="22">
        <v>16900</v>
      </c>
      <c r="R46" s="22">
        <f>72*E46</f>
        <v>5760</v>
      </c>
      <c r="S46" s="43">
        <f>-38*E46</f>
        <v>-3040</v>
      </c>
      <c r="T46" s="43">
        <f>X46*F46*0.0045</f>
        <v>2629.1364919354833</v>
      </c>
      <c r="U46" s="22">
        <f>E46*5</f>
        <v>400</v>
      </c>
      <c r="W46" s="22">
        <v>0.3</v>
      </c>
      <c r="X46" s="22">
        <f>((O46*F46)+Q46+R46+S46+U46)/G46</f>
        <v>41.836917562724011</v>
      </c>
      <c r="Y46" s="22">
        <f>((O46*F46)+Q46+R46+S46+T46+U46)/G46+W46</f>
        <v>42.372503269886685</v>
      </c>
      <c r="Z46" s="3">
        <f>Y46*G46</f>
        <v>472877.13649193541</v>
      </c>
      <c r="AA46" s="44">
        <v>43311</v>
      </c>
      <c r="AB46" s="3"/>
      <c r="AC46" s="119" t="s">
        <v>3416</v>
      </c>
    </row>
    <row r="47" spans="1:29" x14ac:dyDescent="0.25">
      <c r="A47" s="211"/>
      <c r="B47" s="34" t="s">
        <v>340</v>
      </c>
      <c r="C47" t="s">
        <v>341</v>
      </c>
      <c r="D47" s="35" t="s">
        <v>1665</v>
      </c>
      <c r="E47">
        <v>249</v>
      </c>
      <c r="F47" s="36">
        <f>26540-4750</f>
        <v>21790</v>
      </c>
      <c r="G47" s="38">
        <v>17420</v>
      </c>
      <c r="H47" s="38">
        <f t="shared" si="19"/>
        <v>-4370</v>
      </c>
      <c r="I47" s="35" t="s">
        <v>2223</v>
      </c>
      <c r="K47" s="39"/>
      <c r="L47" s="39">
        <v>43297</v>
      </c>
      <c r="M47" s="35" t="s">
        <v>350</v>
      </c>
      <c r="O47" s="22">
        <v>32</v>
      </c>
      <c r="P47" s="40"/>
      <c r="Q47" s="47">
        <v>21300</v>
      </c>
      <c r="R47" s="22">
        <f>72*E47</f>
        <v>17928</v>
      </c>
      <c r="S47" s="43">
        <f>-38*E47</f>
        <v>-9462</v>
      </c>
      <c r="T47" s="43">
        <f>X47*F47*0.0045</f>
        <v>4099.4588981056258</v>
      </c>
      <c r="U47" s="22">
        <f>E47*5</f>
        <v>1245</v>
      </c>
      <c r="W47" s="22">
        <v>0.3</v>
      </c>
      <c r="X47" s="22">
        <f>((O47*F47)+Q47+R47+S47+U47)/G47</f>
        <v>41.807749712973596</v>
      </c>
      <c r="Y47" s="22">
        <f>((O47*F47)+Q47+R47+S47+T47+U47)/G47+W47</f>
        <v>42.343080304139242</v>
      </c>
      <c r="Z47" s="3">
        <f>Y47*G47</f>
        <v>737616.45889810566</v>
      </c>
      <c r="AA47" s="44">
        <v>43312</v>
      </c>
      <c r="AB47" s="3"/>
      <c r="AC47" s="119"/>
    </row>
    <row r="48" spans="1:29" x14ac:dyDescent="0.25">
      <c r="A48" s="211"/>
      <c r="B48" s="34" t="s">
        <v>340</v>
      </c>
      <c r="C48" t="s">
        <v>341</v>
      </c>
      <c r="D48" s="35" t="s">
        <v>3409</v>
      </c>
      <c r="E48">
        <v>80</v>
      </c>
      <c r="F48" s="36">
        <v>9030</v>
      </c>
      <c r="G48" s="38">
        <v>10900</v>
      </c>
      <c r="H48" s="38">
        <f t="shared" ref="H48" si="20">G48-F48</f>
        <v>1870</v>
      </c>
      <c r="I48" s="35" t="s">
        <v>3410</v>
      </c>
      <c r="K48" s="39"/>
      <c r="L48" s="39">
        <v>43297</v>
      </c>
      <c r="M48" s="35" t="s">
        <v>350</v>
      </c>
      <c r="O48" s="22">
        <v>32</v>
      </c>
      <c r="P48" s="40"/>
      <c r="Q48" s="22">
        <v>16900</v>
      </c>
      <c r="R48" s="22">
        <f>72*E48</f>
        <v>5760</v>
      </c>
      <c r="S48" s="43">
        <f>-38*E48</f>
        <v>-3040</v>
      </c>
      <c r="T48" s="43">
        <f>X48*F48*0.0045</f>
        <v>1151.8717706422017</v>
      </c>
      <c r="U48" s="22">
        <f>E48*5</f>
        <v>400</v>
      </c>
      <c r="W48" s="22">
        <v>0.3</v>
      </c>
      <c r="X48" s="22">
        <f>((O48*F48)+Q48+R48+S48+U48)/G48</f>
        <v>28.346788990825686</v>
      </c>
      <c r="Y48" s="22">
        <f>((O48*F48)+Q48+R48+S48+T48+U48)/G48+W48</f>
        <v>28.752465300058915</v>
      </c>
      <c r="Z48" s="3">
        <f>Y48*G48</f>
        <v>313401.87177064217</v>
      </c>
      <c r="AA48" s="44">
        <v>43312</v>
      </c>
      <c r="AB48" s="3"/>
      <c r="AC48" s="119" t="s">
        <v>3417</v>
      </c>
    </row>
    <row r="49" spans="1:35" x14ac:dyDescent="0.25">
      <c r="A49" s="211"/>
      <c r="B49" s="34" t="s">
        <v>328</v>
      </c>
      <c r="C49" t="s">
        <v>329</v>
      </c>
      <c r="D49" s="35" t="s">
        <v>329</v>
      </c>
      <c r="E49" t="s">
        <v>1021</v>
      </c>
      <c r="F49" s="36">
        <f>42530*0.4536</f>
        <v>19291.608</v>
      </c>
      <c r="G49" s="38">
        <v>19287.5</v>
      </c>
      <c r="H49" s="38">
        <f t="shared" si="19"/>
        <v>-4.1080000000001746</v>
      </c>
      <c r="I49" s="35" t="s">
        <v>3272</v>
      </c>
      <c r="J49" s="106" t="s">
        <v>1022</v>
      </c>
      <c r="K49" s="39">
        <v>43297</v>
      </c>
      <c r="L49" s="39">
        <v>43298</v>
      </c>
      <c r="M49" s="35" t="s">
        <v>355</v>
      </c>
      <c r="N49" s="35" t="s">
        <v>3268</v>
      </c>
      <c r="O49" s="22"/>
      <c r="P49" s="40">
        <f>0.5076+0.095</f>
        <v>0.60260000000000002</v>
      </c>
      <c r="Q49" s="111">
        <v>26000</v>
      </c>
      <c r="R49" s="22">
        <f t="shared" ref="R49:R50" si="21">7000+(F49/0.4536*S49*P49*0.2)</f>
        <v>106951.45420000001</v>
      </c>
      <c r="S49" s="42">
        <v>19.5</v>
      </c>
      <c r="T49" s="43">
        <f t="shared" ref="T49" si="22">X49*F49*0.005</f>
        <v>3175.2765679516074</v>
      </c>
      <c r="V49" s="22">
        <v>0.12</v>
      </c>
      <c r="W49" s="22">
        <v>0.3</v>
      </c>
      <c r="X49" s="22">
        <f>IF(O49&gt;0,O49,((P49*2.2046*S49)+(Q49+R49)/G49)+V49)</f>
        <v>32.918734072883993</v>
      </c>
      <c r="Y49" s="22">
        <f>IF(O49&gt;0,O49,((P49*2.2046*S49)+(Q49+R49+T49)/G49)+V49+W49)</f>
        <v>33.383362799673442</v>
      </c>
      <c r="Z49" s="3">
        <f>Y49*F49</f>
        <v>644018.74885308254</v>
      </c>
      <c r="AA49" s="44">
        <v>43308</v>
      </c>
      <c r="AB49" s="3"/>
      <c r="AC49" s="119"/>
    </row>
    <row r="50" spans="1:35" x14ac:dyDescent="0.25">
      <c r="A50" s="211"/>
      <c r="B50" s="34" t="s">
        <v>328</v>
      </c>
      <c r="C50" s="35" t="s">
        <v>343</v>
      </c>
      <c r="D50" s="35" t="s">
        <v>343</v>
      </c>
      <c r="E50" t="s">
        <v>1040</v>
      </c>
      <c r="F50" s="36">
        <f>41960*0.4536</f>
        <v>19033.056</v>
      </c>
      <c r="G50" s="38">
        <v>19032.8</v>
      </c>
      <c r="H50" s="38">
        <f>G50-F50</f>
        <v>-0.25600000000122236</v>
      </c>
      <c r="I50" t="s">
        <v>3273</v>
      </c>
      <c r="J50" s="106" t="s">
        <v>1022</v>
      </c>
      <c r="K50" s="39">
        <v>43297</v>
      </c>
      <c r="L50" s="39">
        <v>43298</v>
      </c>
      <c r="M50" s="35" t="s">
        <v>355</v>
      </c>
      <c r="N50" s="35" t="s">
        <v>3269</v>
      </c>
      <c r="O50" s="22"/>
      <c r="P50" s="40">
        <f>0.5076+0.105</f>
        <v>0.61260000000000003</v>
      </c>
      <c r="Q50" s="111">
        <v>26000</v>
      </c>
      <c r="R50" s="22">
        <f t="shared" si="21"/>
        <v>105294.75750400002</v>
      </c>
      <c r="S50" s="45">
        <v>19.12</v>
      </c>
      <c r="T50" s="43">
        <f>X50*F50*0.005</f>
        <v>3125.2875089375798</v>
      </c>
      <c r="V50" s="22">
        <v>0.12</v>
      </c>
      <c r="W50" s="22">
        <v>0.3</v>
      </c>
      <c r="X50" s="22">
        <f>IF(O50&gt;0,O50,((P50*2.2046*S50)+(Q50+R50)/G50)+V50)</f>
        <v>32.840627473986096</v>
      </c>
      <c r="Y50" s="22">
        <f>IF(O50&gt;0,O50,((P50*2.2046*S50)+(Q50+R50+T50)/G50)+V50+W50)</f>
        <v>33.304832819964489</v>
      </c>
      <c r="Z50" s="3">
        <f>Y50*F50</f>
        <v>633892.74813302199</v>
      </c>
      <c r="AA50" s="44">
        <v>43291</v>
      </c>
      <c r="AB50" s="3"/>
      <c r="AC50" s="119"/>
    </row>
    <row r="51" spans="1:35" x14ac:dyDescent="0.25">
      <c r="A51" s="211"/>
      <c r="B51" s="34" t="s">
        <v>340</v>
      </c>
      <c r="C51" t="s">
        <v>44</v>
      </c>
      <c r="D51" s="35" t="s">
        <v>3325</v>
      </c>
      <c r="E51">
        <v>234</v>
      </c>
      <c r="F51" s="36">
        <v>18970</v>
      </c>
      <c r="G51" s="38">
        <f>6240+12720</f>
        <v>18960</v>
      </c>
      <c r="H51" s="38">
        <f t="shared" ref="H51" si="23">G51-F51</f>
        <v>-10</v>
      </c>
      <c r="I51" s="106"/>
      <c r="K51" s="39"/>
      <c r="L51" s="39">
        <v>43298</v>
      </c>
      <c r="M51" s="35" t="s">
        <v>355</v>
      </c>
      <c r="O51" s="22">
        <v>40.4</v>
      </c>
      <c r="P51" s="40"/>
      <c r="Q51" s="47">
        <v>21300</v>
      </c>
      <c r="R51" s="22"/>
      <c r="S51" s="43"/>
      <c r="T51" s="43"/>
      <c r="U51" s="22">
        <f>E51*5</f>
        <v>1170</v>
      </c>
      <c r="W51" s="22">
        <v>0.3</v>
      </c>
      <c r="X51" s="22">
        <f>((O51*F51)+Q51+R51+S51+U51)/G51</f>
        <v>41.606434599156117</v>
      </c>
      <c r="Y51" s="22">
        <f>((O51*F51)+Q51+R51+S51+T51+U51)/G51+W51</f>
        <v>41.906434599156114</v>
      </c>
      <c r="Z51" s="3">
        <f>Y51*G51</f>
        <v>794545.99999999988</v>
      </c>
      <c r="AA51" s="44">
        <v>43308</v>
      </c>
      <c r="AB51" s="3"/>
      <c r="AC51" s="119" t="s">
        <v>3425</v>
      </c>
      <c r="AE51" s="14"/>
      <c r="AF51" s="38">
        <f>F51</f>
        <v>18970</v>
      </c>
      <c r="AG51">
        <v>39.700000000000003</v>
      </c>
      <c r="AH51">
        <f>(O51-AG51)/2</f>
        <v>0.34999999999999787</v>
      </c>
      <c r="AI51">
        <f>AH51*AF51</f>
        <v>6639.49999999996</v>
      </c>
    </row>
    <row r="52" spans="1:35" x14ac:dyDescent="0.25">
      <c r="A52" s="211"/>
      <c r="B52" s="34" t="s">
        <v>1501</v>
      </c>
      <c r="C52" t="s">
        <v>343</v>
      </c>
      <c r="D52" s="35" t="s">
        <v>1106</v>
      </c>
      <c r="E52" t="s">
        <v>2092</v>
      </c>
      <c r="F52" s="36">
        <v>2804.6</v>
      </c>
      <c r="G52" s="38">
        <v>2804.6</v>
      </c>
      <c r="H52" s="38"/>
      <c r="I52" s="35" t="s">
        <v>3415</v>
      </c>
      <c r="K52" s="39"/>
      <c r="L52" s="39">
        <v>43298</v>
      </c>
      <c r="M52" s="35" t="s">
        <v>355</v>
      </c>
      <c r="O52" s="22">
        <v>19.5</v>
      </c>
      <c r="P52" s="40"/>
      <c r="Q52" s="22"/>
      <c r="R52" s="22"/>
      <c r="S52" s="43"/>
      <c r="T52" s="43"/>
      <c r="U52" s="22"/>
      <c r="W52" s="22"/>
      <c r="X52" s="22"/>
      <c r="Y52" s="22">
        <v>19.5</v>
      </c>
      <c r="Z52" s="3">
        <f>Y52*F52</f>
        <v>54689.7</v>
      </c>
      <c r="AA52" s="44">
        <v>43305</v>
      </c>
      <c r="AB52" s="3"/>
      <c r="AC52" s="119"/>
      <c r="AF52" s="38"/>
    </row>
    <row r="53" spans="1:35" x14ac:dyDescent="0.25">
      <c r="A53" s="211"/>
      <c r="B53" s="34" t="s">
        <v>2158</v>
      </c>
      <c r="C53" t="s">
        <v>3400</v>
      </c>
      <c r="D53" s="35" t="s">
        <v>1065</v>
      </c>
      <c r="E53" t="s">
        <v>3428</v>
      </c>
      <c r="F53" s="36">
        <v>2533.9499999999998</v>
      </c>
      <c r="G53" s="38">
        <v>2534.4499999999998</v>
      </c>
      <c r="H53" s="38"/>
      <c r="I53" s="35" t="s">
        <v>3426</v>
      </c>
      <c r="K53" s="39"/>
      <c r="L53" s="39">
        <v>43298</v>
      </c>
      <c r="M53" s="35" t="s">
        <v>355</v>
      </c>
      <c r="O53" s="22">
        <v>94</v>
      </c>
      <c r="P53" s="40"/>
      <c r="Q53" s="22"/>
      <c r="R53" s="22"/>
      <c r="S53" s="43"/>
      <c r="T53" s="43"/>
      <c r="U53" s="22"/>
      <c r="W53" s="22"/>
      <c r="X53" s="22"/>
      <c r="Y53" s="22">
        <v>94</v>
      </c>
      <c r="Z53" s="3">
        <f>Y53*F53</f>
        <v>238191.3</v>
      </c>
      <c r="AA53" s="44">
        <v>43305</v>
      </c>
      <c r="AB53" s="3"/>
      <c r="AC53" s="119"/>
      <c r="AF53" s="38"/>
    </row>
    <row r="54" spans="1:35" x14ac:dyDescent="0.25">
      <c r="A54" s="211"/>
      <c r="B54" s="34" t="s">
        <v>328</v>
      </c>
      <c r="C54" t="s">
        <v>336</v>
      </c>
      <c r="D54" s="35" t="s">
        <v>336</v>
      </c>
      <c r="E54" t="s">
        <v>1021</v>
      </c>
      <c r="F54" s="36">
        <f>41407*0.4536</f>
        <v>18782.215199999999</v>
      </c>
      <c r="G54" s="38">
        <v>18781.8</v>
      </c>
      <c r="H54" s="38">
        <f>G54-F54</f>
        <v>-0.41519999999945867</v>
      </c>
      <c r="I54" t="s">
        <v>3274</v>
      </c>
      <c r="J54" s="106" t="s">
        <v>1089</v>
      </c>
      <c r="K54" s="39">
        <v>43298</v>
      </c>
      <c r="L54" s="39">
        <v>43299</v>
      </c>
      <c r="M54" s="35" t="s">
        <v>331</v>
      </c>
      <c r="N54" s="35" t="s">
        <v>3268</v>
      </c>
      <c r="O54" s="22"/>
      <c r="P54" s="40">
        <f t="shared" ref="P54:P55" si="24">0.5076+0.095</f>
        <v>0.60260000000000002</v>
      </c>
      <c r="Q54" s="111">
        <v>26000</v>
      </c>
      <c r="R54" s="22">
        <f t="shared" ref="R54:R55" si="25">7000+(F54/0.4536*S54*P54*0.2)</f>
        <v>101851.99376148001</v>
      </c>
      <c r="S54" s="45">
        <v>19.007000000000001</v>
      </c>
      <c r="T54" s="43">
        <f>X54*F54*0.005</f>
        <v>3021.8588294965843</v>
      </c>
      <c r="V54" s="22">
        <v>0.12</v>
      </c>
      <c r="W54" s="22">
        <v>0.3</v>
      </c>
      <c r="X54" s="22">
        <f>IF(O54&gt;0,O54,((P54*2.2046*S54)+(Q54+R54)/G54)+V54)</f>
        <v>32.177874625742596</v>
      </c>
      <c r="Y54" s="22">
        <f>IF(O54&gt;0,O54,((P54*2.2046*S54)+(Q54+R54+T54)/G54)+V54+W54)</f>
        <v>32.638767555573416</v>
      </c>
      <c r="Z54" s="3">
        <f>Y54*F54</f>
        <v>613028.35609155777</v>
      </c>
      <c r="AA54" s="44">
        <v>43292</v>
      </c>
      <c r="AB54" s="3"/>
      <c r="AC54" s="119"/>
    </row>
    <row r="55" spans="1:35" x14ac:dyDescent="0.25">
      <c r="A55" s="211"/>
      <c r="B55" s="34" t="s">
        <v>328</v>
      </c>
      <c r="C55" t="s">
        <v>336</v>
      </c>
      <c r="D55" s="35" t="s">
        <v>336</v>
      </c>
      <c r="E55" t="s">
        <v>1021</v>
      </c>
      <c r="F55" s="36">
        <f>41372*0.4536</f>
        <v>18766.339199999999</v>
      </c>
      <c r="G55" s="38">
        <v>18765.89</v>
      </c>
      <c r="H55" s="38">
        <f>G55-F55</f>
        <v>-0.44919999999910942</v>
      </c>
      <c r="I55" t="s">
        <v>3275</v>
      </c>
      <c r="J55" s="106" t="s">
        <v>1023</v>
      </c>
      <c r="K55" s="39">
        <v>43298</v>
      </c>
      <c r="L55" s="39">
        <v>43299</v>
      </c>
      <c r="M55" s="35" t="s">
        <v>331</v>
      </c>
      <c r="N55" s="35" t="s">
        <v>3268</v>
      </c>
      <c r="O55" s="22"/>
      <c r="P55" s="40">
        <f t="shared" si="24"/>
        <v>0.60260000000000002</v>
      </c>
      <c r="Q55" s="111">
        <v>26000</v>
      </c>
      <c r="R55" s="22">
        <f t="shared" si="25"/>
        <v>101771.81843408001</v>
      </c>
      <c r="S55" s="45">
        <v>19.007000000000001</v>
      </c>
      <c r="T55" s="43">
        <f>X55*F55*0.005</f>
        <v>3019.4451915210479</v>
      </c>
      <c r="V55" s="22">
        <v>0.12</v>
      </c>
      <c r="W55" s="22">
        <v>0.3</v>
      </c>
      <c r="X55" s="22">
        <f>IF(O55&gt;0,O55,((P55*2.2046*S55)+(Q55+R55)/G55)+V55)</f>
        <v>32.179373497853518</v>
      </c>
      <c r="Y55" s="22">
        <f>IF(O55&gt;0,O55,((P55*2.2046*S55)+(Q55+R55+T55)/G55)+V55+W55)</f>
        <v>32.640274216738739</v>
      </c>
      <c r="Z55" s="3">
        <f>Y55*F55</f>
        <v>612538.45753233344</v>
      </c>
      <c r="AA55" s="44">
        <v>43292</v>
      </c>
      <c r="AB55" s="3"/>
      <c r="AC55" s="119"/>
    </row>
    <row r="56" spans="1:35" x14ac:dyDescent="0.25">
      <c r="A56" s="211"/>
      <c r="B56" s="34" t="s">
        <v>340</v>
      </c>
      <c r="C56" t="s">
        <v>44</v>
      </c>
      <c r="D56" s="35" t="s">
        <v>3325</v>
      </c>
      <c r="E56">
        <v>234</v>
      </c>
      <c r="F56" s="36">
        <v>20500</v>
      </c>
      <c r="G56" s="38">
        <v>20400</v>
      </c>
      <c r="H56" s="38">
        <f t="shared" ref="H56:H65" si="26">G56-F56</f>
        <v>-100</v>
      </c>
      <c r="I56" s="106"/>
      <c r="K56" s="39" t="s">
        <v>775</v>
      </c>
      <c r="L56" s="39">
        <v>43299</v>
      </c>
      <c r="M56" s="35" t="s">
        <v>331</v>
      </c>
      <c r="O56" s="22">
        <v>40.4</v>
      </c>
      <c r="P56" s="40"/>
      <c r="Q56" s="47">
        <v>21300</v>
      </c>
      <c r="R56" s="22"/>
      <c r="S56" s="43"/>
      <c r="T56" s="43">
        <f>X56*F56*0.005</f>
        <v>4274.1997549019607</v>
      </c>
      <c r="U56" s="22">
        <f>E56*5</f>
        <v>1170</v>
      </c>
      <c r="W56" s="22">
        <v>0.3</v>
      </c>
      <c r="X56" s="22">
        <f>((O56*F56)+Q56+R56+S56+U56)/G56</f>
        <v>41.699509803921572</v>
      </c>
      <c r="Y56" s="22">
        <f>((O56*F56)+Q56+R56+S56+T56+U56)/G56+W56</f>
        <v>42.209029399750094</v>
      </c>
      <c r="Z56" s="3">
        <f>Y56*G56</f>
        <v>861064.19975490193</v>
      </c>
      <c r="AA56" s="44">
        <v>43311</v>
      </c>
      <c r="AB56" s="3"/>
      <c r="AC56" s="119"/>
      <c r="AE56" s="14"/>
      <c r="AF56" s="38">
        <f>F56</f>
        <v>20500</v>
      </c>
      <c r="AG56">
        <v>40</v>
      </c>
      <c r="AH56">
        <f>(O56-AG56)/2</f>
        <v>0.19999999999999929</v>
      </c>
      <c r="AI56">
        <f>AH56*AF56</f>
        <v>4099.9999999999854</v>
      </c>
    </row>
    <row r="57" spans="1:35" x14ac:dyDescent="0.25">
      <c r="A57" s="211"/>
      <c r="B57" s="34" t="s">
        <v>340</v>
      </c>
      <c r="C57" t="s">
        <v>341</v>
      </c>
      <c r="D57" s="35" t="s">
        <v>1665</v>
      </c>
      <c r="E57">
        <v>130</v>
      </c>
      <c r="F57" s="36">
        <v>14540</v>
      </c>
      <c r="G57" s="38">
        <v>11660</v>
      </c>
      <c r="H57" s="38">
        <f t="shared" ref="H57:H58" si="27">G57-F57</f>
        <v>-2880</v>
      </c>
      <c r="I57" t="s">
        <v>3420</v>
      </c>
      <c r="K57" s="39"/>
      <c r="L57" s="39">
        <v>43299</v>
      </c>
      <c r="M57" s="35" t="s">
        <v>331</v>
      </c>
      <c r="O57" s="22">
        <v>32.5</v>
      </c>
      <c r="P57" s="40"/>
      <c r="Q57" s="22">
        <v>16900</v>
      </c>
      <c r="R57" s="22">
        <f>72*E57</f>
        <v>9360</v>
      </c>
      <c r="S57" s="43">
        <f>-38*E57</f>
        <v>-4940</v>
      </c>
      <c r="T57" s="43">
        <f>X57*F57*0.0045</f>
        <v>2774.9951629502566</v>
      </c>
      <c r="U57" s="22">
        <f>E57*5</f>
        <v>650</v>
      </c>
      <c r="W57" s="22">
        <v>0.3</v>
      </c>
      <c r="X57" s="22">
        <f>((O57*F57)+Q57+R57+S57+U57)/G57</f>
        <v>42.411663807890221</v>
      </c>
      <c r="Y57" s="22">
        <f>((O57*F57)+Q57+R57+S57+T57+U57)/G57+W57</f>
        <v>42.94965653198544</v>
      </c>
      <c r="Z57" s="3">
        <f>Y57*G57</f>
        <v>500792.99516295025</v>
      </c>
      <c r="AA57" s="44">
        <v>43313</v>
      </c>
      <c r="AB57" s="3"/>
      <c r="AC57" s="119" t="s">
        <v>3430</v>
      </c>
    </row>
    <row r="58" spans="1:35" x14ac:dyDescent="0.25">
      <c r="A58" s="211"/>
      <c r="B58" s="34" t="s">
        <v>340</v>
      </c>
      <c r="C58" t="s">
        <v>44</v>
      </c>
      <c r="D58" s="35" t="s">
        <v>3325</v>
      </c>
      <c r="E58">
        <v>234</v>
      </c>
      <c r="F58" s="36">
        <v>21300</v>
      </c>
      <c r="G58" s="38">
        <v>21280</v>
      </c>
      <c r="H58" s="38">
        <f t="shared" si="27"/>
        <v>-20</v>
      </c>
      <c r="I58" s="106"/>
      <c r="K58" s="39"/>
      <c r="L58" s="39">
        <v>43299</v>
      </c>
      <c r="M58" s="35" t="s">
        <v>331</v>
      </c>
      <c r="O58" s="22">
        <v>40.4</v>
      </c>
      <c r="P58" s="40"/>
      <c r="Q58" s="22">
        <v>21300</v>
      </c>
      <c r="R58" s="22"/>
      <c r="S58" s="43"/>
      <c r="T58" s="43"/>
      <c r="U58" s="22">
        <f>E58*5</f>
        <v>1170</v>
      </c>
      <c r="W58" s="22">
        <v>0.03</v>
      </c>
      <c r="X58" s="22"/>
      <c r="Y58" s="22">
        <f>((O58*F58)+Q58+R58+S58+T58+U58)/G58+W58</f>
        <v>41.523890977443607</v>
      </c>
      <c r="Z58" s="3">
        <f>Y58*G58</f>
        <v>883628.39999999991</v>
      </c>
      <c r="AA58" s="44">
        <v>43311</v>
      </c>
      <c r="AB58" s="3"/>
      <c r="AC58" s="119"/>
    </row>
    <row r="59" spans="1:35" x14ac:dyDescent="0.25">
      <c r="A59" s="211"/>
      <c r="B59" s="34" t="s">
        <v>340</v>
      </c>
      <c r="C59" t="s">
        <v>341</v>
      </c>
      <c r="D59" s="35" t="s">
        <v>1665</v>
      </c>
      <c r="E59">
        <v>251</v>
      </c>
      <c r="F59" s="36">
        <f>27455</f>
        <v>27455</v>
      </c>
      <c r="G59" s="38">
        <f>21750</f>
        <v>21750</v>
      </c>
      <c r="H59" s="38">
        <f t="shared" si="26"/>
        <v>-5705</v>
      </c>
      <c r="I59" t="s">
        <v>3433</v>
      </c>
      <c r="K59" s="39"/>
      <c r="L59" s="39">
        <v>43300</v>
      </c>
      <c r="M59" s="35" t="s">
        <v>342</v>
      </c>
      <c r="O59" s="22">
        <v>32.5</v>
      </c>
      <c r="P59" s="40"/>
      <c r="Q59" s="47">
        <v>21300</v>
      </c>
      <c r="R59" s="22">
        <f>72*E59</f>
        <v>18072</v>
      </c>
      <c r="S59" s="43">
        <f>-38*E59</f>
        <v>-9538</v>
      </c>
      <c r="T59" s="43">
        <f>X59*F59*0.0045</f>
        <v>5245.0969256896542</v>
      </c>
      <c r="U59" s="22">
        <f>E59*5</f>
        <v>1255</v>
      </c>
      <c r="W59" s="22">
        <v>0.3</v>
      </c>
      <c r="X59" s="22">
        <f>((O59*F59)+Q59+R59+S59+U59)/G59</f>
        <v>42.454091954022985</v>
      </c>
      <c r="Y59" s="22">
        <f>((O59*F59)+Q59+R59+S59+T59+U59)/G59+W59</f>
        <v>42.995245835663887</v>
      </c>
      <c r="Z59" s="3">
        <f>Y59*G59</f>
        <v>935146.59692568949</v>
      </c>
      <c r="AA59" s="44">
        <v>43314</v>
      </c>
      <c r="AB59" s="3"/>
      <c r="AC59" s="119"/>
    </row>
    <row r="60" spans="1:35" x14ac:dyDescent="0.25">
      <c r="A60" s="211"/>
      <c r="B60" s="34" t="s">
        <v>340</v>
      </c>
      <c r="C60" t="s">
        <v>341</v>
      </c>
      <c r="D60" s="35" t="s">
        <v>1047</v>
      </c>
      <c r="E60">
        <v>130</v>
      </c>
      <c r="F60" s="36">
        <v>14135</v>
      </c>
      <c r="G60" s="38">
        <v>11110</v>
      </c>
      <c r="H60" s="38">
        <f t="shared" si="26"/>
        <v>-3025</v>
      </c>
      <c r="I60" t="s">
        <v>3422</v>
      </c>
      <c r="J60" s="159">
        <v>128</v>
      </c>
      <c r="K60" s="39"/>
      <c r="L60" s="39">
        <v>43300</v>
      </c>
      <c r="M60" s="35" t="s">
        <v>342</v>
      </c>
      <c r="O60" s="22">
        <v>32.5</v>
      </c>
      <c r="P60" s="40"/>
      <c r="Q60" s="22">
        <v>16900</v>
      </c>
      <c r="R60" s="22">
        <f>72*E60</f>
        <v>9360</v>
      </c>
      <c r="S60" s="43">
        <f>-38*E60</f>
        <v>-4940</v>
      </c>
      <c r="T60" s="43">
        <f>X60*F60*0.0045</f>
        <v>2755.8908353960392</v>
      </c>
      <c r="U60" s="22">
        <f>E60*5</f>
        <v>650</v>
      </c>
      <c r="W60" s="22">
        <v>0.3</v>
      </c>
      <c r="X60" s="22">
        <f>((O60*F60)+Q60+R60+S60+U60)/G60</f>
        <v>43.326507650765073</v>
      </c>
      <c r="Y60" s="22">
        <f>((O60*F60)+Q60+R60+S60+T60+U60)/G60+W60</f>
        <v>43.874562631448782</v>
      </c>
      <c r="Z60" s="3">
        <f>Y60*G60</f>
        <v>487446.39083539596</v>
      </c>
      <c r="AA60" s="44">
        <v>43314</v>
      </c>
      <c r="AB60" s="3"/>
      <c r="AC60" s="119" t="s">
        <v>3446</v>
      </c>
    </row>
    <row r="61" spans="1:35" x14ac:dyDescent="0.25">
      <c r="A61" s="211"/>
      <c r="B61" s="34" t="s">
        <v>328</v>
      </c>
      <c r="C61" s="35" t="s">
        <v>329</v>
      </c>
      <c r="D61" s="35" t="s">
        <v>329</v>
      </c>
      <c r="E61" t="s">
        <v>1021</v>
      </c>
      <c r="F61" s="36">
        <f>41937*0.4536</f>
        <v>19022.623200000002</v>
      </c>
      <c r="G61" s="37">
        <v>18500</v>
      </c>
      <c r="H61" s="38">
        <f t="shared" si="26"/>
        <v>-522.62320000000182</v>
      </c>
      <c r="I61" t="s">
        <v>3276</v>
      </c>
      <c r="J61" s="14" t="s">
        <v>1022</v>
      </c>
      <c r="K61" s="39">
        <v>43300</v>
      </c>
      <c r="L61" s="39">
        <v>43301</v>
      </c>
      <c r="M61" s="35" t="s">
        <v>345</v>
      </c>
      <c r="N61" s="35" t="s">
        <v>3270</v>
      </c>
      <c r="O61" s="22"/>
      <c r="P61" s="40">
        <f>0.5144+0.095</f>
        <v>0.60939999999999994</v>
      </c>
      <c r="Q61" s="111">
        <v>26000</v>
      </c>
      <c r="R61" s="22">
        <f>7000+(F61/0.4536*S61*P61*0.2)</f>
        <v>106669.99042</v>
      </c>
      <c r="S61" s="42">
        <v>19.5</v>
      </c>
      <c r="T61" s="43">
        <f>X61*F61*0.005</f>
        <v>3185.2692040030961</v>
      </c>
      <c r="V61" s="22">
        <v>0.12</v>
      </c>
      <c r="W61" s="22">
        <v>0.3</v>
      </c>
      <c r="X61" s="22">
        <f>IF(O61&gt;0,O61,((P61*2.2046*S61)+(Q61+R61)/G61)+V61)</f>
        <v>33.489274013513509</v>
      </c>
      <c r="Y61" s="22">
        <f>IF(O61&gt;0,O61,((P61*2.2046*S61)+(Q61+R61+T61)/G61)+V61+W61)</f>
        <v>33.961450727243403</v>
      </c>
      <c r="Z61" s="3">
        <f>Y61*F61</f>
        <v>646035.88050971727</v>
      </c>
      <c r="AA61" s="44">
        <v>43311</v>
      </c>
      <c r="AB61" s="3"/>
      <c r="AC61" s="119"/>
    </row>
    <row r="62" spans="1:35" x14ac:dyDescent="0.25">
      <c r="A62" s="211"/>
      <c r="B62" s="34" t="s">
        <v>328</v>
      </c>
      <c r="C62" s="35" t="s">
        <v>2091</v>
      </c>
      <c r="D62" s="35" t="s">
        <v>1129</v>
      </c>
      <c r="E62" t="s">
        <v>1040</v>
      </c>
      <c r="F62" s="36">
        <f>41635*0.4536</f>
        <v>18885.635999999999</v>
      </c>
      <c r="G62" s="37">
        <v>18500</v>
      </c>
      <c r="H62" s="38">
        <f t="shared" si="26"/>
        <v>-385.6359999999986</v>
      </c>
      <c r="I62" t="s">
        <v>3392</v>
      </c>
      <c r="J62" s="14" t="s">
        <v>1022</v>
      </c>
      <c r="K62" s="39">
        <v>43300</v>
      </c>
      <c r="L62" s="39">
        <v>43301</v>
      </c>
      <c r="M62" s="35" t="s">
        <v>345</v>
      </c>
      <c r="N62" s="35" t="s">
        <v>3393</v>
      </c>
      <c r="O62" s="22"/>
      <c r="P62" s="40">
        <f>0.541+0.1</f>
        <v>0.64100000000000001</v>
      </c>
      <c r="Q62" s="111">
        <v>26000</v>
      </c>
      <c r="R62" s="22">
        <f>7000+(F62/0.4536*S62*P62*0.2)</f>
        <v>111083.3365</v>
      </c>
      <c r="S62" s="42">
        <v>19.5</v>
      </c>
      <c r="T62" s="43">
        <f>X62*F62*0.005</f>
        <v>3313.1361866873249</v>
      </c>
      <c r="V62" s="22">
        <v>0.12</v>
      </c>
      <c r="W62" s="22">
        <v>0.3</v>
      </c>
      <c r="X62" s="22">
        <f>IF(O62&gt;0,O62,((P62*2.2046*S62)+(Q62+R62)/G62)+V62)</f>
        <v>35.086307781081082</v>
      </c>
      <c r="Y62" s="22">
        <f>IF(O62&gt;0,O62,((P62*2.2046*S62)+(Q62+R62+T62)/G62)+V62+W62)</f>
        <v>35.565396223604722</v>
      </c>
      <c r="Z62" s="3">
        <f>Y62*F62</f>
        <v>671675.12727477332</v>
      </c>
      <c r="AA62" s="44">
        <v>43304</v>
      </c>
      <c r="AB62" s="3"/>
      <c r="AC62" s="119"/>
    </row>
    <row r="63" spans="1:35" x14ac:dyDescent="0.25">
      <c r="A63" s="211"/>
      <c r="B63" s="34" t="s">
        <v>340</v>
      </c>
      <c r="C63" t="s">
        <v>341</v>
      </c>
      <c r="D63" s="35" t="s">
        <v>1047</v>
      </c>
      <c r="E63">
        <v>250</v>
      </c>
      <c r="F63" s="36">
        <v>25695</v>
      </c>
      <c r="G63" s="38"/>
      <c r="H63" s="38">
        <f t="shared" si="26"/>
        <v>-25695</v>
      </c>
      <c r="I63" t="s">
        <v>3445</v>
      </c>
      <c r="K63" s="39"/>
      <c r="L63" s="39">
        <v>43301</v>
      </c>
      <c r="M63" s="35" t="s">
        <v>345</v>
      </c>
      <c r="O63" s="22">
        <v>32.5</v>
      </c>
      <c r="P63" s="40"/>
      <c r="Q63" s="47">
        <v>21300</v>
      </c>
      <c r="R63" s="22">
        <f>72*E63</f>
        <v>18000</v>
      </c>
      <c r="S63" s="43">
        <f>-38*E63</f>
        <v>-9500</v>
      </c>
      <c r="T63" s="43" t="e">
        <f>X63*F63*0.0045</f>
        <v>#DIV/0!</v>
      </c>
      <c r="U63" s="22">
        <f>E63*5</f>
        <v>1250</v>
      </c>
      <c r="W63" s="22">
        <v>0.3</v>
      </c>
      <c r="X63" s="22" t="e">
        <f>((O63*F63)+Q63+R63+S63+U63)/G63</f>
        <v>#DIV/0!</v>
      </c>
      <c r="Y63" s="22" t="e">
        <f>((O63*F63)+Q63+R63+S63+T63+U63)/G63+W63</f>
        <v>#DIV/0!</v>
      </c>
      <c r="Z63" s="3" t="e">
        <f>Y63*G63</f>
        <v>#DIV/0!</v>
      </c>
      <c r="AA63" s="44">
        <v>43315</v>
      </c>
      <c r="AB63" s="3"/>
      <c r="AC63" s="119"/>
    </row>
    <row r="64" spans="1:35" x14ac:dyDescent="0.25">
      <c r="A64" s="211"/>
      <c r="B64" s="34" t="s">
        <v>340</v>
      </c>
      <c r="C64" t="s">
        <v>341</v>
      </c>
      <c r="D64" s="35" t="s">
        <v>1102</v>
      </c>
      <c r="E64">
        <v>130</v>
      </c>
      <c r="F64" s="36">
        <v>12615</v>
      </c>
      <c r="G64" s="38"/>
      <c r="H64" s="38">
        <f t="shared" si="26"/>
        <v>-12615</v>
      </c>
      <c r="I64" s="35" t="s">
        <v>3443</v>
      </c>
      <c r="K64" s="39"/>
      <c r="L64" s="39">
        <v>43301</v>
      </c>
      <c r="M64" s="35" t="s">
        <v>345</v>
      </c>
      <c r="O64" s="22">
        <v>32.5</v>
      </c>
      <c r="P64" s="40"/>
      <c r="Q64" s="22">
        <v>16900</v>
      </c>
      <c r="R64" s="22">
        <f>72*E64</f>
        <v>9360</v>
      </c>
      <c r="S64" s="43">
        <f>-38*E64</f>
        <v>-4940</v>
      </c>
      <c r="T64" s="43" t="e">
        <f>X64*F64*0.0045</f>
        <v>#DIV/0!</v>
      </c>
      <c r="U64" s="22">
        <f>E64*5</f>
        <v>650</v>
      </c>
      <c r="W64" s="22">
        <v>0.3</v>
      </c>
      <c r="X64" s="22" t="e">
        <f>((O64*F64)+Q64+R64+S64+U64)/G64</f>
        <v>#DIV/0!</v>
      </c>
      <c r="Y64" s="22" t="e">
        <f>((O64*F64)+Q64+R64+S64+T64+U64)/G64+W64</f>
        <v>#DIV/0!</v>
      </c>
      <c r="Z64" s="3" t="e">
        <f>Y64*G64</f>
        <v>#DIV/0!</v>
      </c>
      <c r="AA64" s="44">
        <v>43315</v>
      </c>
      <c r="AB64" s="3"/>
      <c r="AC64" s="119"/>
    </row>
    <row r="65" spans="1:29" x14ac:dyDescent="0.25">
      <c r="A65" s="211"/>
      <c r="B65" s="34" t="s">
        <v>328</v>
      </c>
      <c r="C65" t="s">
        <v>343</v>
      </c>
      <c r="D65" s="35" t="s">
        <v>343</v>
      </c>
      <c r="E65" t="s">
        <v>1040</v>
      </c>
      <c r="F65" s="36">
        <f>42474*0.4536</f>
        <v>19266.206399999999</v>
      </c>
      <c r="G65" s="37">
        <v>19000</v>
      </c>
      <c r="H65" s="38">
        <f t="shared" si="26"/>
        <v>-266.20639999999912</v>
      </c>
      <c r="I65" s="35" t="s">
        <v>3277</v>
      </c>
      <c r="J65" s="14"/>
      <c r="K65" s="39">
        <v>43301</v>
      </c>
      <c r="L65" s="39">
        <v>43302</v>
      </c>
      <c r="M65" s="35" t="s">
        <v>348</v>
      </c>
      <c r="N65" s="35" t="s">
        <v>3271</v>
      </c>
      <c r="O65" s="22"/>
      <c r="P65" s="40">
        <f>0.5559+0.105</f>
        <v>0.66089999999999993</v>
      </c>
      <c r="Q65" s="22">
        <v>26000</v>
      </c>
      <c r="R65" s="41">
        <f>7000+(F65/0.4536*S65*P65*0.2)</f>
        <v>113490.39825376001</v>
      </c>
      <c r="S65" s="45">
        <v>18.968</v>
      </c>
      <c r="T65" s="43">
        <f>X65*F65*0.005</f>
        <v>3381.061040286982</v>
      </c>
      <c r="V65" s="22">
        <v>0.12</v>
      </c>
      <c r="W65" s="22">
        <v>0.3</v>
      </c>
      <c r="X65" s="22">
        <f>IF(O65&gt;0,O65,((P65*2.2046*S65)+(Q65+R65)/G65)+V65)</f>
        <v>35.098357923612632</v>
      </c>
      <c r="Y65" s="22">
        <f>IF(O65&gt;0,O65,((P65*2.2046*S65)+(Q65+R65+T65)/G65)+V65+W65)</f>
        <v>35.576308504680362</v>
      </c>
      <c r="Z65" s="3">
        <f>Y65*F65</f>
        <v>685420.50260124716</v>
      </c>
      <c r="AA65" s="44">
        <v>43297</v>
      </c>
      <c r="AB65" s="3"/>
      <c r="AC65" s="119"/>
    </row>
    <row r="66" spans="1:29" ht="15.75" thickBot="1" x14ac:dyDescent="0.3">
      <c r="A66" s="212"/>
      <c r="B66" s="49"/>
      <c r="C66" s="23"/>
      <c r="D66" s="23"/>
      <c r="E66" s="23"/>
      <c r="F66" s="50"/>
      <c r="G66" s="50"/>
      <c r="H66" s="50"/>
      <c r="I66" s="26"/>
      <c r="J66" s="23"/>
      <c r="K66" s="27"/>
      <c r="L66" s="27"/>
      <c r="M66" s="23"/>
      <c r="N66" s="23"/>
      <c r="O66" s="28"/>
      <c r="P66" s="29"/>
      <c r="Q66" s="28"/>
      <c r="R66" s="28"/>
      <c r="S66" s="28"/>
      <c r="T66" s="28"/>
      <c r="U66" s="28"/>
      <c r="V66" s="28"/>
      <c r="W66" s="28"/>
      <c r="X66" s="28"/>
      <c r="Y66" s="28"/>
      <c r="Z66" s="32"/>
      <c r="AA66" s="51"/>
      <c r="AB66" s="3"/>
      <c r="AC66" s="119"/>
    </row>
    <row r="67" spans="1:29" ht="15.75" thickTop="1" x14ac:dyDescent="0.25">
      <c r="A67" s="67"/>
      <c r="B67" s="53" t="s">
        <v>340</v>
      </c>
      <c r="C67" s="53" t="s">
        <v>341</v>
      </c>
      <c r="D67" s="54"/>
      <c r="E67" s="53">
        <v>200</v>
      </c>
      <c r="F67" s="55"/>
      <c r="G67" s="56"/>
      <c r="H67" s="121">
        <f t="shared" ref="H67:H69" si="28">G67-F67</f>
        <v>0</v>
      </c>
      <c r="I67" s="57"/>
      <c r="J67" s="53"/>
      <c r="K67" s="58"/>
      <c r="L67" s="58">
        <v>43289</v>
      </c>
      <c r="M67" s="54" t="s">
        <v>349</v>
      </c>
      <c r="N67" s="53"/>
      <c r="O67" s="59"/>
      <c r="P67" s="60"/>
      <c r="Q67" s="59">
        <v>21300</v>
      </c>
      <c r="R67" s="22">
        <f>72*E67</f>
        <v>14400</v>
      </c>
      <c r="S67" s="59">
        <f>-38*E67</f>
        <v>-7600</v>
      </c>
      <c r="T67" s="62" t="e">
        <f>X67*F67*0.0045</f>
        <v>#DIV/0!</v>
      </c>
      <c r="U67" s="59">
        <f>E67*5</f>
        <v>1000</v>
      </c>
      <c r="V67" s="53"/>
      <c r="W67" s="59">
        <v>0.3</v>
      </c>
      <c r="X67" s="59" t="e">
        <f>((O67*F67)+Q67+R67+S67+U67)/G67</f>
        <v>#DIV/0!</v>
      </c>
      <c r="Y67" s="63" t="e">
        <f>((O67*F67)+Q67+R67+S67+T67+U67)/G67+W67</f>
        <v>#DIV/0!</v>
      </c>
      <c r="Z67" s="63" t="e">
        <f>Y67*G67</f>
        <v>#DIV/0!</v>
      </c>
      <c r="AA67" s="64"/>
      <c r="AB67" s="3"/>
      <c r="AC67" s="3"/>
    </row>
    <row r="68" spans="1:29" x14ac:dyDescent="0.25">
      <c r="A68" s="68"/>
      <c r="B68" s="34" t="s">
        <v>340</v>
      </c>
      <c r="C68" t="s">
        <v>341</v>
      </c>
      <c r="D68" s="35"/>
      <c r="E68">
        <v>200</v>
      </c>
      <c r="F68" s="36"/>
      <c r="G68" s="38"/>
      <c r="H68" s="38">
        <f t="shared" si="28"/>
        <v>0</v>
      </c>
      <c r="I68" s="35"/>
      <c r="K68" s="39"/>
      <c r="L68" s="39">
        <v>43290</v>
      </c>
      <c r="M68" s="35" t="s">
        <v>350</v>
      </c>
      <c r="O68" s="22"/>
      <c r="P68" s="40"/>
      <c r="Q68" s="22">
        <v>21300</v>
      </c>
      <c r="R68" s="22">
        <f>72*E68</f>
        <v>14400</v>
      </c>
      <c r="S68" s="43">
        <f>-38*E68</f>
        <v>-7600</v>
      </c>
      <c r="T68" s="43" t="e">
        <f>X68*F68*0.0045</f>
        <v>#DIV/0!</v>
      </c>
      <c r="U68" s="22">
        <f>E68*5</f>
        <v>1000</v>
      </c>
      <c r="W68" s="22">
        <v>0.3</v>
      </c>
      <c r="X68" s="22" t="e">
        <f>((O68*F68)+Q68+R68+S68+U68)/G68</f>
        <v>#DIV/0!</v>
      </c>
      <c r="Y68" s="22" t="e">
        <f>((O68*F68)+Q68+R68+S68+T68+U68)/G68+W68</f>
        <v>#DIV/0!</v>
      </c>
      <c r="Z68" s="3" t="e">
        <f>Y68*G68</f>
        <v>#DIV/0!</v>
      </c>
      <c r="AA68" s="44"/>
      <c r="AB68" s="3"/>
      <c r="AC68" s="119"/>
    </row>
    <row r="69" spans="1:29" x14ac:dyDescent="0.25">
      <c r="A69" s="68"/>
      <c r="B69" s="34" t="s">
        <v>328</v>
      </c>
      <c r="C69" t="s">
        <v>329</v>
      </c>
      <c r="D69" s="35" t="s">
        <v>329</v>
      </c>
      <c r="F69" s="36">
        <v>18500</v>
      </c>
      <c r="G69" s="37">
        <v>18500</v>
      </c>
      <c r="H69" s="38">
        <f t="shared" si="28"/>
        <v>0</v>
      </c>
      <c r="I69" s="35"/>
      <c r="J69" s="14"/>
      <c r="K69" s="39">
        <v>43290</v>
      </c>
      <c r="L69" s="39">
        <v>43291</v>
      </c>
      <c r="M69" s="35" t="s">
        <v>355</v>
      </c>
      <c r="N69" s="35" t="s">
        <v>3259</v>
      </c>
      <c r="O69" s="22"/>
      <c r="P69" s="40"/>
      <c r="Q69" s="22">
        <v>26000</v>
      </c>
      <c r="R69" s="41">
        <f t="shared" ref="R69:R70" si="29">7000+(F69/0.4536*S69*P69*0.2)</f>
        <v>7000</v>
      </c>
      <c r="S69" s="42">
        <v>21</v>
      </c>
      <c r="T69" s="43">
        <f t="shared" ref="T69" si="30">X69*F69*0.005</f>
        <v>176.1</v>
      </c>
      <c r="V69" s="22">
        <v>0.12</v>
      </c>
      <c r="W69" s="22">
        <v>0.3</v>
      </c>
      <c r="X69" s="22">
        <f>IF(O69&gt;0,O69,((P69*2.2046*S69)+(Q69+R69)/G69)+V69)</f>
        <v>1.9037837837837839</v>
      </c>
      <c r="Y69" s="22">
        <f>IF(O69&gt;0,O69,((P69*2.2046*S69)+(Q69+R69+T69)/G69)+V69+W69)</f>
        <v>2.2133027027027024</v>
      </c>
      <c r="Z69" s="3">
        <f>Y69*F69</f>
        <v>40946.099999999991</v>
      </c>
      <c r="AA69" s="44"/>
      <c r="AB69" s="3"/>
      <c r="AC69" s="119"/>
    </row>
    <row r="70" spans="1:29" x14ac:dyDescent="0.25">
      <c r="A70" s="68"/>
      <c r="B70" s="34" t="s">
        <v>328</v>
      </c>
      <c r="C70" s="35" t="s">
        <v>343</v>
      </c>
      <c r="D70" s="35" t="s">
        <v>343</v>
      </c>
      <c r="F70" s="36">
        <v>19000</v>
      </c>
      <c r="G70" s="37">
        <v>19000</v>
      </c>
      <c r="H70" s="38">
        <f>G70-F70</f>
        <v>0</v>
      </c>
      <c r="J70" s="14"/>
      <c r="K70" s="39">
        <v>43290</v>
      </c>
      <c r="L70" s="39">
        <v>43291</v>
      </c>
      <c r="M70" s="35" t="s">
        <v>355</v>
      </c>
      <c r="N70" s="35" t="s">
        <v>3260</v>
      </c>
      <c r="O70" s="22"/>
      <c r="P70" s="40"/>
      <c r="Q70" s="22">
        <v>26000</v>
      </c>
      <c r="R70" s="41">
        <f t="shared" si="29"/>
        <v>7000</v>
      </c>
      <c r="S70" s="42">
        <v>21</v>
      </c>
      <c r="T70" s="43">
        <f>X70*F70*0.005</f>
        <v>176.4</v>
      </c>
      <c r="V70" s="22">
        <v>0.12</v>
      </c>
      <c r="W70" s="22">
        <v>0.3</v>
      </c>
      <c r="X70" s="22">
        <f>IF(O70&gt;0,O70,((P70*2.2046*S70)+(Q70+R70)/G70)+V70)</f>
        <v>1.8568421052631581</v>
      </c>
      <c r="Y70" s="22">
        <f>IF(O70&gt;0,O70,((P70*2.2046*S70)+(Q70+R70+T70)/G70)+V70+W70)</f>
        <v>2.1661263157894735</v>
      </c>
      <c r="Z70" s="3">
        <f>Y70*F70</f>
        <v>41156.399999999994</v>
      </c>
      <c r="AA70" s="44"/>
      <c r="AB70" s="3"/>
      <c r="AC70" s="119"/>
    </row>
    <row r="71" spans="1:29" x14ac:dyDescent="0.25">
      <c r="A71" s="68"/>
      <c r="B71" s="34" t="s">
        <v>340</v>
      </c>
      <c r="C71" t="s">
        <v>341</v>
      </c>
      <c r="D71" s="35"/>
      <c r="E71">
        <v>200</v>
      </c>
      <c r="F71" s="36"/>
      <c r="G71" s="38"/>
      <c r="H71" s="38">
        <f t="shared" ref="H71" si="31">G71-F71</f>
        <v>0</v>
      </c>
      <c r="K71" s="39"/>
      <c r="L71" s="39">
        <v>43291</v>
      </c>
      <c r="M71" s="35" t="s">
        <v>355</v>
      </c>
      <c r="O71" s="22"/>
      <c r="P71" s="40"/>
      <c r="Q71" s="22">
        <v>21300</v>
      </c>
      <c r="R71" s="22">
        <f>72*E71</f>
        <v>14400</v>
      </c>
      <c r="S71" s="43">
        <f>-38*E71</f>
        <v>-7600</v>
      </c>
      <c r="T71" s="43" t="e">
        <f t="shared" ref="T71" si="32">X71*F71*0.005</f>
        <v>#DIV/0!</v>
      </c>
      <c r="U71" s="22">
        <f>E71*5</f>
        <v>1000</v>
      </c>
      <c r="W71" s="22">
        <v>0.3</v>
      </c>
      <c r="X71" s="22" t="e">
        <f>((O71*F71)+Q71+R71+S71+U71)/G71</f>
        <v>#DIV/0!</v>
      </c>
      <c r="Y71" s="22" t="e">
        <f>((O71*F71)+Q71+R71+S71+T71+U71)/G71+W71</f>
        <v>#DIV/0!</v>
      </c>
      <c r="Z71" s="3" t="e">
        <f>Y71*G71</f>
        <v>#DIV/0!</v>
      </c>
      <c r="AA71" s="44"/>
      <c r="AB71" s="3"/>
      <c r="AC71" s="119"/>
    </row>
    <row r="72" spans="1:29" x14ac:dyDescent="0.25">
      <c r="A72" s="68"/>
      <c r="B72" s="34" t="s">
        <v>328</v>
      </c>
      <c r="C72" t="s">
        <v>336</v>
      </c>
      <c r="D72" s="35" t="s">
        <v>336</v>
      </c>
      <c r="F72" s="36">
        <v>18500</v>
      </c>
      <c r="G72" s="37">
        <v>18500</v>
      </c>
      <c r="H72" s="38">
        <f>G72-F72</f>
        <v>0</v>
      </c>
      <c r="J72" s="14"/>
      <c r="K72" s="39">
        <v>43291</v>
      </c>
      <c r="L72" s="39">
        <v>43292</v>
      </c>
      <c r="M72" s="35" t="s">
        <v>331</v>
      </c>
      <c r="N72" s="35" t="s">
        <v>3259</v>
      </c>
      <c r="O72" s="22"/>
      <c r="P72" s="40"/>
      <c r="Q72" s="22">
        <v>26000</v>
      </c>
      <c r="R72" s="41">
        <f t="shared" ref="R72:R74" si="33">7000+(F72/0.4536*S72*P72*0.2)</f>
        <v>7000</v>
      </c>
      <c r="S72" s="45">
        <v>18.87</v>
      </c>
      <c r="T72" s="43">
        <f>X72*F72*0.005</f>
        <v>176.1</v>
      </c>
      <c r="V72" s="22">
        <v>0.12</v>
      </c>
      <c r="W72" s="22">
        <v>0.3</v>
      </c>
      <c r="X72" s="22">
        <f>IF(O72&gt;0,O72,((P72*2.2046*S72)+(Q72+R72)/G72)+V72)</f>
        <v>1.9037837837837839</v>
      </c>
      <c r="Y72" s="22">
        <f>IF(O72&gt;0,O72,((P72*2.2046*S72)+(Q72+R72+T72)/G72)+V72+W72)</f>
        <v>2.2133027027027024</v>
      </c>
      <c r="Z72" s="3">
        <f>Y72*F72</f>
        <v>40946.099999999991</v>
      </c>
      <c r="AA72" s="44"/>
      <c r="AB72" s="3"/>
      <c r="AC72" s="119"/>
    </row>
    <row r="73" spans="1:29" x14ac:dyDescent="0.25">
      <c r="A73" s="68"/>
      <c r="B73" s="34" t="s">
        <v>328</v>
      </c>
      <c r="C73" t="s">
        <v>336</v>
      </c>
      <c r="D73" s="35" t="s">
        <v>336</v>
      </c>
      <c r="F73" s="36">
        <v>18500</v>
      </c>
      <c r="G73" s="37">
        <v>18500</v>
      </c>
      <c r="H73" s="38">
        <f>G73-F73</f>
        <v>0</v>
      </c>
      <c r="J73" s="14"/>
      <c r="K73" s="39">
        <v>43291</v>
      </c>
      <c r="L73" s="39">
        <v>43292</v>
      </c>
      <c r="M73" s="35" t="s">
        <v>331</v>
      </c>
      <c r="N73" s="35" t="s">
        <v>3259</v>
      </c>
      <c r="O73" s="22"/>
      <c r="P73" s="40"/>
      <c r="Q73" s="22">
        <v>26000</v>
      </c>
      <c r="R73" s="41">
        <f t="shared" ref="R73" si="34">7000+(F73/0.4536*S73*P73*0.2)</f>
        <v>7000</v>
      </c>
      <c r="S73" s="45">
        <v>18.87</v>
      </c>
      <c r="T73" s="43">
        <v>176.1</v>
      </c>
      <c r="V73" s="22">
        <v>0.12</v>
      </c>
      <c r="W73" s="22">
        <v>0.3</v>
      </c>
      <c r="X73" s="22"/>
      <c r="Y73" s="22">
        <f>IF(O73&gt;0,O73,((P73*2.2046*S73)+(Q73+R73+T73)/G73)+V73+W73)</f>
        <v>2.2133027027027024</v>
      </c>
      <c r="Z73" s="3">
        <f>Y73*F73</f>
        <v>40946.099999999991</v>
      </c>
      <c r="AA73" s="44"/>
      <c r="AB73" s="3"/>
      <c r="AC73" s="119"/>
    </row>
    <row r="74" spans="1:29" x14ac:dyDescent="0.25">
      <c r="A74" s="68"/>
      <c r="B74" s="34" t="s">
        <v>328</v>
      </c>
      <c r="C74" t="s">
        <v>1129</v>
      </c>
      <c r="D74" s="35" t="s">
        <v>2091</v>
      </c>
      <c r="F74" s="36">
        <v>18500</v>
      </c>
      <c r="G74" s="37">
        <v>18500</v>
      </c>
      <c r="H74" s="38">
        <f>G74-F74</f>
        <v>0</v>
      </c>
      <c r="J74" s="14"/>
      <c r="K74" s="39">
        <v>43291</v>
      </c>
      <c r="L74" s="39">
        <v>43292</v>
      </c>
      <c r="M74" s="35" t="s">
        <v>331</v>
      </c>
      <c r="N74" s="35" t="s">
        <v>3261</v>
      </c>
      <c r="O74" s="22"/>
      <c r="P74" s="40"/>
      <c r="Q74" s="22">
        <v>26000</v>
      </c>
      <c r="R74" s="41">
        <f t="shared" si="33"/>
        <v>7000</v>
      </c>
      <c r="S74" s="42">
        <v>21</v>
      </c>
      <c r="T74" s="43">
        <f>X74*F74*0.005</f>
        <v>176.1</v>
      </c>
      <c r="V74" s="22">
        <v>0.12</v>
      </c>
      <c r="W74" s="22">
        <v>0.3</v>
      </c>
      <c r="X74" s="22">
        <f>IF(O74&gt;0,O74,((P74*2.2046*S74)+(Q74+R74)/G74)+V74)</f>
        <v>1.9037837837837839</v>
      </c>
      <c r="Y74" s="22">
        <f>IF(O74&gt;0,O74,((P74*2.2046*S74)+(Q74+R74+T74)/G74)+V74+W74)</f>
        <v>2.2133027027027024</v>
      </c>
      <c r="Z74" s="3">
        <f>Y74*F74</f>
        <v>40946.099999999991</v>
      </c>
      <c r="AA74" s="44"/>
      <c r="AB74" s="3"/>
      <c r="AC74" s="119"/>
    </row>
    <row r="75" spans="1:29" x14ac:dyDescent="0.25">
      <c r="A75" s="68"/>
      <c r="B75" s="34" t="s">
        <v>340</v>
      </c>
      <c r="C75" t="s">
        <v>341</v>
      </c>
      <c r="D75" s="35"/>
      <c r="E75">
        <v>200</v>
      </c>
      <c r="F75" s="36"/>
      <c r="G75" s="38"/>
      <c r="H75" s="38">
        <f t="shared" ref="H75:H81" si="35">G75-F75</f>
        <v>0</v>
      </c>
      <c r="K75" s="39"/>
      <c r="L75" s="39">
        <v>43292</v>
      </c>
      <c r="M75" s="35" t="s">
        <v>331</v>
      </c>
      <c r="O75" s="22"/>
      <c r="P75" s="40"/>
      <c r="Q75" s="22">
        <v>21300</v>
      </c>
      <c r="R75" s="22">
        <f>72*E75</f>
        <v>14400</v>
      </c>
      <c r="S75" s="43">
        <f>-38*E75</f>
        <v>-7600</v>
      </c>
      <c r="T75" s="43" t="e">
        <f t="shared" ref="T75" si="36">X75*F75*0.005</f>
        <v>#DIV/0!</v>
      </c>
      <c r="U75" s="22">
        <f>E75*5</f>
        <v>1000</v>
      </c>
      <c r="W75" s="22">
        <v>0.3</v>
      </c>
      <c r="X75" s="22" t="e">
        <f>((O75*F75)+Q75+R75+S75+U75)/G75</f>
        <v>#DIV/0!</v>
      </c>
      <c r="Y75" s="22" t="e">
        <f>((O75*F75)+Q75+R75+S75+T75+U75)/G75+W75</f>
        <v>#DIV/0!</v>
      </c>
      <c r="Z75" s="3" t="e">
        <f>Y75*G75</f>
        <v>#DIV/0!</v>
      </c>
      <c r="AA75" s="44"/>
      <c r="AB75" s="3"/>
      <c r="AC75" s="119"/>
    </row>
    <row r="76" spans="1:29" x14ac:dyDescent="0.25">
      <c r="A76" s="68"/>
      <c r="B76" s="34" t="s">
        <v>340</v>
      </c>
      <c r="C76" t="s">
        <v>341</v>
      </c>
      <c r="D76" s="35"/>
      <c r="E76">
        <v>200</v>
      </c>
      <c r="F76" s="36"/>
      <c r="G76" s="38"/>
      <c r="H76" s="38">
        <f t="shared" si="35"/>
        <v>0</v>
      </c>
      <c r="K76" s="39"/>
      <c r="L76" s="39">
        <v>43293</v>
      </c>
      <c r="M76" s="35" t="s">
        <v>342</v>
      </c>
      <c r="O76" s="22"/>
      <c r="P76" s="40"/>
      <c r="Q76" s="22">
        <v>21300</v>
      </c>
      <c r="R76" s="22">
        <f>72*E76</f>
        <v>14400</v>
      </c>
      <c r="S76" s="43">
        <f>-38*E76</f>
        <v>-7600</v>
      </c>
      <c r="T76" s="43" t="e">
        <f>X76*F76*0.0045</f>
        <v>#DIV/0!</v>
      </c>
      <c r="U76" s="22">
        <f>E76*5</f>
        <v>1000</v>
      </c>
      <c r="W76" s="22">
        <v>0.3</v>
      </c>
      <c r="X76" s="22" t="e">
        <f>((O76*F76)+Q76+R76+S76+U76)/G76</f>
        <v>#DIV/0!</v>
      </c>
      <c r="Y76" s="22" t="e">
        <f>((O76*F76)+Q76+R76+S76+T76+U76)/G76+W76</f>
        <v>#DIV/0!</v>
      </c>
      <c r="Z76" s="3" t="e">
        <f>Y76*G76</f>
        <v>#DIV/0!</v>
      </c>
      <c r="AA76" s="44"/>
      <c r="AB76" s="3"/>
      <c r="AC76" s="119"/>
    </row>
    <row r="77" spans="1:29" x14ac:dyDescent="0.25">
      <c r="A77" s="68"/>
      <c r="B77" s="34" t="s">
        <v>340</v>
      </c>
      <c r="C77" t="s">
        <v>341</v>
      </c>
      <c r="D77" s="35"/>
      <c r="E77">
        <v>130</v>
      </c>
      <c r="F77" s="36"/>
      <c r="G77" s="38"/>
      <c r="H77" s="38">
        <f t="shared" si="35"/>
        <v>0</v>
      </c>
      <c r="K77" s="39"/>
      <c r="L77" s="39">
        <v>43293</v>
      </c>
      <c r="M77" s="35" t="s">
        <v>342</v>
      </c>
      <c r="O77" s="22"/>
      <c r="P77" s="40"/>
      <c r="Q77" s="22">
        <v>16900</v>
      </c>
      <c r="R77" s="22">
        <f>72*E77</f>
        <v>9360</v>
      </c>
      <c r="S77" s="43">
        <f>-38*E77</f>
        <v>-4940</v>
      </c>
      <c r="T77" s="43" t="e">
        <f>X77*F77*0.0045</f>
        <v>#DIV/0!</v>
      </c>
      <c r="U77" s="22">
        <f>E77*5</f>
        <v>650</v>
      </c>
      <c r="W77" s="22">
        <v>0.3</v>
      </c>
      <c r="X77" s="22" t="e">
        <f>((O77*F77)+Q77+R77+S77+U77)/G77</f>
        <v>#DIV/0!</v>
      </c>
      <c r="Y77" s="22" t="e">
        <f>((O77*F77)+Q77+R77+S77+T77+U77)/G77+W77</f>
        <v>#DIV/0!</v>
      </c>
      <c r="Z77" s="3" t="e">
        <f>Y77*G77</f>
        <v>#DIV/0!</v>
      </c>
      <c r="AA77" s="44"/>
      <c r="AB77" s="3"/>
      <c r="AC77" s="119"/>
    </row>
    <row r="78" spans="1:29" x14ac:dyDescent="0.25">
      <c r="A78" s="68"/>
      <c r="B78" s="34" t="s">
        <v>328</v>
      </c>
      <c r="C78" s="35" t="s">
        <v>329</v>
      </c>
      <c r="D78" s="35" t="s">
        <v>329</v>
      </c>
      <c r="F78" s="36">
        <v>18500</v>
      </c>
      <c r="G78" s="37">
        <v>18500</v>
      </c>
      <c r="H78" s="38">
        <f t="shared" si="35"/>
        <v>0</v>
      </c>
      <c r="J78" s="14"/>
      <c r="K78" s="39">
        <v>43293</v>
      </c>
      <c r="L78" s="39">
        <v>43294</v>
      </c>
      <c r="M78" s="35" t="s">
        <v>345</v>
      </c>
      <c r="N78" s="35" t="s">
        <v>3262</v>
      </c>
      <c r="O78" s="22"/>
      <c r="P78" s="40"/>
      <c r="Q78" s="22">
        <v>26000</v>
      </c>
      <c r="R78" s="41">
        <f>7000+(F78/0.4536*S78*P78*0.2)</f>
        <v>7000</v>
      </c>
      <c r="S78" s="42">
        <v>21</v>
      </c>
      <c r="T78" s="43">
        <f>X78*F78*0.005</f>
        <v>176.1</v>
      </c>
      <c r="V78" s="22">
        <v>0.12</v>
      </c>
      <c r="W78" s="22">
        <v>0.3</v>
      </c>
      <c r="X78" s="22">
        <f>IF(O78&gt;0,O78,((P78*2.2046*S78)+(Q78+R78)/G78)+V78)</f>
        <v>1.9037837837837839</v>
      </c>
      <c r="Y78" s="22">
        <f>IF(O78&gt;0,O78,((P78*2.2046*S78)+(Q78+R78+T78)/G78)+V78+W78)</f>
        <v>2.2133027027027024</v>
      </c>
      <c r="Z78" s="3">
        <f>Y78*F78</f>
        <v>40946.099999999991</v>
      </c>
      <c r="AA78" s="44"/>
      <c r="AB78" s="3"/>
      <c r="AC78" s="119"/>
    </row>
    <row r="79" spans="1:29" x14ac:dyDescent="0.25">
      <c r="A79" s="68"/>
      <c r="B79" s="34" t="s">
        <v>340</v>
      </c>
      <c r="C79" t="s">
        <v>341</v>
      </c>
      <c r="D79" s="35"/>
      <c r="E79">
        <v>200</v>
      </c>
      <c r="F79" s="36"/>
      <c r="G79" s="38"/>
      <c r="H79" s="38">
        <f t="shared" si="35"/>
        <v>0</v>
      </c>
      <c r="K79" s="39"/>
      <c r="L79" s="39">
        <v>43294</v>
      </c>
      <c r="M79" s="35" t="s">
        <v>345</v>
      </c>
      <c r="O79" s="22"/>
      <c r="P79" s="40"/>
      <c r="Q79" s="22">
        <v>21300</v>
      </c>
      <c r="R79" s="22">
        <f>72*E79</f>
        <v>14400</v>
      </c>
      <c r="S79" s="43">
        <f>-38*E79</f>
        <v>-7600</v>
      </c>
      <c r="T79" s="43" t="e">
        <f>X79*F79*0.0045</f>
        <v>#DIV/0!</v>
      </c>
      <c r="U79" s="22">
        <f>E79*5</f>
        <v>1000</v>
      </c>
      <c r="W79" s="22">
        <v>0.3</v>
      </c>
      <c r="X79" s="22" t="e">
        <f>((O79*F79)+Q79+R79+S79+U79)/G79</f>
        <v>#DIV/0!</v>
      </c>
      <c r="Y79" s="22" t="e">
        <f>((O79*F79)+Q79+R79+S79+T79+U79)/G79+W79</f>
        <v>#DIV/0!</v>
      </c>
      <c r="Z79" s="3" t="e">
        <f>Y79*G79</f>
        <v>#DIV/0!</v>
      </c>
      <c r="AA79" s="44"/>
      <c r="AB79" s="3"/>
      <c r="AC79" s="119"/>
    </row>
    <row r="80" spans="1:29" x14ac:dyDescent="0.25">
      <c r="A80" s="68"/>
      <c r="B80" s="34" t="s">
        <v>340</v>
      </c>
      <c r="C80" t="s">
        <v>341</v>
      </c>
      <c r="D80" s="35"/>
      <c r="E80">
        <v>130</v>
      </c>
      <c r="F80" s="36"/>
      <c r="G80" s="38"/>
      <c r="H80" s="38">
        <f t="shared" si="35"/>
        <v>0</v>
      </c>
      <c r="I80" s="35"/>
      <c r="K80" s="39"/>
      <c r="L80" s="39">
        <v>43294</v>
      </c>
      <c r="M80" s="35" t="s">
        <v>345</v>
      </c>
      <c r="O80" s="22"/>
      <c r="P80" s="40"/>
      <c r="Q80" s="22">
        <v>16900</v>
      </c>
      <c r="R80" s="22">
        <f>72*E80</f>
        <v>9360</v>
      </c>
      <c r="S80" s="43">
        <f>-38*E80</f>
        <v>-4940</v>
      </c>
      <c r="T80" s="43" t="e">
        <f>X80*F80*0.0045</f>
        <v>#DIV/0!</v>
      </c>
      <c r="U80" s="22">
        <f>E80*5</f>
        <v>650</v>
      </c>
      <c r="W80" s="22">
        <v>0.3</v>
      </c>
      <c r="X80" s="22" t="e">
        <f>((O80*F80)+Q80+R80+S80+U80)/G80</f>
        <v>#DIV/0!</v>
      </c>
      <c r="Y80" s="22" t="e">
        <f>((O80*F80)+Q80+R80+S80+T80+U80)/G80+W80</f>
        <v>#DIV/0!</v>
      </c>
      <c r="Z80" s="3" t="e">
        <f>Y80*G80</f>
        <v>#DIV/0!</v>
      </c>
      <c r="AA80" s="44"/>
      <c r="AB80" s="3"/>
      <c r="AC80" s="119"/>
    </row>
    <row r="81" spans="1:29" x14ac:dyDescent="0.25">
      <c r="A81" s="68"/>
      <c r="B81" s="34" t="s">
        <v>328</v>
      </c>
      <c r="C81" t="s">
        <v>343</v>
      </c>
      <c r="D81" s="35" t="s">
        <v>343</v>
      </c>
      <c r="F81" s="36">
        <v>19000</v>
      </c>
      <c r="G81" s="37">
        <v>19000</v>
      </c>
      <c r="H81" s="38">
        <f t="shared" si="35"/>
        <v>0</v>
      </c>
      <c r="I81" s="35"/>
      <c r="J81" s="14"/>
      <c r="K81" s="39">
        <v>43294</v>
      </c>
      <c r="L81" s="39">
        <v>43295</v>
      </c>
      <c r="M81" s="35" t="s">
        <v>348</v>
      </c>
      <c r="N81" s="35" t="s">
        <v>3263</v>
      </c>
      <c r="O81" s="22"/>
      <c r="P81" s="40">
        <v>0.98</v>
      </c>
      <c r="Q81" s="22">
        <v>26000</v>
      </c>
      <c r="R81" s="120">
        <f>9500</f>
        <v>9500</v>
      </c>
      <c r="S81" s="214">
        <v>20</v>
      </c>
      <c r="T81" s="43">
        <f>X81*F81*0.005</f>
        <v>4293.8652000000002</v>
      </c>
      <c r="V81" s="22">
        <v>0.12</v>
      </c>
      <c r="W81" s="22">
        <v>0.3</v>
      </c>
      <c r="X81" s="22">
        <f>IF(O81&gt;0,O81,((P81*2.2046*S81)+(Q81+R81)/G81)+V81)</f>
        <v>45.198581052631582</v>
      </c>
      <c r="Y81" s="22">
        <f>IF(O81&gt;0,O81,((P81*2.2046*S81)+(Q81+R81+T81)/G81)+V81+W81)</f>
        <v>45.724573957894734</v>
      </c>
      <c r="Z81" s="3">
        <f>Y81*F81</f>
        <v>868766.90519999992</v>
      </c>
      <c r="AA81" s="44"/>
      <c r="AB81" s="3"/>
      <c r="AC81" s="119"/>
    </row>
    <row r="82" spans="1:29" ht="15.75" thickBot="1" x14ac:dyDescent="0.3">
      <c r="A82" s="69"/>
      <c r="B82" s="49"/>
      <c r="C82" s="23"/>
      <c r="D82" s="23"/>
      <c r="E82" s="23"/>
      <c r="F82" s="50"/>
      <c r="G82" s="50"/>
      <c r="H82" s="50"/>
      <c r="I82" s="26"/>
      <c r="J82" s="23"/>
      <c r="K82" s="27"/>
      <c r="L82" s="27"/>
      <c r="M82" s="23"/>
      <c r="N82" s="23"/>
      <c r="O82" s="28"/>
      <c r="P82" s="29"/>
      <c r="Q82" s="28"/>
      <c r="R82" s="28"/>
      <c r="S82" s="28"/>
      <c r="T82" s="28"/>
      <c r="U82" s="28"/>
      <c r="V82" s="28"/>
      <c r="W82" s="28"/>
      <c r="X82" s="28"/>
      <c r="Y82" s="28"/>
      <c r="Z82" s="32"/>
      <c r="AA82" s="51"/>
      <c r="AB82" s="3"/>
      <c r="AC82" s="119"/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O364"/>
  <sheetViews>
    <sheetView topLeftCell="A328" workbookViewId="0">
      <selection activeCell="E347" sqref="E347"/>
    </sheetView>
  </sheetViews>
  <sheetFormatPr baseColWidth="10" defaultRowHeight="15" x14ac:dyDescent="0.25"/>
  <cols>
    <col min="1" max="1" width="4" customWidth="1"/>
    <col min="2" max="2" width="5.140625" customWidth="1"/>
    <col min="3" max="3" width="14.140625" customWidth="1"/>
    <col min="4" max="4" width="31" bestFit="1" customWidth="1"/>
    <col min="5" max="5" width="14.7109375" bestFit="1" customWidth="1"/>
    <col min="6" max="6" width="24.7109375" customWidth="1"/>
  </cols>
  <sheetData>
    <row r="2" spans="1:15" x14ac:dyDescent="0.25">
      <c r="A2" t="s">
        <v>1428</v>
      </c>
    </row>
    <row r="4" spans="1:15" x14ac:dyDescent="0.25">
      <c r="A4" s="16" t="s">
        <v>15</v>
      </c>
      <c r="B4" s="2">
        <v>29</v>
      </c>
      <c r="C4" s="3">
        <v>631833.93000000005</v>
      </c>
      <c r="D4" t="s">
        <v>1364</v>
      </c>
      <c r="E4" t="s">
        <v>1363</v>
      </c>
      <c r="F4" t="s">
        <v>1365</v>
      </c>
      <c r="H4" s="125" t="s">
        <v>1366</v>
      </c>
    </row>
    <row r="5" spans="1:15" x14ac:dyDescent="0.25">
      <c r="A5" t="s">
        <v>15</v>
      </c>
      <c r="B5" s="2">
        <v>29</v>
      </c>
      <c r="C5" s="4">
        <f>33821.8*G5</f>
        <v>629694.27240000002</v>
      </c>
      <c r="D5" s="5" t="s">
        <v>1385</v>
      </c>
      <c r="E5" s="5" t="s">
        <v>1387</v>
      </c>
      <c r="F5" s="5" t="s">
        <v>1386</v>
      </c>
      <c r="G5" s="5">
        <v>18.617999999999999</v>
      </c>
      <c r="H5" s="126">
        <v>36.69</v>
      </c>
      <c r="I5" s="7">
        <v>43130</v>
      </c>
      <c r="J5" s="10" t="s">
        <v>5</v>
      </c>
    </row>
    <row r="6" spans="1:15" x14ac:dyDescent="0.25">
      <c r="A6" t="s">
        <v>34</v>
      </c>
      <c r="B6" s="2">
        <v>30</v>
      </c>
      <c r="C6" s="9">
        <f>34500*G6</f>
        <v>638905.5</v>
      </c>
      <c r="D6" s="10" t="s">
        <v>1321</v>
      </c>
      <c r="E6" s="10"/>
      <c r="F6" s="10" t="s">
        <v>1322</v>
      </c>
      <c r="G6" s="11">
        <v>18.518999999999998</v>
      </c>
      <c r="H6" s="10"/>
      <c r="I6" s="12">
        <v>43130</v>
      </c>
      <c r="J6" s="10" t="s">
        <v>5</v>
      </c>
    </row>
    <row r="7" spans="1:15" x14ac:dyDescent="0.25">
      <c r="A7" t="s">
        <v>34</v>
      </c>
      <c r="B7" s="2">
        <v>30</v>
      </c>
      <c r="C7" s="9">
        <f>34500*G7</f>
        <v>638905.5</v>
      </c>
      <c r="D7" s="10" t="s">
        <v>1320</v>
      </c>
      <c r="E7" s="10"/>
      <c r="F7" s="10" t="s">
        <v>1322</v>
      </c>
      <c r="G7" s="11">
        <v>18.518999999999998</v>
      </c>
      <c r="H7" s="10"/>
      <c r="I7" s="12">
        <v>43130</v>
      </c>
      <c r="J7" s="10" t="s">
        <v>5</v>
      </c>
    </row>
    <row r="8" spans="1:15" x14ac:dyDescent="0.25">
      <c r="A8" t="s">
        <v>34</v>
      </c>
      <c r="B8" s="2">
        <v>30</v>
      </c>
      <c r="C8" s="3">
        <f>799050+16588-3600</f>
        <v>812038</v>
      </c>
      <c r="D8" t="s">
        <v>1246</v>
      </c>
      <c r="E8" t="s">
        <v>1245</v>
      </c>
      <c r="F8" t="s">
        <v>26</v>
      </c>
    </row>
    <row r="9" spans="1:15" x14ac:dyDescent="0.25">
      <c r="A9" t="s">
        <v>44</v>
      </c>
      <c r="B9" s="2">
        <v>31</v>
      </c>
      <c r="C9" s="4">
        <f>31883.89*G9</f>
        <v>590457.75890999998</v>
      </c>
      <c r="D9" s="5" t="s">
        <v>1255</v>
      </c>
      <c r="E9" s="5" t="s">
        <v>1256</v>
      </c>
      <c r="F9" s="5" t="s">
        <v>1332</v>
      </c>
      <c r="G9" s="6">
        <v>18.518999999999998</v>
      </c>
      <c r="H9" s="5">
        <v>32.96</v>
      </c>
      <c r="I9" s="7">
        <v>43131</v>
      </c>
      <c r="J9" s="5" t="s">
        <v>5</v>
      </c>
      <c r="K9" s="15" t="s">
        <v>1333</v>
      </c>
      <c r="L9" s="15"/>
      <c r="M9" s="15"/>
      <c r="N9" s="15" t="s">
        <v>1334</v>
      </c>
      <c r="O9" s="15"/>
    </row>
    <row r="10" spans="1:15" x14ac:dyDescent="0.25">
      <c r="A10" t="s">
        <v>44</v>
      </c>
      <c r="B10" s="2">
        <v>31</v>
      </c>
      <c r="C10" s="3">
        <f>914100+18774.6</f>
        <v>932874.6</v>
      </c>
      <c r="D10" t="s">
        <v>1261</v>
      </c>
      <c r="E10" t="s">
        <v>1262</v>
      </c>
      <c r="F10" t="s">
        <v>26</v>
      </c>
    </row>
    <row r="11" spans="1:15" x14ac:dyDescent="0.25">
      <c r="A11" t="s">
        <v>44</v>
      </c>
      <c r="B11" s="2">
        <v>31</v>
      </c>
      <c r="C11" s="4">
        <f>421050+9802</f>
        <v>430852</v>
      </c>
      <c r="D11" s="5" t="s">
        <v>1263</v>
      </c>
      <c r="E11" s="5" t="s">
        <v>1254</v>
      </c>
      <c r="F11" s="5" t="s">
        <v>26</v>
      </c>
      <c r="G11" s="7">
        <v>43131</v>
      </c>
      <c r="H11" s="5" t="s">
        <v>27</v>
      </c>
    </row>
    <row r="12" spans="1:15" x14ac:dyDescent="0.25">
      <c r="A12" s="1" t="s">
        <v>1264</v>
      </c>
      <c r="C12" s="3"/>
    </row>
    <row r="13" spans="1:15" x14ac:dyDescent="0.25">
      <c r="A13" t="s">
        <v>50</v>
      </c>
      <c r="B13" s="2">
        <v>1</v>
      </c>
      <c r="C13" s="18">
        <f>37000*G13</f>
        <v>691160</v>
      </c>
      <c r="D13" s="19" t="s">
        <v>1324</v>
      </c>
      <c r="E13" s="19"/>
      <c r="F13" s="19" t="s">
        <v>1329</v>
      </c>
      <c r="G13" s="128">
        <v>18.68</v>
      </c>
      <c r="H13" s="19"/>
      <c r="I13" s="129">
        <v>43132</v>
      </c>
      <c r="J13" s="19" t="s">
        <v>5</v>
      </c>
    </row>
    <row r="14" spans="1:15" x14ac:dyDescent="0.25">
      <c r="A14" t="s">
        <v>50</v>
      </c>
      <c r="B14" s="2">
        <v>1</v>
      </c>
      <c r="C14" s="3">
        <f>865350+18850</f>
        <v>884200</v>
      </c>
      <c r="D14" t="s">
        <v>1367</v>
      </c>
      <c r="E14" t="s">
        <v>1258</v>
      </c>
      <c r="F14" t="s">
        <v>26</v>
      </c>
    </row>
    <row r="15" spans="1:15" x14ac:dyDescent="0.25">
      <c r="A15" t="s">
        <v>50</v>
      </c>
      <c r="B15" s="2">
        <v>1</v>
      </c>
      <c r="C15" s="3">
        <f>406050+9802</f>
        <v>415852</v>
      </c>
      <c r="D15" t="s">
        <v>1368</v>
      </c>
      <c r="E15" t="s">
        <v>1259</v>
      </c>
      <c r="F15" t="s">
        <v>26</v>
      </c>
    </row>
    <row r="16" spans="1:15" x14ac:dyDescent="0.25">
      <c r="A16" t="s">
        <v>1</v>
      </c>
      <c r="B16" s="2">
        <v>2</v>
      </c>
      <c r="C16" s="3">
        <f>31066.59*G16</f>
        <v>580323.90119999996</v>
      </c>
      <c r="D16" t="s">
        <v>1326</v>
      </c>
      <c r="E16" t="s">
        <v>1327</v>
      </c>
      <c r="F16" t="s">
        <v>1328</v>
      </c>
      <c r="G16" s="6">
        <v>18.68</v>
      </c>
      <c r="H16" s="5">
        <v>33.31</v>
      </c>
      <c r="I16" s="7">
        <v>43133</v>
      </c>
    </row>
    <row r="17" spans="1:10" x14ac:dyDescent="0.25">
      <c r="A17" t="s">
        <v>1</v>
      </c>
      <c r="B17" s="2">
        <v>2</v>
      </c>
      <c r="C17" s="3">
        <v>837185.04</v>
      </c>
      <c r="D17" t="s">
        <v>1338</v>
      </c>
      <c r="E17" t="s">
        <v>1339</v>
      </c>
      <c r="F17" t="s">
        <v>1340</v>
      </c>
      <c r="G17">
        <v>39.799999999999997</v>
      </c>
    </row>
    <row r="18" spans="1:10" x14ac:dyDescent="0.25">
      <c r="A18" s="14" t="s">
        <v>13</v>
      </c>
      <c r="B18" s="2">
        <v>3</v>
      </c>
      <c r="C18" s="3"/>
    </row>
    <row r="19" spans="1:10" x14ac:dyDescent="0.25">
      <c r="A19" s="14" t="s">
        <v>14</v>
      </c>
      <c r="B19" s="2">
        <v>4</v>
      </c>
      <c r="C19" s="3"/>
    </row>
    <row r="20" spans="1:10" x14ac:dyDescent="0.25">
      <c r="A20" t="s">
        <v>15</v>
      </c>
      <c r="B20" s="2">
        <v>5</v>
      </c>
      <c r="C20" s="3" t="s">
        <v>1369</v>
      </c>
    </row>
    <row r="21" spans="1:10" x14ac:dyDescent="0.25">
      <c r="A21" t="s">
        <v>34</v>
      </c>
      <c r="B21" s="2">
        <v>6</v>
      </c>
      <c r="C21" s="18">
        <f>31000*G21</f>
        <v>589000</v>
      </c>
      <c r="D21" s="19" t="s">
        <v>1325</v>
      </c>
      <c r="E21" s="19"/>
      <c r="F21" s="19" t="s">
        <v>1414</v>
      </c>
      <c r="G21" s="20">
        <v>19</v>
      </c>
      <c r="H21" s="19"/>
      <c r="I21" s="19"/>
      <c r="J21" s="19"/>
    </row>
    <row r="22" spans="1:10" x14ac:dyDescent="0.25">
      <c r="A22" t="s">
        <v>34</v>
      </c>
      <c r="B22" s="2">
        <v>6</v>
      </c>
      <c r="C22" s="3">
        <f>32247.33*G22</f>
        <v>612699.27</v>
      </c>
      <c r="D22" t="s">
        <v>1404</v>
      </c>
      <c r="E22" t="s">
        <v>1405</v>
      </c>
      <c r="F22" t="s">
        <v>1406</v>
      </c>
      <c r="G22" s="20">
        <v>19</v>
      </c>
    </row>
    <row r="23" spans="1:10" x14ac:dyDescent="0.25">
      <c r="B23" s="2"/>
      <c r="C23" s="3"/>
    </row>
    <row r="24" spans="1:10" x14ac:dyDescent="0.25">
      <c r="A24" t="s">
        <v>34</v>
      </c>
      <c r="B24" s="2">
        <v>6</v>
      </c>
      <c r="C24" s="3">
        <f>792300+16588</f>
        <v>808888</v>
      </c>
      <c r="D24" t="s">
        <v>1370</v>
      </c>
      <c r="E24" t="s">
        <v>1290</v>
      </c>
      <c r="F24" t="s">
        <v>26</v>
      </c>
    </row>
    <row r="25" spans="1:10" x14ac:dyDescent="0.25">
      <c r="A25" t="s">
        <v>34</v>
      </c>
      <c r="B25" s="2">
        <v>6</v>
      </c>
      <c r="C25" s="3">
        <f>425550+9802</f>
        <v>435352</v>
      </c>
      <c r="D25" t="s">
        <v>1370</v>
      </c>
      <c r="E25" t="s">
        <v>1291</v>
      </c>
      <c r="F25" t="s">
        <v>26</v>
      </c>
    </row>
    <row r="26" spans="1:10" x14ac:dyDescent="0.25">
      <c r="A26" t="s">
        <v>34</v>
      </c>
      <c r="B26" s="2">
        <v>6</v>
      </c>
      <c r="C26" s="3">
        <f>838800+18774.6</f>
        <v>857574.6</v>
      </c>
      <c r="D26" t="s">
        <v>1371</v>
      </c>
      <c r="E26" t="s">
        <v>1372</v>
      </c>
      <c r="F26" t="s">
        <v>26</v>
      </c>
    </row>
    <row r="27" spans="1:10" x14ac:dyDescent="0.25">
      <c r="A27" t="s">
        <v>34</v>
      </c>
      <c r="B27" s="2">
        <v>6</v>
      </c>
      <c r="C27" s="3">
        <f>33900+754</f>
        <v>34654</v>
      </c>
      <c r="D27" t="s">
        <v>1374</v>
      </c>
      <c r="E27" t="s">
        <v>1373</v>
      </c>
      <c r="F27" t="s">
        <v>26</v>
      </c>
    </row>
    <row r="28" spans="1:10" x14ac:dyDescent="0.25">
      <c r="A28" t="s">
        <v>34</v>
      </c>
      <c r="B28" s="2">
        <v>6</v>
      </c>
      <c r="C28" s="3">
        <f>823950+16361.8</f>
        <v>840311.8</v>
      </c>
      <c r="D28" t="s">
        <v>1375</v>
      </c>
      <c r="E28" t="s">
        <v>1302</v>
      </c>
      <c r="F28" t="s">
        <v>26</v>
      </c>
    </row>
    <row r="29" spans="1:10" x14ac:dyDescent="0.25">
      <c r="A29" t="s">
        <v>34</v>
      </c>
      <c r="B29" s="2">
        <v>6</v>
      </c>
      <c r="C29" s="3">
        <v>17132.3</v>
      </c>
      <c r="D29" t="s">
        <v>1380</v>
      </c>
      <c r="E29" t="s">
        <v>1415</v>
      </c>
      <c r="F29" t="s">
        <v>23</v>
      </c>
      <c r="G29">
        <v>19</v>
      </c>
    </row>
    <row r="30" spans="1:10" x14ac:dyDescent="0.25">
      <c r="A30" t="s">
        <v>34</v>
      </c>
      <c r="B30" s="2">
        <v>6</v>
      </c>
      <c r="C30" s="3"/>
      <c r="D30" t="s">
        <v>1323</v>
      </c>
    </row>
    <row r="31" spans="1:10" x14ac:dyDescent="0.25">
      <c r="A31" t="s">
        <v>34</v>
      </c>
      <c r="B31" s="2">
        <v>6</v>
      </c>
      <c r="C31" s="3">
        <f>719700+14929.2</f>
        <v>734629.2</v>
      </c>
      <c r="D31" t="s">
        <v>1318</v>
      </c>
      <c r="E31" t="s">
        <v>1319</v>
      </c>
      <c r="F31" t="s">
        <v>26</v>
      </c>
    </row>
    <row r="32" spans="1:10" x14ac:dyDescent="0.25">
      <c r="A32" t="s">
        <v>44</v>
      </c>
      <c r="B32" s="2">
        <v>7</v>
      </c>
      <c r="C32" s="3">
        <v>177501.28</v>
      </c>
      <c r="D32" t="s">
        <v>1421</v>
      </c>
      <c r="E32" t="s">
        <v>1422</v>
      </c>
      <c r="F32" t="s">
        <v>1423</v>
      </c>
      <c r="G32">
        <v>88</v>
      </c>
    </row>
    <row r="33" spans="1:10" x14ac:dyDescent="0.25">
      <c r="A33" t="s">
        <v>44</v>
      </c>
      <c r="B33" s="2">
        <v>7</v>
      </c>
      <c r="C33" s="3">
        <f>719700+14929.2</f>
        <v>734629.2</v>
      </c>
      <c r="D33" t="s">
        <v>1318</v>
      </c>
      <c r="E33" t="s">
        <v>1319</v>
      </c>
      <c r="F33" t="s">
        <v>26</v>
      </c>
    </row>
    <row r="34" spans="1:10" x14ac:dyDescent="0.25">
      <c r="A34" t="s">
        <v>44</v>
      </c>
      <c r="B34" s="2">
        <v>7</v>
      </c>
      <c r="C34" s="3">
        <f>823935+17417.4</f>
        <v>841352.4</v>
      </c>
      <c r="D34" t="s">
        <v>1377</v>
      </c>
      <c r="E34" t="s">
        <v>1376</v>
      </c>
      <c r="F34" t="s">
        <v>26</v>
      </c>
    </row>
    <row r="35" spans="1:10" x14ac:dyDescent="0.25">
      <c r="A35" t="s">
        <v>44</v>
      </c>
      <c r="B35" s="2">
        <v>7</v>
      </c>
      <c r="C35" s="3">
        <f>486750+9802</f>
        <v>496552</v>
      </c>
      <c r="D35" t="s">
        <v>1378</v>
      </c>
      <c r="E35" t="s">
        <v>1336</v>
      </c>
      <c r="F35" t="s">
        <v>26</v>
      </c>
    </row>
    <row r="36" spans="1:10" x14ac:dyDescent="0.25">
      <c r="A36" t="s">
        <v>50</v>
      </c>
      <c r="B36" s="2">
        <v>8</v>
      </c>
      <c r="C36" s="3">
        <f>450170+9802</f>
        <v>459972</v>
      </c>
      <c r="D36" t="s">
        <v>1381</v>
      </c>
      <c r="E36" t="s">
        <v>1382</v>
      </c>
      <c r="F36" t="s">
        <v>26</v>
      </c>
    </row>
    <row r="37" spans="1:10" x14ac:dyDescent="0.25">
      <c r="A37" t="s">
        <v>1</v>
      </c>
      <c r="B37" s="2">
        <v>9</v>
      </c>
      <c r="C37" s="3">
        <f>33249.27*G37</f>
        <v>631736.12999999989</v>
      </c>
      <c r="D37" t="s">
        <v>1407</v>
      </c>
      <c r="E37" t="s">
        <v>1408</v>
      </c>
      <c r="F37" t="s">
        <v>1409</v>
      </c>
      <c r="G37" s="20">
        <v>19</v>
      </c>
    </row>
    <row r="38" spans="1:10" x14ac:dyDescent="0.25">
      <c r="A38" t="s">
        <v>1</v>
      </c>
      <c r="B38" s="2">
        <v>9</v>
      </c>
      <c r="C38" s="3">
        <v>786528.55</v>
      </c>
      <c r="D38" t="s">
        <v>1344</v>
      </c>
      <c r="E38" t="s">
        <v>1343</v>
      </c>
      <c r="F38" t="s">
        <v>1345</v>
      </c>
      <c r="G38">
        <v>42.5</v>
      </c>
    </row>
    <row r="39" spans="1:10" x14ac:dyDescent="0.25">
      <c r="A39" s="14" t="s">
        <v>13</v>
      </c>
      <c r="B39" s="2">
        <v>10</v>
      </c>
      <c r="C39" s="3"/>
    </row>
    <row r="40" spans="1:10" x14ac:dyDescent="0.25">
      <c r="A40" s="14" t="s">
        <v>14</v>
      </c>
      <c r="B40" s="2">
        <v>11</v>
      </c>
      <c r="C40" s="3"/>
    </row>
    <row r="41" spans="1:10" x14ac:dyDescent="0.25">
      <c r="A41" t="s">
        <v>15</v>
      </c>
      <c r="B41" s="2">
        <v>12</v>
      </c>
      <c r="C41" s="18"/>
      <c r="D41" s="19"/>
      <c r="E41" s="19"/>
      <c r="F41" s="19"/>
      <c r="G41" s="19"/>
      <c r="H41" s="19"/>
      <c r="I41" s="19"/>
      <c r="J41" s="19"/>
    </row>
    <row r="42" spans="1:10" x14ac:dyDescent="0.25">
      <c r="A42" t="s">
        <v>15</v>
      </c>
      <c r="B42" s="2">
        <v>12</v>
      </c>
      <c r="C42" s="3">
        <f>855647.5+16250</f>
        <v>871897.5</v>
      </c>
      <c r="D42" t="s">
        <v>1410</v>
      </c>
      <c r="E42" t="s">
        <v>1411</v>
      </c>
      <c r="F42" t="s">
        <v>26</v>
      </c>
    </row>
    <row r="43" spans="1:10" x14ac:dyDescent="0.25">
      <c r="A43" t="s">
        <v>15</v>
      </c>
      <c r="B43" s="2">
        <v>12</v>
      </c>
      <c r="C43" s="3">
        <f>33040+754</f>
        <v>33794</v>
      </c>
      <c r="D43" t="s">
        <v>1413</v>
      </c>
      <c r="E43" t="s">
        <v>1412</v>
      </c>
      <c r="F43" t="s">
        <v>26</v>
      </c>
    </row>
    <row r="44" spans="1:10" x14ac:dyDescent="0.25">
      <c r="A44" t="s">
        <v>15</v>
      </c>
      <c r="B44" s="2">
        <v>12</v>
      </c>
      <c r="C44" s="3">
        <f>422440+9802</f>
        <v>432242</v>
      </c>
      <c r="D44" t="s">
        <v>1417</v>
      </c>
      <c r="E44" t="s">
        <v>1418</v>
      </c>
      <c r="F44" t="s">
        <v>26</v>
      </c>
    </row>
    <row r="45" spans="1:10" x14ac:dyDescent="0.25">
      <c r="A45" t="s">
        <v>15</v>
      </c>
      <c r="B45" s="2">
        <v>12</v>
      </c>
      <c r="C45" s="3">
        <f>657997.5+15080</f>
        <v>673077.5</v>
      </c>
      <c r="D45" t="s">
        <v>1416</v>
      </c>
      <c r="E45" t="s">
        <v>1401</v>
      </c>
      <c r="F45" t="s">
        <v>26</v>
      </c>
    </row>
    <row r="46" spans="1:10" x14ac:dyDescent="0.25">
      <c r="A46" t="s">
        <v>34</v>
      </c>
      <c r="B46" s="2">
        <v>13</v>
      </c>
      <c r="C46" s="3">
        <f>653720+15080</f>
        <v>668800</v>
      </c>
      <c r="D46" t="s">
        <v>1420</v>
      </c>
      <c r="E46" t="s">
        <v>1419</v>
      </c>
      <c r="F46" t="s">
        <v>26</v>
      </c>
    </row>
    <row r="47" spans="1:10" x14ac:dyDescent="0.25">
      <c r="A47" t="s">
        <v>44</v>
      </c>
      <c r="B47" s="2">
        <v>14</v>
      </c>
      <c r="C47" s="3"/>
    </row>
    <row r="48" spans="1:10" x14ac:dyDescent="0.25">
      <c r="A48" t="s">
        <v>50</v>
      </c>
      <c r="B48" s="2">
        <v>15</v>
      </c>
      <c r="C48" s="3"/>
    </row>
    <row r="61" spans="1:14" x14ac:dyDescent="0.25">
      <c r="A61" t="s">
        <v>1785</v>
      </c>
    </row>
    <row r="62" spans="1:14" x14ac:dyDescent="0.25">
      <c r="A62" s="16" t="s">
        <v>50</v>
      </c>
      <c r="B62" s="2">
        <v>26</v>
      </c>
      <c r="C62" s="3">
        <f>659170+15080</f>
        <v>674250</v>
      </c>
      <c r="D62" t="s">
        <v>1656</v>
      </c>
      <c r="E62" t="s">
        <v>1655</v>
      </c>
      <c r="F62" t="s">
        <v>26</v>
      </c>
    </row>
    <row r="63" spans="1:14" x14ac:dyDescent="0.25">
      <c r="A63" t="s">
        <v>15</v>
      </c>
      <c r="B63" s="2">
        <v>26</v>
      </c>
      <c r="C63" s="3">
        <f>463855+9802</f>
        <v>473657</v>
      </c>
      <c r="D63" t="s">
        <v>1657</v>
      </c>
      <c r="E63" t="s">
        <v>1584</v>
      </c>
      <c r="F63" t="s">
        <v>26</v>
      </c>
    </row>
    <row r="64" spans="1:14" x14ac:dyDescent="0.25">
      <c r="A64" t="s">
        <v>34</v>
      </c>
      <c r="B64" s="2">
        <v>27</v>
      </c>
      <c r="C64" s="9">
        <f>26000*G64</f>
        <v>482170.00000000006</v>
      </c>
      <c r="D64" s="10" t="s">
        <v>1566</v>
      </c>
      <c r="E64" s="10"/>
      <c r="F64" s="10" t="s">
        <v>1623</v>
      </c>
      <c r="G64" s="11">
        <v>18.545000000000002</v>
      </c>
      <c r="H64" s="10"/>
      <c r="I64" s="12">
        <v>43151</v>
      </c>
      <c r="J64" s="10" t="s">
        <v>5</v>
      </c>
      <c r="K64" s="15" t="s">
        <v>1743</v>
      </c>
      <c r="L64" s="15"/>
      <c r="M64" s="15"/>
      <c r="N64" s="15"/>
    </row>
    <row r="65" spans="1:15" x14ac:dyDescent="0.25">
      <c r="A65" t="s">
        <v>34</v>
      </c>
      <c r="B65" s="2">
        <v>27</v>
      </c>
      <c r="C65" s="4">
        <f>26874.43*G65</f>
        <v>502686.21314999997</v>
      </c>
      <c r="D65" s="5" t="s">
        <v>1643</v>
      </c>
      <c r="E65" s="5" t="s">
        <v>1644</v>
      </c>
      <c r="F65" s="5" t="s">
        <v>1745</v>
      </c>
      <c r="G65" s="6">
        <v>18.704999999999998</v>
      </c>
      <c r="H65" s="5">
        <v>28.85</v>
      </c>
      <c r="I65" s="7">
        <v>43158</v>
      </c>
      <c r="J65" s="5" t="s">
        <v>5</v>
      </c>
    </row>
    <row r="66" spans="1:15" x14ac:dyDescent="0.25">
      <c r="A66" t="s">
        <v>34</v>
      </c>
      <c r="B66" s="2">
        <v>27</v>
      </c>
      <c r="C66" s="3">
        <f>648440+15080</f>
        <v>663520</v>
      </c>
      <c r="D66" t="s">
        <v>1658</v>
      </c>
      <c r="E66" t="s">
        <v>1590</v>
      </c>
      <c r="F66" t="s">
        <v>26</v>
      </c>
      <c r="G66" s="3"/>
    </row>
    <row r="67" spans="1:15" x14ac:dyDescent="0.25">
      <c r="A67" t="s">
        <v>44</v>
      </c>
      <c r="B67" s="2">
        <v>28</v>
      </c>
      <c r="C67" s="9">
        <f>32000*G67</f>
        <v>601728</v>
      </c>
      <c r="D67" s="10" t="s">
        <v>1565</v>
      </c>
      <c r="E67" s="10"/>
      <c r="F67" s="10" t="s">
        <v>99</v>
      </c>
      <c r="G67" s="11">
        <v>18.803999999999998</v>
      </c>
      <c r="H67" s="10"/>
      <c r="I67" s="12">
        <v>43159</v>
      </c>
      <c r="J67" s="10" t="s">
        <v>5</v>
      </c>
    </row>
    <row r="68" spans="1:15" x14ac:dyDescent="0.25">
      <c r="A68" t="s">
        <v>44</v>
      </c>
      <c r="B68" s="2">
        <v>28</v>
      </c>
      <c r="C68" s="3">
        <f>914660+18850</f>
        <v>933510</v>
      </c>
      <c r="D68" t="s">
        <v>1659</v>
      </c>
      <c r="E68" t="s">
        <v>1660</v>
      </c>
      <c r="F68" t="s">
        <v>26</v>
      </c>
    </row>
    <row r="69" spans="1:15" x14ac:dyDescent="0.25">
      <c r="A69" t="s">
        <v>44</v>
      </c>
      <c r="B69" s="2">
        <v>28</v>
      </c>
      <c r="C69" s="3">
        <f>23635+754</f>
        <v>24389</v>
      </c>
      <c r="D69" t="s">
        <v>1662</v>
      </c>
      <c r="E69" t="s">
        <v>1661</v>
      </c>
      <c r="F69" t="s">
        <v>26</v>
      </c>
    </row>
    <row r="70" spans="1:15" x14ac:dyDescent="0.25">
      <c r="A70" s="1" t="s">
        <v>1564</v>
      </c>
      <c r="C70" s="3"/>
    </row>
    <row r="71" spans="1:15" x14ac:dyDescent="0.25">
      <c r="A71" t="s">
        <v>50</v>
      </c>
      <c r="B71" s="2">
        <v>1</v>
      </c>
      <c r="C71" s="18">
        <f>38000*G71</f>
        <v>722000</v>
      </c>
      <c r="D71" s="19" t="s">
        <v>1567</v>
      </c>
      <c r="E71" s="19"/>
      <c r="F71" s="19" t="s">
        <v>1765</v>
      </c>
      <c r="G71" s="144">
        <v>19</v>
      </c>
      <c r="H71" s="19"/>
      <c r="I71" s="19"/>
      <c r="J71" s="19"/>
    </row>
    <row r="72" spans="1:15" x14ac:dyDescent="0.25">
      <c r="A72" t="s">
        <v>50</v>
      </c>
      <c r="B72" s="2">
        <v>1</v>
      </c>
      <c r="C72" s="18">
        <f>30660.3*G72</f>
        <v>582545.69999999995</v>
      </c>
      <c r="D72" s="19" t="s">
        <v>1562</v>
      </c>
      <c r="E72" s="19" t="s">
        <v>1774</v>
      </c>
      <c r="F72" s="19" t="s">
        <v>1775</v>
      </c>
      <c r="G72" s="144">
        <v>19</v>
      </c>
      <c r="H72" s="19"/>
      <c r="I72" s="19"/>
      <c r="J72" s="19"/>
    </row>
    <row r="73" spans="1:15" x14ac:dyDescent="0.25">
      <c r="A73" t="s">
        <v>50</v>
      </c>
      <c r="B73" s="2">
        <v>1</v>
      </c>
      <c r="C73" s="9">
        <f>29836.31*G73</f>
        <v>562414.44350000005</v>
      </c>
      <c r="D73" s="10" t="s">
        <v>1748</v>
      </c>
      <c r="E73" s="10" t="s">
        <v>1767</v>
      </c>
      <c r="F73" s="10" t="s">
        <v>1768</v>
      </c>
      <c r="G73" s="11">
        <v>18.850000000000001</v>
      </c>
      <c r="H73" s="10">
        <v>32.93</v>
      </c>
      <c r="I73" s="12">
        <v>43159</v>
      </c>
      <c r="J73" s="10" t="s">
        <v>5</v>
      </c>
    </row>
    <row r="74" spans="1:15" x14ac:dyDescent="0.25">
      <c r="A74" t="s">
        <v>50</v>
      </c>
      <c r="B74" s="2">
        <v>1</v>
      </c>
      <c r="C74" s="4">
        <v>33783.9</v>
      </c>
      <c r="D74" s="5" t="s">
        <v>1729</v>
      </c>
      <c r="E74" s="5" t="s">
        <v>1726</v>
      </c>
      <c r="F74" s="5" t="s">
        <v>23</v>
      </c>
      <c r="G74" s="4">
        <v>19</v>
      </c>
      <c r="H74" s="7">
        <v>43158</v>
      </c>
      <c r="I74" s="5" t="s">
        <v>5</v>
      </c>
      <c r="J74" s="5" t="s">
        <v>1773</v>
      </c>
      <c r="K74" s="5"/>
    </row>
    <row r="75" spans="1:15" x14ac:dyDescent="0.25">
      <c r="A75" t="s">
        <v>50</v>
      </c>
      <c r="B75" s="2">
        <v>1</v>
      </c>
      <c r="C75" s="3">
        <f>846945+18850</f>
        <v>865795</v>
      </c>
      <c r="D75" t="s">
        <v>1673</v>
      </c>
      <c r="E75" t="s">
        <v>1666</v>
      </c>
      <c r="F75" t="s">
        <v>26</v>
      </c>
    </row>
    <row r="76" spans="1:15" x14ac:dyDescent="0.25">
      <c r="A76" t="s">
        <v>50</v>
      </c>
      <c r="B76" s="2">
        <v>1</v>
      </c>
      <c r="C76" s="3">
        <f>442685+9802</f>
        <v>452487</v>
      </c>
      <c r="D76" t="s">
        <v>1674</v>
      </c>
      <c r="E76" t="s">
        <v>1667</v>
      </c>
      <c r="F76" t="s">
        <v>26</v>
      </c>
    </row>
    <row r="77" spans="1:15" x14ac:dyDescent="0.25">
      <c r="A77" t="s">
        <v>1</v>
      </c>
      <c r="B77" s="2">
        <v>2</v>
      </c>
      <c r="C77" s="3">
        <v>1599895.8</v>
      </c>
      <c r="D77" t="s">
        <v>1647</v>
      </c>
      <c r="E77" t="s">
        <v>1646</v>
      </c>
      <c r="F77" t="s">
        <v>1573</v>
      </c>
      <c r="G77">
        <v>91.5</v>
      </c>
    </row>
    <row r="78" spans="1:15" x14ac:dyDescent="0.25">
      <c r="A78" t="s">
        <v>1</v>
      </c>
      <c r="B78" s="2">
        <v>2</v>
      </c>
      <c r="C78" s="3">
        <v>364053.69</v>
      </c>
      <c r="D78" t="s">
        <v>1723</v>
      </c>
      <c r="E78" s="14"/>
      <c r="F78" t="s">
        <v>1724</v>
      </c>
      <c r="G78">
        <v>91</v>
      </c>
    </row>
    <row r="79" spans="1:15" x14ac:dyDescent="0.25">
      <c r="A79" t="s">
        <v>1</v>
      </c>
      <c r="B79" s="2">
        <v>2</v>
      </c>
      <c r="C79" s="3">
        <f>(27436.21-1950)*G79</f>
        <v>484237.99</v>
      </c>
      <c r="D79" t="s">
        <v>1737</v>
      </c>
      <c r="E79" t="s">
        <v>1738</v>
      </c>
      <c r="F79" t="s">
        <v>1783</v>
      </c>
      <c r="G79" s="20">
        <v>19</v>
      </c>
      <c r="K79" t="s">
        <v>1782</v>
      </c>
      <c r="O79" t="s">
        <v>1784</v>
      </c>
    </row>
    <row r="80" spans="1:15" x14ac:dyDescent="0.25">
      <c r="A80" s="14" t="s">
        <v>13</v>
      </c>
      <c r="B80" s="2">
        <v>3</v>
      </c>
      <c r="C80" s="3"/>
    </row>
    <row r="81" spans="1:14" x14ac:dyDescent="0.25">
      <c r="A81" s="14" t="s">
        <v>14</v>
      </c>
      <c r="B81" s="2">
        <v>4</v>
      </c>
      <c r="C81" s="3"/>
    </row>
    <row r="82" spans="1:14" x14ac:dyDescent="0.25">
      <c r="A82" t="s">
        <v>15</v>
      </c>
      <c r="B82" s="2">
        <v>5</v>
      </c>
      <c r="C82" s="18"/>
      <c r="D82" s="19" t="s">
        <v>1568</v>
      </c>
      <c r="E82" s="19"/>
      <c r="F82" s="19"/>
      <c r="G82" s="20">
        <v>19</v>
      </c>
      <c r="H82" s="19"/>
      <c r="I82" s="19"/>
      <c r="J82" s="19"/>
    </row>
    <row r="83" spans="1:14" x14ac:dyDescent="0.25">
      <c r="A83" t="s">
        <v>15</v>
      </c>
      <c r="B83" s="2">
        <v>5</v>
      </c>
      <c r="C83" s="3">
        <f>34403.3-345.8</f>
        <v>34057.5</v>
      </c>
      <c r="D83" t="s">
        <v>1730</v>
      </c>
      <c r="E83" t="s">
        <v>1727</v>
      </c>
      <c r="F83" t="s">
        <v>23</v>
      </c>
      <c r="G83" s="3">
        <v>19</v>
      </c>
      <c r="J83" s="7">
        <v>43158</v>
      </c>
      <c r="K83" s="5" t="s">
        <v>5</v>
      </c>
      <c r="L83" s="5" t="s">
        <v>1773</v>
      </c>
      <c r="M83" s="5"/>
      <c r="N83" s="15" t="s">
        <v>1772</v>
      </c>
    </row>
    <row r="84" spans="1:14" x14ac:dyDescent="0.25">
      <c r="A84" t="s">
        <v>15</v>
      </c>
      <c r="B84" s="2">
        <v>5</v>
      </c>
      <c r="C84" s="3">
        <f>680580+15080</f>
        <v>695660</v>
      </c>
      <c r="D84" t="s">
        <v>1675</v>
      </c>
      <c r="E84" t="s">
        <v>1669</v>
      </c>
      <c r="F84" t="s">
        <v>26</v>
      </c>
    </row>
    <row r="85" spans="1:14" x14ac:dyDescent="0.25">
      <c r="A85" t="s">
        <v>15</v>
      </c>
      <c r="B85" s="2">
        <v>5</v>
      </c>
      <c r="C85" s="3">
        <f>690555+15080</f>
        <v>705635</v>
      </c>
      <c r="D85" t="s">
        <v>1686</v>
      </c>
      <c r="E85" t="s">
        <v>1672</v>
      </c>
      <c r="F85" t="s">
        <v>26</v>
      </c>
    </row>
    <row r="86" spans="1:14" x14ac:dyDescent="0.25">
      <c r="A86" t="s">
        <v>15</v>
      </c>
      <c r="B86" s="2">
        <v>5</v>
      </c>
      <c r="C86" s="3">
        <f>674167.5+15080</f>
        <v>689247.5</v>
      </c>
      <c r="D86" t="s">
        <v>1731</v>
      </c>
      <c r="E86" t="s">
        <v>1692</v>
      </c>
      <c r="F86" t="s">
        <v>26</v>
      </c>
    </row>
    <row r="87" spans="1:14" x14ac:dyDescent="0.25">
      <c r="A87" t="s">
        <v>34</v>
      </c>
      <c r="B87" s="2">
        <v>6</v>
      </c>
      <c r="C87" s="3">
        <f>684000+15080</f>
        <v>699080</v>
      </c>
      <c r="D87" t="s">
        <v>1732</v>
      </c>
      <c r="E87" t="s">
        <v>1698</v>
      </c>
      <c r="F87" t="s">
        <v>26</v>
      </c>
    </row>
    <row r="88" spans="1:14" x14ac:dyDescent="0.25">
      <c r="A88" t="s">
        <v>44</v>
      </c>
      <c r="B88" s="2">
        <v>7</v>
      </c>
      <c r="C88" s="3">
        <f>652650+15080</f>
        <v>667730</v>
      </c>
      <c r="D88" t="s">
        <v>1733</v>
      </c>
      <c r="E88" t="s">
        <v>1713</v>
      </c>
      <c r="F88" t="s">
        <v>26</v>
      </c>
    </row>
    <row r="89" spans="1:14" x14ac:dyDescent="0.25">
      <c r="A89" t="s">
        <v>44</v>
      </c>
      <c r="B89" s="2">
        <v>7</v>
      </c>
      <c r="C89" s="3">
        <f>467257.5+9802</f>
        <v>477059.5</v>
      </c>
      <c r="D89" t="s">
        <v>1734</v>
      </c>
      <c r="E89" t="s">
        <v>1712</v>
      </c>
      <c r="F89" t="s">
        <v>26</v>
      </c>
    </row>
    <row r="90" spans="1:14" x14ac:dyDescent="0.25">
      <c r="A90" t="s">
        <v>44</v>
      </c>
      <c r="B90" s="2">
        <v>7</v>
      </c>
      <c r="C90" s="3">
        <f>29517.53*G90</f>
        <v>560833.06999999995</v>
      </c>
      <c r="D90" t="s">
        <v>1739</v>
      </c>
      <c r="E90" t="s">
        <v>1740</v>
      </c>
      <c r="F90" t="s">
        <v>1741</v>
      </c>
      <c r="G90" s="20">
        <v>19</v>
      </c>
    </row>
    <row r="91" spans="1:14" x14ac:dyDescent="0.25">
      <c r="A91" t="s">
        <v>50</v>
      </c>
      <c r="B91" s="2">
        <v>8</v>
      </c>
      <c r="C91" s="3">
        <f>780330+18699.2</f>
        <v>799029.2</v>
      </c>
      <c r="D91" t="s">
        <v>1735</v>
      </c>
      <c r="E91" t="s">
        <v>1714</v>
      </c>
      <c r="F91" t="s">
        <v>26</v>
      </c>
    </row>
    <row r="92" spans="1:14" x14ac:dyDescent="0.25">
      <c r="A92" t="s">
        <v>50</v>
      </c>
      <c r="B92" s="2">
        <v>8</v>
      </c>
      <c r="C92" s="3">
        <f>399570+9802</f>
        <v>409372</v>
      </c>
      <c r="D92" t="s">
        <v>1736</v>
      </c>
      <c r="E92" t="s">
        <v>1715</v>
      </c>
      <c r="F92" t="s">
        <v>26</v>
      </c>
    </row>
    <row r="93" spans="1:14" x14ac:dyDescent="0.25">
      <c r="A93" t="s">
        <v>1</v>
      </c>
      <c r="B93" s="2">
        <v>9</v>
      </c>
      <c r="C93" s="3">
        <f>29990.54*G93</f>
        <v>569820.26</v>
      </c>
      <c r="D93" t="s">
        <v>1753</v>
      </c>
      <c r="E93" t="s">
        <v>1754</v>
      </c>
      <c r="F93" t="s">
        <v>1755</v>
      </c>
      <c r="G93" s="20">
        <v>19</v>
      </c>
    </row>
    <row r="94" spans="1:14" x14ac:dyDescent="0.25">
      <c r="A94" s="14" t="s">
        <v>13</v>
      </c>
      <c r="B94" s="2">
        <v>10</v>
      </c>
      <c r="C94" s="3"/>
    </row>
    <row r="95" spans="1:14" x14ac:dyDescent="0.25">
      <c r="A95" s="14" t="s">
        <v>14</v>
      </c>
      <c r="B95" s="2">
        <v>11</v>
      </c>
      <c r="C95" s="3"/>
    </row>
    <row r="96" spans="1:14" x14ac:dyDescent="0.25">
      <c r="A96" t="s">
        <v>15</v>
      </c>
      <c r="B96" s="2">
        <v>12</v>
      </c>
      <c r="C96" s="3"/>
    </row>
    <row r="97" spans="1:6" x14ac:dyDescent="0.25">
      <c r="A97" t="s">
        <v>15</v>
      </c>
      <c r="B97" s="2">
        <v>12</v>
      </c>
      <c r="C97" s="3">
        <f>772920+18850</f>
        <v>791770</v>
      </c>
      <c r="D97" t="s">
        <v>1756</v>
      </c>
      <c r="E97" t="s">
        <v>1757</v>
      </c>
      <c r="F97" t="s">
        <v>26</v>
      </c>
    </row>
    <row r="98" spans="1:6" x14ac:dyDescent="0.25">
      <c r="A98" t="s">
        <v>15</v>
      </c>
      <c r="B98" s="2">
        <v>12</v>
      </c>
      <c r="C98" s="3">
        <f>35340+754</f>
        <v>36094</v>
      </c>
      <c r="D98" t="s">
        <v>1759</v>
      </c>
      <c r="E98" t="s">
        <v>1758</v>
      </c>
      <c r="F98" t="s">
        <v>26</v>
      </c>
    </row>
    <row r="99" spans="1:6" x14ac:dyDescent="0.25">
      <c r="A99" t="s">
        <v>15</v>
      </c>
      <c r="B99" s="2">
        <v>12</v>
      </c>
      <c r="C99" s="3">
        <f>675735+15004.6</f>
        <v>690739.6</v>
      </c>
      <c r="D99" t="s">
        <v>1760</v>
      </c>
      <c r="E99" t="s">
        <v>1751</v>
      </c>
      <c r="F99" t="s">
        <v>26</v>
      </c>
    </row>
    <row r="100" spans="1:6" x14ac:dyDescent="0.25">
      <c r="A100" t="s">
        <v>15</v>
      </c>
      <c r="B100" s="2">
        <v>12</v>
      </c>
      <c r="C100" s="3">
        <f>704235+15080</f>
        <v>719315</v>
      </c>
      <c r="D100" t="s">
        <v>1776</v>
      </c>
      <c r="E100" t="s">
        <v>1766</v>
      </c>
      <c r="F100" t="s">
        <v>26</v>
      </c>
    </row>
    <row r="101" spans="1:6" x14ac:dyDescent="0.25">
      <c r="A101" t="s">
        <v>34</v>
      </c>
      <c r="B101" s="2">
        <v>13</v>
      </c>
      <c r="C101" s="3">
        <f>659205+14929.2</f>
        <v>674134.2</v>
      </c>
      <c r="D101" t="s">
        <v>1780</v>
      </c>
      <c r="E101" t="s">
        <v>1781</v>
      </c>
      <c r="F101" t="s">
        <v>26</v>
      </c>
    </row>
    <row r="102" spans="1:6" x14ac:dyDescent="0.25">
      <c r="A102" t="s">
        <v>44</v>
      </c>
      <c r="B102" s="2">
        <v>14</v>
      </c>
      <c r="C102" s="3"/>
    </row>
    <row r="103" spans="1:6" x14ac:dyDescent="0.25">
      <c r="A103" t="s">
        <v>50</v>
      </c>
      <c r="B103" s="2">
        <v>15</v>
      </c>
      <c r="C103" s="3"/>
    </row>
    <row r="104" spans="1:6" x14ac:dyDescent="0.25">
      <c r="A104" t="s">
        <v>1</v>
      </c>
      <c r="B104" s="2">
        <v>16</v>
      </c>
      <c r="C104" s="3"/>
    </row>
    <row r="105" spans="1:6" x14ac:dyDescent="0.25">
      <c r="A105" s="14" t="s">
        <v>13</v>
      </c>
      <c r="B105" s="2">
        <v>17</v>
      </c>
      <c r="C105" s="3"/>
    </row>
    <row r="106" spans="1:6" x14ac:dyDescent="0.25">
      <c r="A106" s="14" t="s">
        <v>14</v>
      </c>
      <c r="B106" s="2">
        <v>18</v>
      </c>
      <c r="C106" s="3"/>
    </row>
    <row r="123" spans="1:10" x14ac:dyDescent="0.25">
      <c r="A123" t="s">
        <v>2116</v>
      </c>
    </row>
    <row r="124" spans="1:10" x14ac:dyDescent="0.25">
      <c r="A124" s="16" t="s">
        <v>34</v>
      </c>
      <c r="B124" s="2">
        <v>20</v>
      </c>
      <c r="C124" s="3">
        <v>70769.240000000005</v>
      </c>
      <c r="D124" t="s">
        <v>2087</v>
      </c>
      <c r="E124" t="s">
        <v>2086</v>
      </c>
      <c r="F124" t="s">
        <v>23</v>
      </c>
      <c r="G124">
        <v>19.3</v>
      </c>
    </row>
    <row r="125" spans="1:10" x14ac:dyDescent="0.25">
      <c r="A125" t="s">
        <v>44</v>
      </c>
      <c r="B125" s="2">
        <v>21</v>
      </c>
      <c r="C125" s="9">
        <f>20000*G125</f>
        <v>376400</v>
      </c>
      <c r="D125" s="10" t="s">
        <v>1853</v>
      </c>
      <c r="E125" s="10" t="s">
        <v>2059</v>
      </c>
      <c r="F125" s="10" t="s">
        <v>191</v>
      </c>
      <c r="G125" s="9">
        <v>18.82</v>
      </c>
      <c r="H125" s="10">
        <v>28</v>
      </c>
      <c r="I125" s="12">
        <v>43180</v>
      </c>
      <c r="J125" s="10" t="s">
        <v>5</v>
      </c>
    </row>
    <row r="126" spans="1:10" x14ac:dyDescent="0.25">
      <c r="A126" t="s">
        <v>44</v>
      </c>
      <c r="B126" s="2">
        <v>21</v>
      </c>
      <c r="C126" s="4">
        <f>675735+16472</f>
        <v>692207</v>
      </c>
      <c r="D126" s="5" t="s">
        <v>1922</v>
      </c>
      <c r="E126" s="5" t="s">
        <v>1910</v>
      </c>
      <c r="F126" s="5" t="s">
        <v>26</v>
      </c>
      <c r="G126" s="7">
        <v>46838</v>
      </c>
      <c r="H126" s="5" t="s">
        <v>27</v>
      </c>
    </row>
    <row r="127" spans="1:10" x14ac:dyDescent="0.25">
      <c r="A127" t="s">
        <v>44</v>
      </c>
      <c r="B127" s="2">
        <v>21</v>
      </c>
      <c r="C127" s="4">
        <f>417667.5+10706.8</f>
        <v>428374.3</v>
      </c>
      <c r="D127" s="5" t="s">
        <v>1923</v>
      </c>
      <c r="E127" s="5" t="s">
        <v>1911</v>
      </c>
      <c r="F127" s="5" t="s">
        <v>26</v>
      </c>
      <c r="G127" s="7">
        <v>43186</v>
      </c>
      <c r="H127" s="5" t="s">
        <v>27</v>
      </c>
    </row>
    <row r="128" spans="1:10" x14ac:dyDescent="0.25">
      <c r="A128" t="s">
        <v>50</v>
      </c>
      <c r="B128" s="2">
        <v>22</v>
      </c>
      <c r="C128" s="9">
        <f>20000*G128</f>
        <v>372780</v>
      </c>
      <c r="D128" s="10" t="s">
        <v>1854</v>
      </c>
      <c r="E128" s="10" t="s">
        <v>2065</v>
      </c>
      <c r="F128" s="10" t="s">
        <v>191</v>
      </c>
      <c r="G128" s="11">
        <v>18.638999999999999</v>
      </c>
      <c r="H128" s="10">
        <v>27.84</v>
      </c>
      <c r="I128" s="12">
        <v>43181</v>
      </c>
      <c r="J128" s="10" t="s">
        <v>5</v>
      </c>
    </row>
    <row r="129" spans="1:10" x14ac:dyDescent="0.25">
      <c r="A129" t="s">
        <v>50</v>
      </c>
      <c r="B129" s="2">
        <v>22</v>
      </c>
      <c r="C129" s="9">
        <f>20000*G129</f>
        <v>372780</v>
      </c>
      <c r="D129" s="10" t="s">
        <v>1855</v>
      </c>
      <c r="E129" s="10" t="s">
        <v>2066</v>
      </c>
      <c r="F129" s="10" t="s">
        <v>191</v>
      </c>
      <c r="G129" s="11">
        <v>18.638999999999999</v>
      </c>
      <c r="H129" s="10">
        <v>27.84</v>
      </c>
      <c r="I129" s="12">
        <v>43181</v>
      </c>
      <c r="J129" s="10" t="s">
        <v>5</v>
      </c>
    </row>
    <row r="130" spans="1:10" x14ac:dyDescent="0.25">
      <c r="A130" t="s">
        <v>50</v>
      </c>
      <c r="B130" s="2">
        <v>22</v>
      </c>
      <c r="C130" s="4">
        <f>644812.5+16389.64</f>
        <v>661202.14</v>
      </c>
      <c r="D130" s="5" t="s">
        <v>1924</v>
      </c>
      <c r="E130" s="5" t="s">
        <v>1912</v>
      </c>
      <c r="F130" s="5" t="s">
        <v>26</v>
      </c>
      <c r="G130" s="7">
        <v>43187</v>
      </c>
      <c r="H130" s="5" t="s">
        <v>27</v>
      </c>
    </row>
    <row r="131" spans="1:10" x14ac:dyDescent="0.25">
      <c r="A131" s="16" t="s">
        <v>50</v>
      </c>
      <c r="B131" s="2">
        <v>22</v>
      </c>
      <c r="C131" s="3">
        <f>430350+10706.8</f>
        <v>441056.8</v>
      </c>
      <c r="D131" t="s">
        <v>1925</v>
      </c>
      <c r="E131" t="s">
        <v>1913</v>
      </c>
      <c r="F131" t="s">
        <v>26</v>
      </c>
      <c r="H131" s="5" t="s">
        <v>27</v>
      </c>
    </row>
    <row r="132" spans="1:10" x14ac:dyDescent="0.25">
      <c r="A132" t="s">
        <v>2084</v>
      </c>
      <c r="B132" s="2">
        <v>23</v>
      </c>
      <c r="C132" s="3">
        <v>34008.1</v>
      </c>
      <c r="D132" t="s">
        <v>2085</v>
      </c>
      <c r="E132" t="s">
        <v>2083</v>
      </c>
      <c r="F132" t="s">
        <v>23</v>
      </c>
      <c r="G132">
        <v>19</v>
      </c>
    </row>
    <row r="133" spans="1:10" x14ac:dyDescent="0.25">
      <c r="A133" t="s">
        <v>1</v>
      </c>
      <c r="B133" s="2">
        <v>23</v>
      </c>
      <c r="C133" s="4">
        <f>28205.36*G133</f>
        <v>520896.58848000003</v>
      </c>
      <c r="D133" s="5" t="s">
        <v>1986</v>
      </c>
      <c r="E133" s="5" t="s">
        <v>1966</v>
      </c>
      <c r="F133" s="5" t="s">
        <v>1967</v>
      </c>
      <c r="G133" s="6">
        <v>18.468</v>
      </c>
      <c r="H133" s="5">
        <v>30.16</v>
      </c>
      <c r="I133" s="7">
        <v>43182</v>
      </c>
      <c r="J133" s="5" t="s">
        <v>5</v>
      </c>
    </row>
    <row r="134" spans="1:10" x14ac:dyDescent="0.25">
      <c r="A134" s="14" t="s">
        <v>13</v>
      </c>
      <c r="B134" s="2">
        <v>24</v>
      </c>
      <c r="C134" s="3"/>
    </row>
    <row r="135" spans="1:10" x14ac:dyDescent="0.25">
      <c r="A135" s="14" t="s">
        <v>14</v>
      </c>
      <c r="B135" s="2">
        <v>25</v>
      </c>
      <c r="C135" s="3"/>
    </row>
    <row r="136" spans="1:10" x14ac:dyDescent="0.25">
      <c r="A136" t="s">
        <v>15</v>
      </c>
      <c r="B136" s="2">
        <v>26</v>
      </c>
      <c r="C136" s="9">
        <f>26001.69*G136</f>
        <v>479991.1974</v>
      </c>
      <c r="D136" s="10" t="s">
        <v>1852</v>
      </c>
      <c r="E136" s="10" t="s">
        <v>2046</v>
      </c>
      <c r="F136" s="10" t="s">
        <v>2047</v>
      </c>
      <c r="G136" s="9">
        <v>18.46</v>
      </c>
      <c r="H136" s="10">
        <v>29.86</v>
      </c>
      <c r="I136" s="12">
        <v>43185</v>
      </c>
      <c r="J136" s="10" t="s">
        <v>5</v>
      </c>
    </row>
    <row r="137" spans="1:10" x14ac:dyDescent="0.25">
      <c r="A137" t="s">
        <v>15</v>
      </c>
      <c r="B137" s="2">
        <v>26</v>
      </c>
      <c r="C137" s="4">
        <f>28603.46*G137</f>
        <v>530079.32071999996</v>
      </c>
      <c r="D137" s="5" t="s">
        <v>1968</v>
      </c>
      <c r="E137" s="5" t="s">
        <v>1969</v>
      </c>
      <c r="F137" s="5" t="s">
        <v>1970</v>
      </c>
      <c r="G137" s="6">
        <v>18.532</v>
      </c>
      <c r="H137" s="5">
        <v>30.24</v>
      </c>
      <c r="I137" s="7">
        <v>43185</v>
      </c>
      <c r="J137" s="5" t="s">
        <v>5</v>
      </c>
    </row>
    <row r="138" spans="1:10" x14ac:dyDescent="0.25">
      <c r="A138" t="s">
        <v>15</v>
      </c>
      <c r="B138" s="2">
        <v>26</v>
      </c>
      <c r="C138" s="4">
        <v>868836.78</v>
      </c>
      <c r="D138" s="5" t="s">
        <v>2049</v>
      </c>
      <c r="E138" s="5" t="s">
        <v>2056</v>
      </c>
      <c r="F138" s="5" t="s">
        <v>1468</v>
      </c>
      <c r="G138" s="7">
        <v>43185</v>
      </c>
      <c r="H138" s="5" t="s">
        <v>27</v>
      </c>
      <c r="I138" s="17"/>
    </row>
    <row r="139" spans="1:10" x14ac:dyDescent="0.25">
      <c r="A139" t="s">
        <v>15</v>
      </c>
      <c r="B139" s="2">
        <v>26</v>
      </c>
      <c r="C139" s="3">
        <f>796290+20590</f>
        <v>816880</v>
      </c>
      <c r="D139" t="s">
        <v>1992</v>
      </c>
      <c r="E139" t="s">
        <v>1993</v>
      </c>
      <c r="F139" t="s">
        <v>26</v>
      </c>
      <c r="G139" s="17"/>
    </row>
    <row r="140" spans="1:10" x14ac:dyDescent="0.25">
      <c r="A140" t="s">
        <v>15</v>
      </c>
      <c r="B140" s="2">
        <v>26</v>
      </c>
      <c r="C140" s="3">
        <f>31777.5+823.6</f>
        <v>32601.1</v>
      </c>
      <c r="D140" t="s">
        <v>1995</v>
      </c>
      <c r="E140" t="s">
        <v>1994</v>
      </c>
      <c r="F140" t="s">
        <v>26</v>
      </c>
      <c r="G140" s="17"/>
    </row>
    <row r="141" spans="1:10" x14ac:dyDescent="0.25">
      <c r="A141" t="s">
        <v>15</v>
      </c>
      <c r="B141" s="2">
        <v>26</v>
      </c>
      <c r="C141" s="3">
        <f>621585+16472</f>
        <v>638057</v>
      </c>
      <c r="D141" t="s">
        <v>2002</v>
      </c>
      <c r="E141" t="s">
        <v>1944</v>
      </c>
      <c r="F141" t="s">
        <v>26</v>
      </c>
      <c r="G141" s="17"/>
    </row>
    <row r="142" spans="1:10" x14ac:dyDescent="0.25">
      <c r="A142" t="s">
        <v>15</v>
      </c>
      <c r="B142" s="2">
        <v>26</v>
      </c>
      <c r="C142" s="3">
        <f>657352.5+16389.64</f>
        <v>673742.14</v>
      </c>
      <c r="D142" t="s">
        <v>2003</v>
      </c>
      <c r="E142" t="s">
        <v>1946</v>
      </c>
      <c r="F142" t="s">
        <v>26</v>
      </c>
    </row>
    <row r="143" spans="1:10" x14ac:dyDescent="0.25">
      <c r="A143" t="s">
        <v>34</v>
      </c>
      <c r="B143" s="2">
        <v>27</v>
      </c>
      <c r="C143" s="4">
        <v>694386</v>
      </c>
      <c r="D143" s="5" t="s">
        <v>2050</v>
      </c>
      <c r="E143" s="5" t="s">
        <v>2058</v>
      </c>
      <c r="F143" s="5" t="s">
        <v>1468</v>
      </c>
      <c r="G143" s="7">
        <v>43186</v>
      </c>
      <c r="H143" s="5" t="s">
        <v>27</v>
      </c>
    </row>
    <row r="144" spans="1:10" x14ac:dyDescent="0.25">
      <c r="A144" t="s">
        <v>34</v>
      </c>
      <c r="B144" s="2">
        <v>27</v>
      </c>
      <c r="C144" s="9">
        <f>25000*G144</f>
        <v>477500.00000000006</v>
      </c>
      <c r="D144" s="10" t="s">
        <v>1856</v>
      </c>
      <c r="E144" s="10"/>
      <c r="F144" s="10" t="s">
        <v>111</v>
      </c>
      <c r="G144" s="9">
        <v>19.100000000000001</v>
      </c>
      <c r="H144" s="10"/>
      <c r="I144" s="12">
        <v>43186</v>
      </c>
      <c r="J144" s="10" t="s">
        <v>5</v>
      </c>
    </row>
    <row r="145" spans="1:10" x14ac:dyDescent="0.25">
      <c r="A145" t="s">
        <v>34</v>
      </c>
      <c r="B145" s="2">
        <v>27</v>
      </c>
      <c r="C145" s="9">
        <f>25000*G145</f>
        <v>477500.00000000006</v>
      </c>
      <c r="D145" s="10" t="s">
        <v>1858</v>
      </c>
      <c r="E145" s="10"/>
      <c r="F145" s="10" t="s">
        <v>111</v>
      </c>
      <c r="G145" s="9">
        <v>19.100000000000001</v>
      </c>
      <c r="H145" s="10"/>
      <c r="I145" s="12">
        <v>43186</v>
      </c>
      <c r="J145" s="10" t="s">
        <v>5</v>
      </c>
    </row>
    <row r="146" spans="1:10" x14ac:dyDescent="0.25">
      <c r="A146" t="s">
        <v>34</v>
      </c>
      <c r="B146" s="2">
        <v>27</v>
      </c>
      <c r="C146" s="3">
        <f>608047.5+16389.64</f>
        <v>624437.14</v>
      </c>
      <c r="D146" t="s">
        <v>2004</v>
      </c>
      <c r="E146" t="s">
        <v>2005</v>
      </c>
      <c r="F146" t="s">
        <v>26</v>
      </c>
      <c r="G146" s="3"/>
    </row>
    <row r="147" spans="1:10" x14ac:dyDescent="0.25">
      <c r="A147" s="106" t="s">
        <v>34</v>
      </c>
      <c r="B147" s="2">
        <v>27</v>
      </c>
      <c r="C147" s="3">
        <v>470869.8</v>
      </c>
      <c r="D147" t="s">
        <v>2078</v>
      </c>
      <c r="E147" s="14"/>
      <c r="F147" t="s">
        <v>1724</v>
      </c>
      <c r="G147" s="3">
        <v>92</v>
      </c>
    </row>
    <row r="148" spans="1:10" x14ac:dyDescent="0.25">
      <c r="A148" s="106" t="s">
        <v>34</v>
      </c>
      <c r="B148" s="2">
        <v>27</v>
      </c>
      <c r="C148" s="3">
        <v>35093</v>
      </c>
      <c r="D148" t="s">
        <v>2089</v>
      </c>
      <c r="E148" t="s">
        <v>2088</v>
      </c>
      <c r="F148" t="s">
        <v>23</v>
      </c>
      <c r="G148" s="3">
        <v>19</v>
      </c>
    </row>
    <row r="149" spans="1:10" x14ac:dyDescent="0.25">
      <c r="A149" t="s">
        <v>44</v>
      </c>
      <c r="B149" s="2">
        <v>28</v>
      </c>
      <c r="C149" s="4">
        <v>779814</v>
      </c>
      <c r="D149" s="5" t="s">
        <v>2051</v>
      </c>
      <c r="E149" s="5" t="s">
        <v>2067</v>
      </c>
      <c r="F149" s="5" t="s">
        <v>1468</v>
      </c>
      <c r="G149" s="143">
        <v>43187</v>
      </c>
      <c r="H149" s="5" t="s">
        <v>27</v>
      </c>
    </row>
    <row r="150" spans="1:10" x14ac:dyDescent="0.25">
      <c r="A150" t="s">
        <v>44</v>
      </c>
      <c r="B150" s="2">
        <v>28</v>
      </c>
      <c r="C150" s="9">
        <f>26000*G150</f>
        <v>479960</v>
      </c>
      <c r="D150" s="10" t="s">
        <v>1857</v>
      </c>
      <c r="E150" s="10"/>
      <c r="F150" s="10" t="s">
        <v>2045</v>
      </c>
      <c r="G150" s="9">
        <v>18.46</v>
      </c>
      <c r="H150" s="10"/>
      <c r="I150" s="12">
        <v>43187</v>
      </c>
      <c r="J150" s="10" t="s">
        <v>5</v>
      </c>
    </row>
    <row r="151" spans="1:10" x14ac:dyDescent="0.25">
      <c r="A151" t="s">
        <v>44</v>
      </c>
      <c r="B151" s="2">
        <v>28</v>
      </c>
      <c r="C151" s="9">
        <f>26000*G151</f>
        <v>479960</v>
      </c>
      <c r="D151" s="10" t="s">
        <v>1859</v>
      </c>
      <c r="E151" s="10"/>
      <c r="F151" s="10" t="s">
        <v>2045</v>
      </c>
      <c r="G151" s="9">
        <v>18.46</v>
      </c>
      <c r="H151" s="10"/>
      <c r="I151" s="12">
        <v>43187</v>
      </c>
      <c r="J151" s="10" t="s">
        <v>5</v>
      </c>
    </row>
    <row r="152" spans="1:10" x14ac:dyDescent="0.25">
      <c r="A152" t="s">
        <v>44</v>
      </c>
      <c r="B152" s="2">
        <v>28</v>
      </c>
      <c r="C152" s="4">
        <f>27988.26*G152</f>
        <v>516663.27960000001</v>
      </c>
      <c r="D152" s="5" t="s">
        <v>1971</v>
      </c>
      <c r="E152" s="5" t="s">
        <v>1972</v>
      </c>
      <c r="F152" s="5" t="s">
        <v>1973</v>
      </c>
      <c r="G152" s="4">
        <v>18.46</v>
      </c>
      <c r="H152" s="5">
        <v>29.69</v>
      </c>
      <c r="I152" s="7">
        <v>43187</v>
      </c>
      <c r="J152" s="5" t="s">
        <v>5</v>
      </c>
    </row>
    <row r="153" spans="1:10" x14ac:dyDescent="0.25">
      <c r="A153" t="s">
        <v>44</v>
      </c>
      <c r="B153" s="2">
        <v>28</v>
      </c>
      <c r="C153" s="3">
        <f>403275+10706.8</f>
        <v>413981.8</v>
      </c>
      <c r="D153" t="s">
        <v>2006</v>
      </c>
      <c r="E153" t="s">
        <v>1956</v>
      </c>
      <c r="F153" t="s">
        <v>26</v>
      </c>
      <c r="G153" s="3"/>
    </row>
    <row r="154" spans="1:10" x14ac:dyDescent="0.25">
      <c r="A154" t="s">
        <v>44</v>
      </c>
      <c r="B154" s="2">
        <v>28</v>
      </c>
      <c r="C154" s="3">
        <f>656212.5+16389.64</f>
        <v>672602.14</v>
      </c>
      <c r="D154" t="s">
        <v>2007</v>
      </c>
      <c r="E154" t="s">
        <v>1955</v>
      </c>
      <c r="F154" t="s">
        <v>26</v>
      </c>
      <c r="G154" s="3"/>
    </row>
    <row r="155" spans="1:10" x14ac:dyDescent="0.25">
      <c r="A155" t="s">
        <v>50</v>
      </c>
      <c r="B155" s="2">
        <v>29</v>
      </c>
      <c r="C155" s="3">
        <f>604485+16472</f>
        <v>620957</v>
      </c>
      <c r="D155" t="s">
        <v>2008</v>
      </c>
      <c r="E155" t="s">
        <v>1974</v>
      </c>
      <c r="F155" t="s">
        <v>26</v>
      </c>
    </row>
    <row r="156" spans="1:10" x14ac:dyDescent="0.25">
      <c r="A156" t="s">
        <v>50</v>
      </c>
      <c r="B156" s="2">
        <v>29</v>
      </c>
      <c r="C156" s="3">
        <f>451155+10706.8</f>
        <v>461861.8</v>
      </c>
      <c r="D156" t="s">
        <v>2009</v>
      </c>
      <c r="E156" t="s">
        <v>1975</v>
      </c>
      <c r="F156" t="s">
        <v>26</v>
      </c>
    </row>
    <row r="157" spans="1:10" x14ac:dyDescent="0.25">
      <c r="A157" t="s">
        <v>1</v>
      </c>
      <c r="B157" s="2">
        <v>30</v>
      </c>
      <c r="C157" s="3"/>
    </row>
    <row r="158" spans="1:10" x14ac:dyDescent="0.25">
      <c r="A158" s="14" t="s">
        <v>13</v>
      </c>
      <c r="B158" s="2">
        <v>31</v>
      </c>
      <c r="C158" s="3"/>
    </row>
    <row r="159" spans="1:10" x14ac:dyDescent="0.25">
      <c r="A159" s="1" t="s">
        <v>1997</v>
      </c>
      <c r="C159" s="3"/>
    </row>
    <row r="160" spans="1:10" x14ac:dyDescent="0.25">
      <c r="A160" s="14" t="s">
        <v>14</v>
      </c>
      <c r="B160" s="2">
        <v>1</v>
      </c>
      <c r="C160" s="3"/>
    </row>
    <row r="161" spans="1:9" x14ac:dyDescent="0.25">
      <c r="A161" t="s">
        <v>15</v>
      </c>
      <c r="B161" s="2">
        <v>2</v>
      </c>
      <c r="C161" s="3"/>
    </row>
    <row r="162" spans="1:9" x14ac:dyDescent="0.25">
      <c r="A162" t="s">
        <v>15</v>
      </c>
      <c r="B162" s="2">
        <v>2</v>
      </c>
      <c r="C162" s="3"/>
    </row>
    <row r="163" spans="1:9" x14ac:dyDescent="0.25">
      <c r="A163" t="s">
        <v>15</v>
      </c>
      <c r="B163" s="2">
        <v>2</v>
      </c>
      <c r="C163" s="3">
        <f>786030+20590</f>
        <v>806620</v>
      </c>
      <c r="D163" t="s">
        <v>2031</v>
      </c>
      <c r="E163" t="s">
        <v>2032</v>
      </c>
      <c r="F163" t="s">
        <v>26</v>
      </c>
    </row>
    <row r="164" spans="1:9" x14ac:dyDescent="0.25">
      <c r="A164" t="s">
        <v>15</v>
      </c>
      <c r="B164" s="2">
        <v>2</v>
      </c>
      <c r="C164" s="3">
        <f>30637.5+823.6</f>
        <v>31461.1</v>
      </c>
      <c r="D164" t="s">
        <v>2034</v>
      </c>
      <c r="E164" t="s">
        <v>2033</v>
      </c>
      <c r="F164" t="s">
        <v>26</v>
      </c>
    </row>
    <row r="165" spans="1:9" x14ac:dyDescent="0.25">
      <c r="A165" t="s">
        <v>15</v>
      </c>
      <c r="B165" s="2">
        <v>2</v>
      </c>
      <c r="C165" s="3">
        <f>577410+16389.64</f>
        <v>593799.64</v>
      </c>
      <c r="D165" t="s">
        <v>2035</v>
      </c>
      <c r="E165" t="s">
        <v>1982</v>
      </c>
      <c r="F165" t="s">
        <v>26</v>
      </c>
    </row>
    <row r="166" spans="1:9" x14ac:dyDescent="0.25">
      <c r="A166" t="s">
        <v>15</v>
      </c>
      <c r="B166" s="2">
        <v>2</v>
      </c>
      <c r="C166" s="3">
        <f>682290+16472</f>
        <v>698762</v>
      </c>
      <c r="D166" t="s">
        <v>2036</v>
      </c>
      <c r="E166" t="s">
        <v>1985</v>
      </c>
      <c r="F166" t="s">
        <v>26</v>
      </c>
    </row>
    <row r="167" spans="1:9" x14ac:dyDescent="0.25">
      <c r="A167" t="s">
        <v>34</v>
      </c>
      <c r="B167" s="2">
        <v>3</v>
      </c>
      <c r="C167" s="3">
        <v>52449.5</v>
      </c>
      <c r="D167" t="s">
        <v>2094</v>
      </c>
      <c r="E167" t="s">
        <v>2093</v>
      </c>
      <c r="F167" t="s">
        <v>23</v>
      </c>
      <c r="G167">
        <v>19</v>
      </c>
    </row>
    <row r="168" spans="1:9" x14ac:dyDescent="0.25">
      <c r="A168" t="s">
        <v>34</v>
      </c>
      <c r="B168" s="2">
        <v>3</v>
      </c>
      <c r="C168" s="3">
        <f>26156.96*G168</f>
        <v>479457.07679999992</v>
      </c>
      <c r="D168" t="s">
        <v>1998</v>
      </c>
      <c r="E168" t="s">
        <v>1999</v>
      </c>
      <c r="F168" t="s">
        <v>2000</v>
      </c>
      <c r="G168" s="4">
        <v>18.329999999999998</v>
      </c>
      <c r="H168" s="5">
        <v>27.56</v>
      </c>
      <c r="I168" s="7">
        <v>43193</v>
      </c>
    </row>
    <row r="169" spans="1:9" x14ac:dyDescent="0.25">
      <c r="A169" t="s">
        <v>34</v>
      </c>
      <c r="B169" s="2">
        <v>3</v>
      </c>
      <c r="C169" s="3">
        <f>622297.5+16307.28</f>
        <v>638604.78</v>
      </c>
      <c r="D169" t="s">
        <v>2037</v>
      </c>
      <c r="E169" t="s">
        <v>1996</v>
      </c>
      <c r="F169" t="s">
        <v>26</v>
      </c>
      <c r="G169" s="3"/>
    </row>
    <row r="170" spans="1:9" x14ac:dyDescent="0.25">
      <c r="A170" t="s">
        <v>34</v>
      </c>
      <c r="B170" s="2">
        <v>3</v>
      </c>
      <c r="C170" s="3"/>
    </row>
    <row r="171" spans="1:9" x14ac:dyDescent="0.25">
      <c r="A171" t="s">
        <v>34</v>
      </c>
      <c r="B171" s="2">
        <v>3</v>
      </c>
      <c r="C171" s="3"/>
    </row>
    <row r="172" spans="1:9" x14ac:dyDescent="0.25">
      <c r="A172" t="s">
        <v>44</v>
      </c>
      <c r="B172" s="2">
        <v>4</v>
      </c>
      <c r="C172" s="3">
        <v>840909.3</v>
      </c>
      <c r="D172" t="s">
        <v>2081</v>
      </c>
      <c r="E172" s="14"/>
      <c r="F172" t="s">
        <v>2082</v>
      </c>
      <c r="G172">
        <v>88.5</v>
      </c>
    </row>
    <row r="173" spans="1:9" x14ac:dyDescent="0.25">
      <c r="A173" t="s">
        <v>44</v>
      </c>
      <c r="B173" s="2">
        <v>4</v>
      </c>
      <c r="C173" s="3">
        <v>34714.9</v>
      </c>
      <c r="D173" t="s">
        <v>2095</v>
      </c>
      <c r="E173" s="14"/>
      <c r="F173" t="s">
        <v>23</v>
      </c>
      <c r="G173">
        <v>19</v>
      </c>
    </row>
    <row r="174" spans="1:9" x14ac:dyDescent="0.25">
      <c r="A174" t="s">
        <v>44</v>
      </c>
      <c r="B174" s="2">
        <v>4</v>
      </c>
      <c r="C174" s="3">
        <f>608190+17295.6</f>
        <v>625485.6</v>
      </c>
      <c r="D174" t="s">
        <v>2096</v>
      </c>
      <c r="E174" t="s">
        <v>2029</v>
      </c>
      <c r="F174" t="s">
        <v>26</v>
      </c>
    </row>
    <row r="175" spans="1:9" x14ac:dyDescent="0.25">
      <c r="A175" t="s">
        <v>44</v>
      </c>
      <c r="B175" s="2">
        <v>4</v>
      </c>
      <c r="C175" s="3">
        <f>388740+9800.84</f>
        <v>398540.84</v>
      </c>
      <c r="D175" t="s">
        <v>2097</v>
      </c>
      <c r="E175" t="s">
        <v>2030</v>
      </c>
      <c r="F175" t="s">
        <v>26</v>
      </c>
    </row>
    <row r="176" spans="1:9" x14ac:dyDescent="0.25">
      <c r="A176" t="s">
        <v>44</v>
      </c>
      <c r="B176" s="160">
        <v>4</v>
      </c>
      <c r="C176" s="3"/>
      <c r="D176" t="s">
        <v>2052</v>
      </c>
    </row>
    <row r="177" spans="1:7" x14ac:dyDescent="0.25">
      <c r="A177" t="s">
        <v>50</v>
      </c>
      <c r="B177" s="2">
        <v>5</v>
      </c>
      <c r="C177" s="3">
        <f>635550+16472</f>
        <v>652022</v>
      </c>
      <c r="D177" t="s">
        <v>2098</v>
      </c>
      <c r="E177" t="s">
        <v>2038</v>
      </c>
      <c r="F177" t="s">
        <v>26</v>
      </c>
    </row>
    <row r="178" spans="1:7" x14ac:dyDescent="0.25">
      <c r="A178" t="s">
        <v>50</v>
      </c>
      <c r="B178" s="2">
        <v>5</v>
      </c>
      <c r="C178" s="3">
        <f>430635+10706.8</f>
        <v>441341.8</v>
      </c>
      <c r="D178" t="s">
        <v>2099</v>
      </c>
      <c r="E178" t="s">
        <v>2039</v>
      </c>
      <c r="F178" t="s">
        <v>26</v>
      </c>
    </row>
    <row r="179" spans="1:7" x14ac:dyDescent="0.25">
      <c r="A179" t="s">
        <v>1</v>
      </c>
      <c r="B179" s="160">
        <v>6</v>
      </c>
      <c r="C179" s="3"/>
      <c r="D179" t="s">
        <v>2053</v>
      </c>
    </row>
    <row r="180" spans="1:7" x14ac:dyDescent="0.25">
      <c r="A180" t="s">
        <v>1</v>
      </c>
      <c r="B180" s="2">
        <v>6</v>
      </c>
      <c r="C180" s="3">
        <f>25071.68*G180</f>
        <v>476361.92</v>
      </c>
      <c r="D180" t="s">
        <v>2101</v>
      </c>
      <c r="E180" t="s">
        <v>2102</v>
      </c>
      <c r="F180" t="s">
        <v>2103</v>
      </c>
      <c r="G180" s="20">
        <v>19</v>
      </c>
    </row>
    <row r="181" spans="1:7" x14ac:dyDescent="0.25">
      <c r="A181" t="s">
        <v>1</v>
      </c>
      <c r="B181" s="2">
        <v>6</v>
      </c>
      <c r="C181" s="3">
        <f>25252.11*G181</f>
        <v>479790.09</v>
      </c>
      <c r="D181" t="s">
        <v>2106</v>
      </c>
      <c r="E181" t="s">
        <v>2105</v>
      </c>
      <c r="F181" t="s">
        <v>2104</v>
      </c>
      <c r="G181" s="20">
        <v>19</v>
      </c>
    </row>
    <row r="182" spans="1:7" x14ac:dyDescent="0.25">
      <c r="A182" s="14" t="s">
        <v>13</v>
      </c>
      <c r="B182" s="2">
        <v>7</v>
      </c>
      <c r="C182" s="3"/>
    </row>
    <row r="183" spans="1:7" x14ac:dyDescent="0.25">
      <c r="A183" s="14" t="s">
        <v>14</v>
      </c>
      <c r="B183" s="2">
        <v>8</v>
      </c>
      <c r="C183" s="3"/>
    </row>
    <row r="184" spans="1:7" x14ac:dyDescent="0.25">
      <c r="A184" t="s">
        <v>15</v>
      </c>
      <c r="B184" s="160">
        <v>9</v>
      </c>
      <c r="C184" s="3"/>
      <c r="D184" t="s">
        <v>2054</v>
      </c>
    </row>
    <row r="185" spans="1:7" x14ac:dyDescent="0.25">
      <c r="A185" t="s">
        <v>34</v>
      </c>
      <c r="B185" s="2">
        <v>10</v>
      </c>
      <c r="C185" s="3"/>
    </row>
    <row r="186" spans="1:7" x14ac:dyDescent="0.25">
      <c r="A186" t="s">
        <v>44</v>
      </c>
      <c r="B186" s="2">
        <v>11</v>
      </c>
      <c r="C186" s="3"/>
    </row>
    <row r="187" spans="1:7" x14ac:dyDescent="0.25">
      <c r="A187" t="s">
        <v>50</v>
      </c>
      <c r="B187" s="2">
        <v>12</v>
      </c>
      <c r="C187" s="3"/>
    </row>
    <row r="188" spans="1:7" x14ac:dyDescent="0.25">
      <c r="A188" t="s">
        <v>1</v>
      </c>
      <c r="B188" s="2">
        <v>13</v>
      </c>
      <c r="C188" s="3"/>
    </row>
    <row r="200" spans="1:10" x14ac:dyDescent="0.25">
      <c r="A200" t="s">
        <v>2545</v>
      </c>
    </row>
    <row r="201" spans="1:10" x14ac:dyDescent="0.25">
      <c r="A201" t="s">
        <v>34</v>
      </c>
      <c r="B201" s="2">
        <v>24</v>
      </c>
      <c r="C201" s="9">
        <f>28000*G201</f>
        <v>528360</v>
      </c>
      <c r="D201" s="10" t="s">
        <v>2261</v>
      </c>
      <c r="E201" s="10" t="s">
        <v>2469</v>
      </c>
      <c r="F201" s="10" t="s">
        <v>268</v>
      </c>
      <c r="G201" s="9">
        <v>18.87</v>
      </c>
      <c r="H201" s="10">
        <v>29.41</v>
      </c>
      <c r="I201" s="12">
        <v>43214</v>
      </c>
      <c r="J201" s="10" t="s">
        <v>5</v>
      </c>
    </row>
    <row r="202" spans="1:10" x14ac:dyDescent="0.25">
      <c r="A202" t="s">
        <v>44</v>
      </c>
      <c r="B202" s="2">
        <v>25</v>
      </c>
      <c r="C202" s="9">
        <f>29000*G202</f>
        <v>549463</v>
      </c>
      <c r="D202" s="10" t="s">
        <v>2262</v>
      </c>
      <c r="E202" s="10" t="s">
        <v>2501</v>
      </c>
      <c r="F202" s="10" t="s">
        <v>2287</v>
      </c>
      <c r="G202" s="11">
        <v>18.946999999999999</v>
      </c>
      <c r="H202" s="10">
        <v>28.17</v>
      </c>
      <c r="I202" s="12">
        <v>43215</v>
      </c>
      <c r="J202" s="10" t="s">
        <v>5</v>
      </c>
    </row>
    <row r="203" spans="1:10" x14ac:dyDescent="0.25">
      <c r="A203" t="s">
        <v>2256</v>
      </c>
      <c r="B203" s="2">
        <v>26</v>
      </c>
      <c r="C203" s="9">
        <f>34500*G203</f>
        <v>651670.5</v>
      </c>
      <c r="D203" s="10" t="s">
        <v>2263</v>
      </c>
      <c r="E203" s="10" t="s">
        <v>2470</v>
      </c>
      <c r="F203" s="10" t="s">
        <v>1322</v>
      </c>
      <c r="G203" s="11">
        <v>18.888999999999999</v>
      </c>
      <c r="H203" s="10">
        <v>28.45</v>
      </c>
      <c r="I203" s="12">
        <v>43216</v>
      </c>
      <c r="J203" s="10" t="s">
        <v>5</v>
      </c>
    </row>
    <row r="204" spans="1:10" x14ac:dyDescent="0.25">
      <c r="A204" t="s">
        <v>1</v>
      </c>
      <c r="B204" s="2">
        <v>27</v>
      </c>
      <c r="C204" s="9">
        <f>31000*G204</f>
        <v>584505</v>
      </c>
      <c r="D204" s="10" t="s">
        <v>2264</v>
      </c>
      <c r="E204" s="10" t="s">
        <v>2472</v>
      </c>
      <c r="F204" s="10" t="s">
        <v>1860</v>
      </c>
      <c r="G204" s="11">
        <v>18.855</v>
      </c>
      <c r="H204" s="10">
        <v>28.63</v>
      </c>
      <c r="I204" s="12">
        <v>43217</v>
      </c>
      <c r="J204" s="10" t="s">
        <v>5</v>
      </c>
    </row>
    <row r="205" spans="1:10" x14ac:dyDescent="0.25">
      <c r="A205" t="s">
        <v>15</v>
      </c>
      <c r="B205" s="2">
        <v>30</v>
      </c>
      <c r="C205" s="9">
        <f>26988.74*G205</f>
        <v>506173.8187</v>
      </c>
      <c r="D205" s="10" t="s">
        <v>2452</v>
      </c>
      <c r="E205" s="10" t="s">
        <v>2459</v>
      </c>
      <c r="F205" s="10" t="s">
        <v>2460</v>
      </c>
      <c r="G205" s="11">
        <v>18.754999999999999</v>
      </c>
      <c r="H205" s="10">
        <v>29.65</v>
      </c>
      <c r="I205" s="12">
        <v>43220</v>
      </c>
      <c r="J205" s="10" t="s">
        <v>5</v>
      </c>
    </row>
    <row r="206" spans="1:10" x14ac:dyDescent="0.25">
      <c r="A206" t="s">
        <v>15</v>
      </c>
      <c r="B206" s="2">
        <v>30</v>
      </c>
      <c r="C206" s="9">
        <f>23000*G206</f>
        <v>431940</v>
      </c>
      <c r="D206" s="10" t="s">
        <v>2442</v>
      </c>
      <c r="E206" s="10"/>
      <c r="F206" s="10" t="s">
        <v>2458</v>
      </c>
      <c r="G206" s="9">
        <v>18.78</v>
      </c>
      <c r="H206" s="10"/>
      <c r="I206" s="12">
        <v>43220</v>
      </c>
      <c r="J206" s="10" t="s">
        <v>5</v>
      </c>
    </row>
    <row r="207" spans="1:10" x14ac:dyDescent="0.25">
      <c r="A207" t="s">
        <v>15</v>
      </c>
      <c r="B207">
        <v>30</v>
      </c>
      <c r="C207" s="3">
        <v>33492.660000000003</v>
      </c>
      <c r="D207" t="s">
        <v>2376</v>
      </c>
      <c r="E207" t="s">
        <v>2377</v>
      </c>
      <c r="F207" t="s">
        <v>23</v>
      </c>
      <c r="G207" s="17"/>
    </row>
    <row r="208" spans="1:10" x14ac:dyDescent="0.25">
      <c r="A208" t="s">
        <v>15</v>
      </c>
      <c r="B208" s="2">
        <v>30</v>
      </c>
      <c r="C208" s="3">
        <v>38650.57</v>
      </c>
      <c r="D208" t="s">
        <v>2380</v>
      </c>
      <c r="E208" t="s">
        <v>2379</v>
      </c>
      <c r="F208" t="s">
        <v>2373</v>
      </c>
      <c r="G208" s="17"/>
    </row>
    <row r="209" spans="1:9" x14ac:dyDescent="0.25">
      <c r="A209" t="s">
        <v>15</v>
      </c>
      <c r="B209" s="2">
        <v>30</v>
      </c>
      <c r="C209" s="3">
        <f>829400+20590</f>
        <v>849990</v>
      </c>
      <c r="D209" t="s">
        <v>2381</v>
      </c>
      <c r="E209" t="s">
        <v>2382</v>
      </c>
      <c r="F209" t="s">
        <v>26</v>
      </c>
      <c r="G209" s="72"/>
    </row>
    <row r="210" spans="1:9" x14ac:dyDescent="0.25">
      <c r="A210" t="s">
        <v>15</v>
      </c>
      <c r="B210" s="2">
        <v>30</v>
      </c>
      <c r="C210" s="4">
        <f>32175+823.6</f>
        <v>32998.6</v>
      </c>
      <c r="D210" s="5" t="s">
        <v>2384</v>
      </c>
      <c r="E210" s="5" t="s">
        <v>2383</v>
      </c>
      <c r="F210" s="5" t="s">
        <v>26</v>
      </c>
      <c r="G210" s="7">
        <v>43220</v>
      </c>
      <c r="H210" s="5" t="s">
        <v>27</v>
      </c>
    </row>
    <row r="211" spans="1:9" x14ac:dyDescent="0.25">
      <c r="A211" t="s">
        <v>15</v>
      </c>
      <c r="B211" s="2">
        <v>30</v>
      </c>
      <c r="C211" s="3">
        <f>600050+16472</f>
        <v>616522</v>
      </c>
      <c r="D211" t="s">
        <v>2387</v>
      </c>
      <c r="E211" t="s">
        <v>2388</v>
      </c>
      <c r="F211" t="s">
        <v>26</v>
      </c>
      <c r="G211" s="72"/>
    </row>
    <row r="212" spans="1:9" x14ac:dyDescent="0.25">
      <c r="A212" s="1" t="s">
        <v>2331</v>
      </c>
      <c r="C212" s="3"/>
    </row>
    <row r="213" spans="1:9" x14ac:dyDescent="0.25">
      <c r="A213" t="s">
        <v>34</v>
      </c>
      <c r="B213" s="2">
        <v>1</v>
      </c>
      <c r="C213" s="3" t="s">
        <v>1369</v>
      </c>
    </row>
    <row r="214" spans="1:9" x14ac:dyDescent="0.25">
      <c r="A214" t="s">
        <v>44</v>
      </c>
      <c r="B214" s="2">
        <v>2</v>
      </c>
      <c r="C214" s="3">
        <v>1510338.65</v>
      </c>
      <c r="D214" t="s">
        <v>2356</v>
      </c>
      <c r="E214" t="s">
        <v>2357</v>
      </c>
      <c r="F214" t="s">
        <v>1573</v>
      </c>
      <c r="G214">
        <v>83.5</v>
      </c>
    </row>
    <row r="215" spans="1:9" x14ac:dyDescent="0.25">
      <c r="A215" t="s">
        <v>44</v>
      </c>
      <c r="B215" s="2">
        <v>2</v>
      </c>
      <c r="C215" s="3">
        <f>622600+16472</f>
        <v>639072</v>
      </c>
      <c r="D215" t="s">
        <v>2389</v>
      </c>
      <c r="E215" t="s">
        <v>2390</v>
      </c>
      <c r="F215" t="s">
        <v>26</v>
      </c>
      <c r="G215" s="72"/>
    </row>
    <row r="216" spans="1:9" x14ac:dyDescent="0.25">
      <c r="A216" t="s">
        <v>44</v>
      </c>
      <c r="B216" s="2">
        <v>2</v>
      </c>
      <c r="C216" s="3">
        <f>795300+20178.2</f>
        <v>815478.2</v>
      </c>
      <c r="D216" t="s">
        <v>2391</v>
      </c>
      <c r="E216" t="s">
        <v>2319</v>
      </c>
      <c r="F216" t="s">
        <v>26</v>
      </c>
    </row>
    <row r="217" spans="1:9" x14ac:dyDescent="0.25">
      <c r="A217" t="s">
        <v>44</v>
      </c>
      <c r="B217" s="2">
        <v>2</v>
      </c>
      <c r="C217" s="3">
        <f>258087.5+6588.8</f>
        <v>264676.3</v>
      </c>
      <c r="D217" t="s">
        <v>2392</v>
      </c>
      <c r="E217" t="s">
        <v>2320</v>
      </c>
      <c r="F217" t="s">
        <v>26</v>
      </c>
      <c r="G217" s="72"/>
    </row>
    <row r="218" spans="1:9" x14ac:dyDescent="0.25">
      <c r="A218" t="s">
        <v>50</v>
      </c>
      <c r="B218" s="2">
        <v>3</v>
      </c>
      <c r="C218" s="3">
        <f>27666.11*G218</f>
        <v>530635.98979999998</v>
      </c>
      <c r="D218" t="s">
        <v>2404</v>
      </c>
      <c r="E218" t="s">
        <v>2405</v>
      </c>
      <c r="F218" t="s">
        <v>2406</v>
      </c>
      <c r="G218" s="3">
        <v>19.18</v>
      </c>
      <c r="H218">
        <v>30.34</v>
      </c>
      <c r="I218" s="17"/>
    </row>
    <row r="219" spans="1:9" x14ac:dyDescent="0.25">
      <c r="A219" t="s">
        <v>50</v>
      </c>
      <c r="B219" s="2">
        <v>3</v>
      </c>
      <c r="C219" s="3">
        <v>855300.6</v>
      </c>
      <c r="D219" t="s">
        <v>2465</v>
      </c>
      <c r="E219" t="s">
        <v>2464</v>
      </c>
      <c r="F219" t="s">
        <v>1468</v>
      </c>
      <c r="G219" s="72"/>
    </row>
    <row r="220" spans="1:9" x14ac:dyDescent="0.25">
      <c r="A220" t="s">
        <v>50</v>
      </c>
      <c r="B220" s="2">
        <v>3</v>
      </c>
      <c r="C220" s="3">
        <f>644600+16307.28</f>
        <v>660907.28</v>
      </c>
      <c r="D220" t="s">
        <v>2393</v>
      </c>
      <c r="E220" t="s">
        <v>2394</v>
      </c>
      <c r="F220" t="s">
        <v>26</v>
      </c>
    </row>
    <row r="221" spans="1:9" x14ac:dyDescent="0.25">
      <c r="A221" t="s">
        <v>50</v>
      </c>
      <c r="B221" s="2">
        <v>3</v>
      </c>
      <c r="C221" s="3">
        <f>423775+10706.8</f>
        <v>434481.8</v>
      </c>
      <c r="D221" t="s">
        <v>2396</v>
      </c>
      <c r="E221" t="s">
        <v>2395</v>
      </c>
      <c r="F221" t="s">
        <v>26</v>
      </c>
      <c r="G221" s="72"/>
    </row>
    <row r="222" spans="1:9" x14ac:dyDescent="0.25">
      <c r="A222" t="s">
        <v>50</v>
      </c>
      <c r="B222" s="2">
        <v>3</v>
      </c>
      <c r="C222" s="3">
        <v>33129.800000000003</v>
      </c>
      <c r="D222" t="s">
        <v>2542</v>
      </c>
      <c r="E222" t="s">
        <v>2541</v>
      </c>
      <c r="F222" t="s">
        <v>23</v>
      </c>
      <c r="G222" s="3">
        <v>18.5</v>
      </c>
    </row>
    <row r="223" spans="1:9" x14ac:dyDescent="0.25">
      <c r="A223" t="s">
        <v>1</v>
      </c>
      <c r="B223" s="2">
        <v>4</v>
      </c>
      <c r="C223" s="3"/>
    </row>
    <row r="224" spans="1:9" x14ac:dyDescent="0.25">
      <c r="A224" s="14" t="s">
        <v>13</v>
      </c>
      <c r="B224" s="2">
        <v>5</v>
      </c>
      <c r="C224" s="3"/>
    </row>
    <row r="225" spans="1:10" x14ac:dyDescent="0.25">
      <c r="A225" s="14" t="s">
        <v>14</v>
      </c>
      <c r="B225" s="2">
        <v>6</v>
      </c>
      <c r="C225" s="3"/>
    </row>
    <row r="226" spans="1:10" x14ac:dyDescent="0.25">
      <c r="A226" t="s">
        <v>15</v>
      </c>
      <c r="B226" s="2">
        <v>7</v>
      </c>
      <c r="C226" s="3">
        <f>28850.34*G226</f>
        <v>548156.46</v>
      </c>
      <c r="D226" t="s">
        <v>2401</v>
      </c>
      <c r="E226" t="s">
        <v>2402</v>
      </c>
      <c r="F226" t="s">
        <v>2403</v>
      </c>
      <c r="G226" s="20">
        <v>19</v>
      </c>
    </row>
    <row r="227" spans="1:10" x14ac:dyDescent="0.25">
      <c r="A227" t="s">
        <v>15</v>
      </c>
      <c r="B227" s="2">
        <v>7</v>
      </c>
      <c r="C227" s="3">
        <v>68836.649999999994</v>
      </c>
      <c r="D227" t="s">
        <v>2544</v>
      </c>
      <c r="E227" t="s">
        <v>2543</v>
      </c>
      <c r="F227" t="s">
        <v>23</v>
      </c>
      <c r="G227" s="3">
        <v>18.5</v>
      </c>
    </row>
    <row r="228" spans="1:10" x14ac:dyDescent="0.25">
      <c r="A228" t="s">
        <v>15</v>
      </c>
      <c r="B228" s="2">
        <v>7</v>
      </c>
      <c r="C228" s="3">
        <f>832005+20342.92</f>
        <v>852347.92</v>
      </c>
      <c r="D228" t="s">
        <v>2525</v>
      </c>
      <c r="E228" t="s">
        <v>2526</v>
      </c>
      <c r="F228" t="s">
        <v>26</v>
      </c>
      <c r="G228" s="3"/>
    </row>
    <row r="229" spans="1:10" x14ac:dyDescent="0.25">
      <c r="A229" t="s">
        <v>15</v>
      </c>
      <c r="B229" s="2">
        <v>7</v>
      </c>
      <c r="C229" s="3">
        <f>33750+823.6</f>
        <v>34573.599999999999</v>
      </c>
      <c r="D229" t="s">
        <v>2528</v>
      </c>
      <c r="E229" t="s">
        <v>2527</v>
      </c>
      <c r="F229" t="s">
        <v>26</v>
      </c>
      <c r="G229" s="3"/>
    </row>
    <row r="230" spans="1:10" x14ac:dyDescent="0.25">
      <c r="A230" t="s">
        <v>15</v>
      </c>
      <c r="B230" s="2">
        <v>7</v>
      </c>
      <c r="C230" s="3">
        <f>616005+16472</f>
        <v>632477</v>
      </c>
      <c r="D230" t="s">
        <v>2529</v>
      </c>
      <c r="E230" t="s">
        <v>2397</v>
      </c>
      <c r="F230" t="s">
        <v>26</v>
      </c>
      <c r="G230" s="3"/>
    </row>
    <row r="231" spans="1:10" x14ac:dyDescent="0.25">
      <c r="A231" t="s">
        <v>34</v>
      </c>
      <c r="B231" s="2">
        <v>8</v>
      </c>
      <c r="C231" s="3">
        <f>609255+16472</f>
        <v>625727</v>
      </c>
      <c r="D231" t="s">
        <v>2531</v>
      </c>
      <c r="E231" t="s">
        <v>2530</v>
      </c>
      <c r="F231" t="s">
        <v>26</v>
      </c>
    </row>
    <row r="232" spans="1:10" x14ac:dyDescent="0.25">
      <c r="A232" t="s">
        <v>44</v>
      </c>
      <c r="B232" s="2">
        <v>9</v>
      </c>
      <c r="C232" s="20">
        <f>800820+20590</f>
        <v>821410</v>
      </c>
      <c r="D232" t="s">
        <v>2532</v>
      </c>
      <c r="E232" t="s">
        <v>2415</v>
      </c>
      <c r="F232" t="s">
        <v>26</v>
      </c>
    </row>
    <row r="233" spans="1:10" x14ac:dyDescent="0.25">
      <c r="A233" t="s">
        <v>44</v>
      </c>
      <c r="B233" s="2">
        <v>9</v>
      </c>
      <c r="C233" s="20">
        <f>240840+6506.44</f>
        <v>247346.44</v>
      </c>
      <c r="D233" t="s">
        <v>2533</v>
      </c>
      <c r="E233" t="s">
        <v>2416</v>
      </c>
      <c r="F233" t="s">
        <v>26</v>
      </c>
    </row>
    <row r="234" spans="1:10" x14ac:dyDescent="0.25">
      <c r="A234" t="s">
        <v>50</v>
      </c>
      <c r="B234" s="2">
        <v>10</v>
      </c>
      <c r="C234" s="182">
        <v>670247.85</v>
      </c>
      <c r="D234" t="s">
        <v>2538</v>
      </c>
      <c r="E234" s="183"/>
      <c r="F234" t="s">
        <v>1468</v>
      </c>
      <c r="G234" s="3"/>
      <c r="H234" s="35"/>
      <c r="I234" s="35"/>
      <c r="J234" s="35"/>
    </row>
    <row r="235" spans="1:10" x14ac:dyDescent="0.25">
      <c r="A235" t="s">
        <v>50</v>
      </c>
      <c r="B235" s="2">
        <v>10</v>
      </c>
      <c r="C235" s="20">
        <f>827010+20590</f>
        <v>847600</v>
      </c>
      <c r="D235" t="s">
        <v>2534</v>
      </c>
      <c r="E235" t="s">
        <v>2535</v>
      </c>
      <c r="F235" t="s">
        <v>26</v>
      </c>
    </row>
    <row r="236" spans="1:10" x14ac:dyDescent="0.25">
      <c r="A236" t="s">
        <v>50</v>
      </c>
      <c r="B236" s="2">
        <v>10</v>
      </c>
      <c r="C236" s="20">
        <f>244080+6506.44</f>
        <v>250586.44</v>
      </c>
      <c r="D236" t="s">
        <v>2537</v>
      </c>
      <c r="E236" t="s">
        <v>2536</v>
      </c>
      <c r="F236" t="s">
        <v>26</v>
      </c>
    </row>
    <row r="237" spans="1:10" x14ac:dyDescent="0.25">
      <c r="A237" s="14" t="s">
        <v>13</v>
      </c>
      <c r="B237" s="2">
        <v>12</v>
      </c>
      <c r="C237" s="3"/>
    </row>
    <row r="238" spans="1:10" x14ac:dyDescent="0.25">
      <c r="A238" s="14" t="s">
        <v>14</v>
      </c>
      <c r="B238" s="2">
        <v>13</v>
      </c>
      <c r="C238" s="3"/>
    </row>
    <row r="239" spans="1:10" x14ac:dyDescent="0.25">
      <c r="A239" t="s">
        <v>15</v>
      </c>
      <c r="B239" s="2">
        <v>14</v>
      </c>
      <c r="C239" s="3">
        <f>812755+33920+21413.6</f>
        <v>868088.6</v>
      </c>
      <c r="D239" t="s">
        <v>2539</v>
      </c>
      <c r="E239" t="s">
        <v>2540</v>
      </c>
      <c r="F239" t="s">
        <v>26</v>
      </c>
    </row>
    <row r="240" spans="1:10" x14ac:dyDescent="0.25">
      <c r="A240" t="s">
        <v>34</v>
      </c>
      <c r="B240" s="2">
        <v>15</v>
      </c>
      <c r="C240" s="3"/>
    </row>
    <row r="258" spans="1:10" x14ac:dyDescent="0.25">
      <c r="A258" t="s">
        <v>2822</v>
      </c>
    </row>
    <row r="259" spans="1:10" x14ac:dyDescent="0.25">
      <c r="A259" s="75" t="s">
        <v>50</v>
      </c>
      <c r="B259" s="2">
        <v>31</v>
      </c>
      <c r="C259" s="3">
        <f>604630+20425.28</f>
        <v>625055.28</v>
      </c>
      <c r="D259" t="s">
        <v>2776</v>
      </c>
      <c r="E259" t="s">
        <v>2669</v>
      </c>
      <c r="F259" t="s">
        <v>26</v>
      </c>
    </row>
    <row r="260" spans="1:10" x14ac:dyDescent="0.25">
      <c r="A260" t="s">
        <v>50</v>
      </c>
      <c r="B260" s="2">
        <v>31</v>
      </c>
      <c r="C260" s="4">
        <f>402610+10459.72</f>
        <v>413069.72</v>
      </c>
      <c r="D260" s="5" t="s">
        <v>2777</v>
      </c>
      <c r="E260" s="5" t="s">
        <v>2670</v>
      </c>
      <c r="F260" s="5" t="s">
        <v>26</v>
      </c>
      <c r="G260" s="7">
        <v>43251</v>
      </c>
      <c r="H260" s="5" t="s">
        <v>27</v>
      </c>
    </row>
    <row r="261" spans="1:10" x14ac:dyDescent="0.25">
      <c r="A261" t="s">
        <v>50</v>
      </c>
      <c r="B261" s="2">
        <v>31</v>
      </c>
      <c r="C261" s="4">
        <v>360501.68</v>
      </c>
      <c r="D261" s="5" t="s">
        <v>2797</v>
      </c>
      <c r="E261" s="5" t="s">
        <v>2798</v>
      </c>
      <c r="F261" s="5" t="s">
        <v>1345</v>
      </c>
      <c r="G261" s="5">
        <v>38.5</v>
      </c>
      <c r="H261" s="7">
        <v>43251</v>
      </c>
      <c r="I261" s="5" t="s">
        <v>5</v>
      </c>
    </row>
    <row r="262" spans="1:10" x14ac:dyDescent="0.25">
      <c r="A262" t="s">
        <v>50</v>
      </c>
      <c r="B262" s="2">
        <v>31</v>
      </c>
      <c r="C262" s="4">
        <v>94480.2</v>
      </c>
      <c r="D262" s="5" t="s">
        <v>2799</v>
      </c>
      <c r="E262" s="5" t="s">
        <v>2800</v>
      </c>
      <c r="F262" s="5" t="s">
        <v>2373</v>
      </c>
      <c r="G262" s="5" t="s">
        <v>2801</v>
      </c>
      <c r="H262" s="7">
        <v>39599</v>
      </c>
      <c r="I262" s="5" t="s">
        <v>5</v>
      </c>
    </row>
    <row r="263" spans="1:10" x14ac:dyDescent="0.25">
      <c r="A263" s="1" t="s">
        <v>2672</v>
      </c>
      <c r="C263" s="3"/>
    </row>
    <row r="264" spans="1:10" x14ac:dyDescent="0.25">
      <c r="A264" t="s">
        <v>1</v>
      </c>
      <c r="B264" s="2">
        <v>1</v>
      </c>
      <c r="C264" s="3"/>
      <c r="G264" s="13"/>
    </row>
    <row r="265" spans="1:10" x14ac:dyDescent="0.25">
      <c r="A265" s="14" t="s">
        <v>13</v>
      </c>
      <c r="B265" s="2">
        <v>2</v>
      </c>
      <c r="C265" s="3"/>
    </row>
    <row r="266" spans="1:10" x14ac:dyDescent="0.25">
      <c r="A266" s="14" t="s">
        <v>14</v>
      </c>
      <c r="B266" s="2">
        <v>3</v>
      </c>
      <c r="C266" s="3"/>
    </row>
    <row r="267" spans="1:10" x14ac:dyDescent="0.25">
      <c r="A267" t="s">
        <v>15</v>
      </c>
      <c r="B267" s="2">
        <v>4</v>
      </c>
      <c r="C267" s="18">
        <f>32500*G267</f>
        <v>650000</v>
      </c>
      <c r="D267" s="19" t="s">
        <v>2753</v>
      </c>
      <c r="E267" s="19"/>
      <c r="F267" s="19" t="s">
        <v>1870</v>
      </c>
      <c r="G267" s="20">
        <v>20</v>
      </c>
      <c r="H267" s="19"/>
      <c r="I267" s="19"/>
      <c r="J267" s="19"/>
    </row>
    <row r="268" spans="1:10" x14ac:dyDescent="0.25">
      <c r="A268" t="s">
        <v>15</v>
      </c>
      <c r="B268" s="2">
        <v>4</v>
      </c>
      <c r="C268" s="3">
        <f>26528.25*G268</f>
        <v>530565</v>
      </c>
      <c r="D268" t="s">
        <v>2749</v>
      </c>
      <c r="E268" t="s">
        <v>2750</v>
      </c>
      <c r="F268" t="s">
        <v>2751</v>
      </c>
      <c r="G268" s="20">
        <v>20</v>
      </c>
    </row>
    <row r="269" spans="1:10" x14ac:dyDescent="0.25">
      <c r="A269" t="s">
        <v>15</v>
      </c>
      <c r="B269" s="2">
        <v>4</v>
      </c>
      <c r="C269" s="3">
        <f>692580+20880</f>
        <v>713460</v>
      </c>
      <c r="D269" t="s">
        <v>2778</v>
      </c>
      <c r="E269" t="s">
        <v>2705</v>
      </c>
      <c r="F269" t="s">
        <v>26</v>
      </c>
    </row>
    <row r="270" spans="1:10" x14ac:dyDescent="0.25">
      <c r="A270" t="s">
        <v>15</v>
      </c>
      <c r="B270" s="2">
        <v>4</v>
      </c>
      <c r="C270" s="3">
        <f>236257.5+6681.6</f>
        <v>242939.1</v>
      </c>
      <c r="D270" t="s">
        <v>2779</v>
      </c>
      <c r="E270" t="s">
        <v>2706</v>
      </c>
      <c r="F270" t="s">
        <v>26</v>
      </c>
    </row>
    <row r="271" spans="1:10" x14ac:dyDescent="0.25">
      <c r="A271" t="s">
        <v>15</v>
      </c>
      <c r="B271" s="2">
        <v>4</v>
      </c>
      <c r="C271" s="3">
        <f>529125+16704</f>
        <v>545829</v>
      </c>
      <c r="D271" t="s">
        <v>2780</v>
      </c>
      <c r="E271" t="s">
        <v>2707</v>
      </c>
      <c r="F271" t="s">
        <v>26</v>
      </c>
    </row>
    <row r="272" spans="1:10" x14ac:dyDescent="0.25">
      <c r="A272" t="s">
        <v>15</v>
      </c>
      <c r="B272" s="2">
        <v>4</v>
      </c>
      <c r="C272" s="3">
        <f>622072.5+17789.76</f>
        <v>639862.26</v>
      </c>
      <c r="D272" t="s">
        <v>2781</v>
      </c>
      <c r="E272" t="s">
        <v>2782</v>
      </c>
      <c r="F272" t="s">
        <v>26</v>
      </c>
    </row>
    <row r="273" spans="1:14" x14ac:dyDescent="0.25">
      <c r="A273" t="s">
        <v>15</v>
      </c>
      <c r="B273" s="2">
        <v>4</v>
      </c>
      <c r="C273" s="3">
        <f>95242.5+2839.68</f>
        <v>98082.18</v>
      </c>
      <c r="D273" t="s">
        <v>2784</v>
      </c>
      <c r="E273" t="s">
        <v>2783</v>
      </c>
      <c r="F273" t="s">
        <v>26</v>
      </c>
    </row>
    <row r="274" spans="1:14" x14ac:dyDescent="0.25">
      <c r="A274" t="s">
        <v>15</v>
      </c>
      <c r="B274" s="2">
        <v>4</v>
      </c>
      <c r="C274" s="3"/>
      <c r="D274" t="s">
        <v>2823</v>
      </c>
      <c r="F274" t="s">
        <v>23</v>
      </c>
      <c r="G274">
        <v>18.8</v>
      </c>
    </row>
    <row r="275" spans="1:14" x14ac:dyDescent="0.25">
      <c r="A275" t="s">
        <v>34</v>
      </c>
      <c r="B275" s="2">
        <v>5</v>
      </c>
      <c r="C275" s="3"/>
    </row>
    <row r="276" spans="1:14" x14ac:dyDescent="0.25">
      <c r="A276" t="s">
        <v>34</v>
      </c>
      <c r="B276" s="2">
        <v>5</v>
      </c>
      <c r="C276" s="20">
        <f>630360+16704</f>
        <v>647064</v>
      </c>
      <c r="D276" t="s">
        <v>2785</v>
      </c>
      <c r="E276" t="s">
        <v>2728</v>
      </c>
      <c r="F276" t="s">
        <v>26</v>
      </c>
      <c r="G276" s="3"/>
    </row>
    <row r="277" spans="1:14" x14ac:dyDescent="0.25">
      <c r="A277" t="s">
        <v>44</v>
      </c>
      <c r="B277" s="2">
        <v>6</v>
      </c>
      <c r="C277" s="3">
        <f>633165+19543.68</f>
        <v>652708.68000000005</v>
      </c>
      <c r="D277" t="s">
        <v>2786</v>
      </c>
      <c r="E277" t="s">
        <v>2787</v>
      </c>
      <c r="F277" t="s">
        <v>26</v>
      </c>
      <c r="G277" s="3"/>
    </row>
    <row r="278" spans="1:14" x14ac:dyDescent="0.25">
      <c r="A278" t="s">
        <v>44</v>
      </c>
      <c r="B278" s="2">
        <v>6</v>
      </c>
      <c r="C278" s="3">
        <f>646935+18040.32</f>
        <v>664975.31999999995</v>
      </c>
      <c r="D278" t="s">
        <v>2788</v>
      </c>
      <c r="E278" t="s">
        <v>2732</v>
      </c>
      <c r="F278" t="s">
        <v>26</v>
      </c>
    </row>
    <row r="279" spans="1:14" x14ac:dyDescent="0.25">
      <c r="A279" t="s">
        <v>50</v>
      </c>
      <c r="B279" s="2">
        <v>7</v>
      </c>
      <c r="C279" s="3">
        <f>707752.5+20963.52</f>
        <v>728716.02</v>
      </c>
      <c r="D279" t="s">
        <v>2789</v>
      </c>
      <c r="E279" t="s">
        <v>2738</v>
      </c>
      <c r="F279" t="s">
        <v>26</v>
      </c>
    </row>
    <row r="280" spans="1:14" x14ac:dyDescent="0.25">
      <c r="A280" t="s">
        <v>50</v>
      </c>
      <c r="B280" s="2">
        <v>7</v>
      </c>
      <c r="C280" s="3">
        <f>354832.5+10857.6</f>
        <v>365690.1</v>
      </c>
      <c r="D280" t="s">
        <v>2790</v>
      </c>
      <c r="E280" t="s">
        <v>2737</v>
      </c>
      <c r="F280" t="s">
        <v>26</v>
      </c>
    </row>
    <row r="281" spans="1:14" x14ac:dyDescent="0.25">
      <c r="A281" t="s">
        <v>1</v>
      </c>
      <c r="B281" s="2">
        <v>8</v>
      </c>
      <c r="C281" s="3">
        <f>(26457.62-1950)*G281</f>
        <v>490152.39999999997</v>
      </c>
      <c r="D281" t="s">
        <v>2767</v>
      </c>
      <c r="E281" t="s">
        <v>2768</v>
      </c>
      <c r="F281" s="106" t="s">
        <v>2770</v>
      </c>
      <c r="G281" s="20">
        <v>20</v>
      </c>
      <c r="K281" s="15" t="s">
        <v>2769</v>
      </c>
      <c r="L281" s="15"/>
      <c r="M281" s="15"/>
      <c r="N281" s="15"/>
    </row>
    <row r="282" spans="1:14" x14ac:dyDescent="0.25">
      <c r="A282" t="s">
        <v>1</v>
      </c>
      <c r="B282" s="2">
        <v>8</v>
      </c>
      <c r="C282" s="3">
        <f>27943.56*G282</f>
        <v>558871.20000000007</v>
      </c>
      <c r="D282" t="s">
        <v>2771</v>
      </c>
      <c r="E282" t="s">
        <v>2772</v>
      </c>
      <c r="F282" t="s">
        <v>2773</v>
      </c>
      <c r="G282" s="20">
        <v>20</v>
      </c>
    </row>
    <row r="283" spans="1:14" x14ac:dyDescent="0.25">
      <c r="A283" t="s">
        <v>1</v>
      </c>
      <c r="B283" s="2">
        <v>8</v>
      </c>
      <c r="C283" s="3">
        <v>356309.8</v>
      </c>
      <c r="D283" t="s">
        <v>2826</v>
      </c>
      <c r="E283" t="s">
        <v>2825</v>
      </c>
      <c r="F283" t="s">
        <v>1345</v>
      </c>
      <c r="G283" s="3">
        <v>38.5</v>
      </c>
    </row>
    <row r="284" spans="1:14" x14ac:dyDescent="0.25">
      <c r="A284" t="s">
        <v>1</v>
      </c>
      <c r="B284" s="2">
        <v>8</v>
      </c>
      <c r="C284" s="3">
        <v>293353</v>
      </c>
      <c r="D284" t="s">
        <v>2826</v>
      </c>
      <c r="E284" s="14"/>
      <c r="F284" t="s">
        <v>2827</v>
      </c>
      <c r="G284" s="3">
        <v>31</v>
      </c>
    </row>
    <row r="285" spans="1:14" x14ac:dyDescent="0.25">
      <c r="A285" s="14" t="s">
        <v>13</v>
      </c>
      <c r="B285" s="2">
        <v>9</v>
      </c>
      <c r="C285" s="3"/>
    </row>
    <row r="286" spans="1:14" x14ac:dyDescent="0.25">
      <c r="A286" s="14" t="s">
        <v>14</v>
      </c>
      <c r="B286" s="2">
        <v>10</v>
      </c>
      <c r="C286" s="3"/>
    </row>
    <row r="287" spans="1:14" x14ac:dyDescent="0.25">
      <c r="A287" t="s">
        <v>15</v>
      </c>
      <c r="B287" s="2">
        <v>11</v>
      </c>
      <c r="C287" s="18"/>
      <c r="D287" s="19"/>
      <c r="E287" s="19"/>
      <c r="F287" s="19"/>
      <c r="G287" s="19"/>
      <c r="H287" s="19"/>
      <c r="I287" s="19"/>
      <c r="J287" s="19"/>
    </row>
    <row r="288" spans="1:14" x14ac:dyDescent="0.25">
      <c r="A288" t="s">
        <v>15</v>
      </c>
      <c r="B288" s="2">
        <v>11</v>
      </c>
      <c r="C288" s="3">
        <f>586245+16704</f>
        <v>602949</v>
      </c>
      <c r="D288" t="s">
        <v>2791</v>
      </c>
      <c r="E288" t="s">
        <v>2739</v>
      </c>
      <c r="F288" t="s">
        <v>26</v>
      </c>
    </row>
    <row r="289" spans="1:6" x14ac:dyDescent="0.25">
      <c r="A289" t="s">
        <v>15</v>
      </c>
      <c r="B289" s="2">
        <v>11</v>
      </c>
      <c r="C289" s="3">
        <f>358530+10774.08</f>
        <v>369304.08</v>
      </c>
      <c r="D289" t="s">
        <v>2792</v>
      </c>
      <c r="E289" t="s">
        <v>2740</v>
      </c>
      <c r="F289" t="s">
        <v>26</v>
      </c>
    </row>
    <row r="290" spans="1:6" x14ac:dyDescent="0.25">
      <c r="A290" t="s">
        <v>15</v>
      </c>
      <c r="B290" s="2">
        <v>11</v>
      </c>
      <c r="C290" s="3">
        <f>654585+20712.96</f>
        <v>675297.96</v>
      </c>
      <c r="D290" t="s">
        <v>2793</v>
      </c>
      <c r="E290" t="s">
        <v>2755</v>
      </c>
      <c r="F290" t="s">
        <v>26</v>
      </c>
    </row>
    <row r="291" spans="1:6" x14ac:dyDescent="0.25">
      <c r="A291" t="s">
        <v>15</v>
      </c>
      <c r="B291" s="2">
        <v>11</v>
      </c>
      <c r="C291" s="3">
        <f>692325+20880</f>
        <v>713205</v>
      </c>
      <c r="D291" t="s">
        <v>2794</v>
      </c>
      <c r="E291" t="s">
        <v>2759</v>
      </c>
      <c r="F291" t="s">
        <v>26</v>
      </c>
    </row>
    <row r="292" spans="1:6" x14ac:dyDescent="0.25">
      <c r="A292" t="s">
        <v>34</v>
      </c>
      <c r="B292" s="2">
        <v>12</v>
      </c>
      <c r="C292" s="3">
        <f>687352.5+20712.96</f>
        <v>708065.46</v>
      </c>
      <c r="D292" t="s">
        <v>2796</v>
      </c>
      <c r="E292" t="s">
        <v>2795</v>
      </c>
      <c r="F292" t="s">
        <v>26</v>
      </c>
    </row>
    <row r="293" spans="1:6" x14ac:dyDescent="0.25">
      <c r="A293" t="s">
        <v>34</v>
      </c>
      <c r="B293" s="2">
        <v>12</v>
      </c>
      <c r="C293" s="3"/>
    </row>
    <row r="294" spans="1:6" x14ac:dyDescent="0.25">
      <c r="A294" t="s">
        <v>44</v>
      </c>
      <c r="B294" s="2">
        <v>13</v>
      </c>
      <c r="C294" s="3">
        <f>708135+20796.48</f>
        <v>728931.48</v>
      </c>
      <c r="D294" t="s">
        <v>2811</v>
      </c>
      <c r="E294" t="s">
        <v>2808</v>
      </c>
      <c r="F294" t="s">
        <v>26</v>
      </c>
    </row>
    <row r="295" spans="1:6" x14ac:dyDescent="0.25">
      <c r="A295" t="s">
        <v>44</v>
      </c>
      <c r="B295" s="2">
        <v>13</v>
      </c>
      <c r="C295" s="20">
        <f>358275+10857.6</f>
        <v>369132.6</v>
      </c>
      <c r="D295" t="s">
        <v>2812</v>
      </c>
      <c r="E295" t="s">
        <v>2809</v>
      </c>
      <c r="F295" t="s">
        <v>26</v>
      </c>
    </row>
    <row r="296" spans="1:6" x14ac:dyDescent="0.25">
      <c r="A296" t="s">
        <v>50</v>
      </c>
      <c r="B296" s="2">
        <v>14</v>
      </c>
      <c r="C296" s="3"/>
    </row>
    <row r="297" spans="1:6" x14ac:dyDescent="0.25">
      <c r="A297" t="s">
        <v>1</v>
      </c>
      <c r="B297" s="2">
        <v>15</v>
      </c>
      <c r="C297" s="3"/>
    </row>
    <row r="298" spans="1:6" x14ac:dyDescent="0.25">
      <c r="A298" s="14" t="s">
        <v>13</v>
      </c>
      <c r="B298" s="2">
        <v>16</v>
      </c>
      <c r="C298" s="3"/>
    </row>
    <row r="299" spans="1:6" x14ac:dyDescent="0.25">
      <c r="A299" s="14" t="s">
        <v>14</v>
      </c>
      <c r="B299" s="2">
        <v>17</v>
      </c>
      <c r="C299" s="3"/>
    </row>
    <row r="317" spans="1:10" x14ac:dyDescent="0.25">
      <c r="A317" t="s">
        <v>3216</v>
      </c>
    </row>
    <row r="318" spans="1:10" x14ac:dyDescent="0.25">
      <c r="A318" s="75" t="s">
        <v>44</v>
      </c>
      <c r="B318" s="2">
        <v>27</v>
      </c>
      <c r="C318" s="3">
        <f>774630+20880</f>
        <v>795510</v>
      </c>
      <c r="D318" t="s">
        <v>3037</v>
      </c>
      <c r="E318" t="s">
        <v>3000</v>
      </c>
      <c r="F318" t="s">
        <v>26</v>
      </c>
    </row>
    <row r="319" spans="1:10" x14ac:dyDescent="0.25">
      <c r="A319" t="s">
        <v>44</v>
      </c>
      <c r="B319" s="2">
        <v>27</v>
      </c>
      <c r="C319" s="3">
        <f>387990+10857.6</f>
        <v>398847.6</v>
      </c>
      <c r="D319" t="s">
        <v>3038</v>
      </c>
      <c r="E319" t="s">
        <v>3001</v>
      </c>
      <c r="F319" t="s">
        <v>26</v>
      </c>
    </row>
    <row r="320" spans="1:10" x14ac:dyDescent="0.25">
      <c r="A320" t="s">
        <v>50</v>
      </c>
      <c r="B320" s="2">
        <v>28</v>
      </c>
      <c r="C320" s="9">
        <f>31000*G320</f>
        <v>619070</v>
      </c>
      <c r="D320" s="10" t="s">
        <v>3103</v>
      </c>
      <c r="E320" s="10"/>
      <c r="F320" s="10" t="s">
        <v>1414</v>
      </c>
      <c r="G320" s="11">
        <v>19.97</v>
      </c>
      <c r="H320" s="10"/>
      <c r="I320" s="12">
        <v>43279</v>
      </c>
      <c r="J320" s="10" t="s">
        <v>5</v>
      </c>
    </row>
    <row r="321" spans="1:10" x14ac:dyDescent="0.25">
      <c r="A321" t="s">
        <v>50</v>
      </c>
      <c r="B321" s="2">
        <v>28</v>
      </c>
      <c r="C321" s="3">
        <f>784350+20629.44</f>
        <v>804979.44</v>
      </c>
      <c r="D321" t="s">
        <v>3042</v>
      </c>
      <c r="E321" t="s">
        <v>3040</v>
      </c>
      <c r="F321" t="s">
        <v>26</v>
      </c>
    </row>
    <row r="322" spans="1:10" x14ac:dyDescent="0.25">
      <c r="A322" t="s">
        <v>50</v>
      </c>
      <c r="B322" s="2">
        <v>28</v>
      </c>
      <c r="C322" s="4">
        <f>355860+10857.6</f>
        <v>366717.6</v>
      </c>
      <c r="D322" s="5" t="s">
        <v>3043</v>
      </c>
      <c r="E322" s="5" t="s">
        <v>3041</v>
      </c>
      <c r="F322" s="5" t="s">
        <v>26</v>
      </c>
      <c r="G322" s="7">
        <v>43280</v>
      </c>
      <c r="H322" s="5" t="s">
        <v>27</v>
      </c>
    </row>
    <row r="323" spans="1:10" x14ac:dyDescent="0.25">
      <c r="A323" t="s">
        <v>50</v>
      </c>
      <c r="B323" s="2">
        <v>28</v>
      </c>
      <c r="C323" s="3">
        <v>72648</v>
      </c>
      <c r="D323" t="s">
        <v>3126</v>
      </c>
      <c r="E323" t="s">
        <v>3125</v>
      </c>
      <c r="F323" t="s">
        <v>23</v>
      </c>
      <c r="G323">
        <v>20</v>
      </c>
    </row>
    <row r="324" spans="1:10" x14ac:dyDescent="0.25">
      <c r="A324" t="s">
        <v>50</v>
      </c>
      <c r="B324" s="2">
        <v>28</v>
      </c>
      <c r="C324" s="4">
        <v>861144.15</v>
      </c>
      <c r="D324" s="5" t="s">
        <v>3134</v>
      </c>
      <c r="E324" s="5" t="s">
        <v>3178</v>
      </c>
      <c r="F324" s="5" t="s">
        <v>3135</v>
      </c>
      <c r="G324" s="5">
        <v>34.5</v>
      </c>
      <c r="H324" s="7">
        <v>43279</v>
      </c>
      <c r="I324" s="7">
        <v>43280</v>
      </c>
      <c r="J324" s="5" t="s">
        <v>5</v>
      </c>
    </row>
    <row r="325" spans="1:10" x14ac:dyDescent="0.25">
      <c r="A325" t="s">
        <v>1</v>
      </c>
      <c r="B325" s="2">
        <v>29</v>
      </c>
      <c r="C325" s="4">
        <f>36.2*22400</f>
        <v>810880.00000000012</v>
      </c>
      <c r="D325" s="5" t="s">
        <v>3185</v>
      </c>
      <c r="E325" s="5" t="s">
        <v>3157</v>
      </c>
      <c r="F325" s="5" t="s">
        <v>1468</v>
      </c>
      <c r="G325" s="7">
        <v>43280</v>
      </c>
      <c r="H325" s="5" t="s">
        <v>27</v>
      </c>
    </row>
    <row r="326" spans="1:10" x14ac:dyDescent="0.25">
      <c r="A326" t="s">
        <v>1</v>
      </c>
      <c r="B326" s="2">
        <v>29</v>
      </c>
      <c r="C326" s="4">
        <f>29182.66*G326</f>
        <v>581552.04848</v>
      </c>
      <c r="D326" s="5" t="s">
        <v>3097</v>
      </c>
      <c r="E326" s="5" t="s">
        <v>3098</v>
      </c>
      <c r="F326" s="5" t="s">
        <v>3099</v>
      </c>
      <c r="G326" s="6">
        <v>19.928000000000001</v>
      </c>
      <c r="H326" s="5">
        <v>36.33</v>
      </c>
      <c r="I326" s="7">
        <v>43280</v>
      </c>
      <c r="J326" s="5" t="s">
        <v>5</v>
      </c>
    </row>
    <row r="327" spans="1:10" x14ac:dyDescent="0.25">
      <c r="A327" t="s">
        <v>1</v>
      </c>
      <c r="B327" s="2">
        <v>29</v>
      </c>
      <c r="C327" s="4">
        <f>30145.73*G327</f>
        <v>600744.10744000005</v>
      </c>
      <c r="D327" s="5" t="s">
        <v>3100</v>
      </c>
      <c r="E327" s="5" t="s">
        <v>3101</v>
      </c>
      <c r="F327" s="5" t="s">
        <v>3102</v>
      </c>
      <c r="G327" s="6">
        <v>19.928000000000001</v>
      </c>
      <c r="H327" s="5">
        <v>37.340000000000003</v>
      </c>
      <c r="I327" s="7">
        <v>43280</v>
      </c>
      <c r="J327" s="5" t="s">
        <v>5</v>
      </c>
    </row>
    <row r="328" spans="1:10" x14ac:dyDescent="0.25">
      <c r="A328" s="14" t="s">
        <v>13</v>
      </c>
      <c r="B328" s="2">
        <v>30</v>
      </c>
      <c r="C328" s="3"/>
    </row>
    <row r="329" spans="1:10" x14ac:dyDescent="0.25">
      <c r="A329" s="1" t="s">
        <v>3096</v>
      </c>
      <c r="C329" s="3"/>
    </row>
    <row r="330" spans="1:10" x14ac:dyDescent="0.25">
      <c r="A330" s="14" t="s">
        <v>14</v>
      </c>
      <c r="B330" s="2">
        <v>1</v>
      </c>
      <c r="C330" s="3"/>
    </row>
    <row r="331" spans="1:10" x14ac:dyDescent="0.25">
      <c r="A331" t="s">
        <v>15</v>
      </c>
      <c r="B331" s="2">
        <v>2</v>
      </c>
      <c r="C331" s="18">
        <f>34000*G331</f>
        <v>676566</v>
      </c>
      <c r="D331" s="19" t="s">
        <v>3104</v>
      </c>
      <c r="E331" s="19"/>
      <c r="F331" s="19" t="s">
        <v>1295</v>
      </c>
      <c r="G331" s="11">
        <v>19.899000000000001</v>
      </c>
      <c r="H331" s="10"/>
      <c r="I331" s="12">
        <v>43283</v>
      </c>
      <c r="J331" s="19"/>
    </row>
    <row r="332" spans="1:10" x14ac:dyDescent="0.25">
      <c r="A332" t="s">
        <v>15</v>
      </c>
      <c r="B332" s="2">
        <v>2</v>
      </c>
      <c r="C332" s="18">
        <f>32000*G332</f>
        <v>635840</v>
      </c>
      <c r="D332" s="19" t="s">
        <v>3105</v>
      </c>
      <c r="E332" s="19"/>
      <c r="F332" s="19" t="s">
        <v>99</v>
      </c>
      <c r="G332" s="11">
        <v>19.87</v>
      </c>
      <c r="H332" s="10"/>
      <c r="I332" s="12">
        <v>43283</v>
      </c>
      <c r="J332" s="19"/>
    </row>
    <row r="333" spans="1:10" x14ac:dyDescent="0.25">
      <c r="A333" t="s">
        <v>15</v>
      </c>
      <c r="B333" s="2">
        <v>2</v>
      </c>
      <c r="C333" s="18">
        <f>32000*G333</f>
        <v>636768</v>
      </c>
      <c r="D333" s="19" t="s">
        <v>3106</v>
      </c>
      <c r="E333" s="19"/>
      <c r="F333" s="19" t="s">
        <v>99</v>
      </c>
      <c r="G333" s="11">
        <v>19.899000000000001</v>
      </c>
      <c r="H333" s="10"/>
      <c r="I333" s="12">
        <v>43283</v>
      </c>
      <c r="J333" s="19"/>
    </row>
    <row r="334" spans="1:10" x14ac:dyDescent="0.25">
      <c r="A334" t="s">
        <v>15</v>
      </c>
      <c r="B334" s="2">
        <v>2</v>
      </c>
      <c r="C334" s="3">
        <v>376610.48</v>
      </c>
      <c r="D334" t="s">
        <v>3211</v>
      </c>
      <c r="E334" t="s">
        <v>3210</v>
      </c>
      <c r="F334" t="s">
        <v>1345</v>
      </c>
      <c r="G334" s="13">
        <v>41.8</v>
      </c>
      <c r="I334" s="17"/>
    </row>
    <row r="335" spans="1:10" x14ac:dyDescent="0.25">
      <c r="A335" t="s">
        <v>15</v>
      </c>
      <c r="B335" s="2">
        <v>2</v>
      </c>
      <c r="C335" s="3">
        <f>760032+20712.96</f>
        <v>780744.96</v>
      </c>
      <c r="D335" t="s">
        <v>3145</v>
      </c>
      <c r="E335" t="s">
        <v>3051</v>
      </c>
      <c r="F335" t="s">
        <v>26</v>
      </c>
    </row>
    <row r="336" spans="1:10" x14ac:dyDescent="0.25">
      <c r="A336" t="s">
        <v>15</v>
      </c>
      <c r="B336" s="2">
        <v>2</v>
      </c>
      <c r="C336" s="3">
        <f>245427+6681.6</f>
        <v>252108.6</v>
      </c>
      <c r="D336" t="s">
        <v>3146</v>
      </c>
      <c r="E336" t="s">
        <v>3147</v>
      </c>
      <c r="F336" t="s">
        <v>26</v>
      </c>
    </row>
    <row r="337" spans="1:9" x14ac:dyDescent="0.25">
      <c r="A337" t="s">
        <v>15</v>
      </c>
      <c r="B337" s="2">
        <v>2</v>
      </c>
      <c r="C337" s="3">
        <f>754708.5+20880</f>
        <v>775588.5</v>
      </c>
      <c r="D337" t="s">
        <v>3148</v>
      </c>
      <c r="E337" t="s">
        <v>3149</v>
      </c>
      <c r="F337" t="s">
        <v>26</v>
      </c>
    </row>
    <row r="338" spans="1:9" x14ac:dyDescent="0.25">
      <c r="A338" t="s">
        <v>15</v>
      </c>
      <c r="B338" s="2">
        <v>2</v>
      </c>
      <c r="C338" s="3">
        <v>74924</v>
      </c>
      <c r="D338" t="s">
        <v>3206</v>
      </c>
      <c r="E338" t="s">
        <v>3205</v>
      </c>
      <c r="F338" t="s">
        <v>23</v>
      </c>
      <c r="G338">
        <v>20</v>
      </c>
    </row>
    <row r="339" spans="1:9" x14ac:dyDescent="0.25">
      <c r="A339" t="s">
        <v>34</v>
      </c>
      <c r="B339" s="2">
        <v>3</v>
      </c>
      <c r="C339" s="3">
        <f>766038+20712.96</f>
        <v>786750.96</v>
      </c>
      <c r="D339" t="s">
        <v>3150</v>
      </c>
      <c r="E339" t="s">
        <v>3076</v>
      </c>
      <c r="F339" t="s">
        <v>26</v>
      </c>
    </row>
    <row r="340" spans="1:9" x14ac:dyDescent="0.25">
      <c r="A340" t="s">
        <v>34</v>
      </c>
      <c r="B340" s="2">
        <v>3</v>
      </c>
      <c r="C340" s="3">
        <f>28510.71*G340</f>
        <v>573920.5922999999</v>
      </c>
      <c r="D340" t="s">
        <v>3159</v>
      </c>
      <c r="E340" t="s">
        <v>3160</v>
      </c>
      <c r="F340" t="s">
        <v>3161</v>
      </c>
      <c r="G340" s="5">
        <v>20.13</v>
      </c>
      <c r="H340" s="5">
        <v>36.26</v>
      </c>
      <c r="I340" s="7">
        <v>43284</v>
      </c>
    </row>
    <row r="341" spans="1:9" x14ac:dyDescent="0.25">
      <c r="A341" t="s">
        <v>34</v>
      </c>
      <c r="B341" s="2">
        <v>3</v>
      </c>
      <c r="C341" s="3">
        <f>29860.98*G341</f>
        <v>601400.1372</v>
      </c>
      <c r="D341" t="s">
        <v>3162</v>
      </c>
      <c r="E341" t="s">
        <v>3163</v>
      </c>
      <c r="F341" t="s">
        <v>3164</v>
      </c>
      <c r="G341" s="5">
        <v>20.14</v>
      </c>
      <c r="H341" s="5">
        <v>36.81</v>
      </c>
      <c r="I341" s="7">
        <v>43284</v>
      </c>
    </row>
    <row r="342" spans="1:9" x14ac:dyDescent="0.25">
      <c r="A342" t="s">
        <v>44</v>
      </c>
      <c r="B342" s="2">
        <v>4</v>
      </c>
      <c r="C342" s="3">
        <f>827960+20880</f>
        <v>848840</v>
      </c>
      <c r="D342" t="s">
        <v>3151</v>
      </c>
      <c r="E342" t="s">
        <v>3079</v>
      </c>
      <c r="F342" t="s">
        <v>26</v>
      </c>
    </row>
    <row r="343" spans="1:9" x14ac:dyDescent="0.25">
      <c r="A343" t="s">
        <v>44</v>
      </c>
      <c r="B343" s="2">
        <v>4</v>
      </c>
      <c r="C343" s="3">
        <f>416220+10857.6</f>
        <v>427077.6</v>
      </c>
      <c r="D343" t="s">
        <v>3152</v>
      </c>
      <c r="E343" t="s">
        <v>3080</v>
      </c>
      <c r="F343" t="s">
        <v>26</v>
      </c>
    </row>
    <row r="344" spans="1:9" x14ac:dyDescent="0.25">
      <c r="A344" t="s">
        <v>50</v>
      </c>
      <c r="B344" s="2">
        <v>4</v>
      </c>
      <c r="C344" s="3">
        <f>21400*36.5</f>
        <v>781100</v>
      </c>
      <c r="D344" t="s">
        <v>3183</v>
      </c>
      <c r="E344" s="14" t="s">
        <v>3184</v>
      </c>
      <c r="F344" t="s">
        <v>1468</v>
      </c>
    </row>
    <row r="345" spans="1:9" x14ac:dyDescent="0.25">
      <c r="A345" t="s">
        <v>50</v>
      </c>
      <c r="B345" s="2">
        <v>5</v>
      </c>
      <c r="C345" s="3">
        <f>793800+20880</f>
        <v>814680</v>
      </c>
      <c r="D345" t="s">
        <v>3153</v>
      </c>
      <c r="E345" t="s">
        <v>3154</v>
      </c>
      <c r="F345" t="s">
        <v>26</v>
      </c>
    </row>
    <row r="346" spans="1:9" x14ac:dyDescent="0.25">
      <c r="A346" t="s">
        <v>50</v>
      </c>
      <c r="B346" s="2">
        <v>5</v>
      </c>
      <c r="C346" s="3">
        <f>385980+10857.6</f>
        <v>396837.6</v>
      </c>
      <c r="D346" t="s">
        <v>3155</v>
      </c>
      <c r="E346" t="s">
        <v>3085</v>
      </c>
      <c r="F346" t="s">
        <v>26</v>
      </c>
    </row>
    <row r="347" spans="1:9" x14ac:dyDescent="0.25">
      <c r="A347" t="s">
        <v>1</v>
      </c>
      <c r="B347" s="2">
        <v>6</v>
      </c>
      <c r="C347" s="3">
        <v>35760</v>
      </c>
      <c r="D347" t="s">
        <v>3207</v>
      </c>
      <c r="E347" t="s">
        <v>3217</v>
      </c>
      <c r="F347" t="s">
        <v>23</v>
      </c>
      <c r="G347">
        <v>20</v>
      </c>
    </row>
    <row r="348" spans="1:9" x14ac:dyDescent="0.25">
      <c r="A348" s="14" t="s">
        <v>13</v>
      </c>
      <c r="B348" s="2">
        <v>7</v>
      </c>
      <c r="C348" s="3"/>
    </row>
    <row r="349" spans="1:9" x14ac:dyDescent="0.25">
      <c r="A349" s="14" t="s">
        <v>14</v>
      </c>
      <c r="B349" s="2">
        <v>8</v>
      </c>
      <c r="C349" s="3"/>
    </row>
    <row r="350" spans="1:9" x14ac:dyDescent="0.25">
      <c r="A350" t="s">
        <v>15</v>
      </c>
      <c r="B350" s="2">
        <v>9</v>
      </c>
      <c r="C350" s="3"/>
    </row>
    <row r="351" spans="1:9" x14ac:dyDescent="0.25">
      <c r="A351" t="s">
        <v>15</v>
      </c>
      <c r="B351" s="2">
        <v>9</v>
      </c>
      <c r="C351" s="3">
        <v>1498761.39</v>
      </c>
      <c r="D351" t="s">
        <v>3215</v>
      </c>
      <c r="E351" t="s">
        <v>3212</v>
      </c>
      <c r="F351" t="s">
        <v>1573</v>
      </c>
      <c r="G351">
        <v>86</v>
      </c>
    </row>
    <row r="352" spans="1:9" x14ac:dyDescent="0.25">
      <c r="A352" t="s">
        <v>15</v>
      </c>
      <c r="B352" s="2">
        <v>9</v>
      </c>
      <c r="C352" s="3">
        <f>573720+16787.52</f>
        <v>590507.52000000002</v>
      </c>
      <c r="D352" t="s">
        <v>3179</v>
      </c>
      <c r="E352" t="s">
        <v>3180</v>
      </c>
      <c r="F352" t="s">
        <v>26</v>
      </c>
    </row>
    <row r="353" spans="1:6" x14ac:dyDescent="0.25">
      <c r="A353" t="s">
        <v>15</v>
      </c>
      <c r="B353" s="2">
        <v>9</v>
      </c>
      <c r="C353" s="3">
        <f>451640+10857.6</f>
        <v>462497.6</v>
      </c>
      <c r="D353" t="s">
        <v>3182</v>
      </c>
      <c r="E353" t="s">
        <v>3181</v>
      </c>
      <c r="F353" t="s">
        <v>26</v>
      </c>
    </row>
    <row r="354" spans="1:6" x14ac:dyDescent="0.25">
      <c r="A354" t="s">
        <v>15</v>
      </c>
      <c r="B354" s="2">
        <v>9</v>
      </c>
      <c r="C354" s="3">
        <f>795720+20880</f>
        <v>816600</v>
      </c>
      <c r="D354" t="s">
        <v>3187</v>
      </c>
      <c r="E354" t="s">
        <v>3142</v>
      </c>
      <c r="F354" t="s">
        <v>26</v>
      </c>
    </row>
    <row r="355" spans="1:6" x14ac:dyDescent="0.25">
      <c r="A355" t="s">
        <v>15</v>
      </c>
      <c r="B355" s="2">
        <v>9</v>
      </c>
      <c r="C355" s="3">
        <f>244672.5+6681.6+166155+4176</f>
        <v>421685.1</v>
      </c>
      <c r="D355" t="s">
        <v>3186</v>
      </c>
      <c r="E355" t="s">
        <v>3158</v>
      </c>
      <c r="F355" t="s">
        <v>26</v>
      </c>
    </row>
    <row r="356" spans="1:6" x14ac:dyDescent="0.25">
      <c r="A356" t="s">
        <v>34</v>
      </c>
      <c r="B356" s="2">
        <v>10</v>
      </c>
      <c r="C356" s="3">
        <f>670747.5+16620.48+167580+4176</f>
        <v>859123.98</v>
      </c>
      <c r="D356" t="s">
        <v>3188</v>
      </c>
      <c r="E356" t="s">
        <v>3171</v>
      </c>
      <c r="F356" t="s">
        <v>26</v>
      </c>
    </row>
    <row r="357" spans="1:6" x14ac:dyDescent="0.25">
      <c r="A357" t="s">
        <v>44</v>
      </c>
      <c r="B357" s="2">
        <v>11</v>
      </c>
      <c r="C357" s="3">
        <f>748925+20629.44</f>
        <v>769554.44</v>
      </c>
      <c r="D357" t="s">
        <v>3189</v>
      </c>
      <c r="E357" t="s">
        <v>3174</v>
      </c>
      <c r="F357" t="s">
        <v>26</v>
      </c>
    </row>
    <row r="358" spans="1:6" x14ac:dyDescent="0.25">
      <c r="A358" t="s">
        <v>44</v>
      </c>
      <c r="B358" s="2">
        <v>11</v>
      </c>
      <c r="C358" s="3">
        <f>413395+10857</f>
        <v>424252</v>
      </c>
      <c r="D358" t="s">
        <v>3190</v>
      </c>
      <c r="E358" t="s">
        <v>3175</v>
      </c>
      <c r="F358" t="s">
        <v>26</v>
      </c>
    </row>
    <row r="359" spans="1:6" x14ac:dyDescent="0.25">
      <c r="A359" t="s">
        <v>50</v>
      </c>
      <c r="B359" s="2">
        <v>12</v>
      </c>
      <c r="C359" s="3">
        <f>795470+20963.52</f>
        <v>816433.52</v>
      </c>
      <c r="D359" t="s">
        <v>3202</v>
      </c>
      <c r="E359" t="s">
        <v>3191</v>
      </c>
      <c r="F359" t="s">
        <v>26</v>
      </c>
    </row>
    <row r="360" spans="1:6" x14ac:dyDescent="0.25">
      <c r="A360" t="s">
        <v>50</v>
      </c>
      <c r="B360" s="2">
        <v>12</v>
      </c>
      <c r="C360" s="3">
        <f>423110+10857.6</f>
        <v>433967.6</v>
      </c>
      <c r="D360" t="s">
        <v>3204</v>
      </c>
      <c r="E360" t="s">
        <v>3203</v>
      </c>
      <c r="F360" t="s">
        <v>26</v>
      </c>
    </row>
    <row r="361" spans="1:6" x14ac:dyDescent="0.25">
      <c r="A361" t="s">
        <v>1</v>
      </c>
      <c r="B361" s="2">
        <v>13</v>
      </c>
      <c r="C361" s="3"/>
    </row>
    <row r="362" spans="1:6" x14ac:dyDescent="0.25">
      <c r="A362" s="14" t="s">
        <v>13</v>
      </c>
      <c r="B362" s="2">
        <v>14</v>
      </c>
      <c r="C362" s="3"/>
    </row>
    <row r="363" spans="1:6" x14ac:dyDescent="0.25">
      <c r="A363" s="14" t="s">
        <v>14</v>
      </c>
      <c r="B363" s="2">
        <v>15</v>
      </c>
      <c r="C363" s="3"/>
    </row>
    <row r="364" spans="1:6" x14ac:dyDescent="0.25">
      <c r="A364" t="s">
        <v>15</v>
      </c>
      <c r="B364" s="2">
        <v>16</v>
      </c>
      <c r="C364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programa de pagos</vt:lpstr>
      <vt:lpstr>enero 18 </vt:lpstr>
      <vt:lpstr>febrero</vt:lpstr>
      <vt:lpstr>marzo</vt:lpstr>
      <vt:lpstr>abril</vt:lpstr>
      <vt:lpstr>mayo</vt:lpstr>
      <vt:lpstr>junio</vt:lpstr>
      <vt:lpstr>julio</vt:lpstr>
      <vt:lpstr>cierres</vt:lpstr>
      <vt:lpstr>Seaboard</vt:lpstr>
      <vt:lpstr>Tyson</vt:lpstr>
      <vt:lpstr>Proledo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pc1</dc:creator>
  <cp:lastModifiedBy>Rouss</cp:lastModifiedBy>
  <cp:lastPrinted>2018-04-25T19:59:14Z</cp:lastPrinted>
  <dcterms:created xsi:type="dcterms:W3CDTF">2018-01-02T20:46:06Z</dcterms:created>
  <dcterms:modified xsi:type="dcterms:W3CDTF">2019-04-01T17:21:23Z</dcterms:modified>
</cp:coreProperties>
</file>