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12  DICIEMBRE  2018\"/>
    </mc:Choice>
  </mc:AlternateContent>
  <bookViews>
    <workbookView xWindow="0" yWindow="0" windowWidth="24000" windowHeight="9735" firstSheet="22" activeTab="22"/>
  </bookViews>
  <sheets>
    <sheet name="E N E R O     2 0 1 8    " sheetId="1" r:id="rId1"/>
    <sheet name="SALIDAS  ENERO   2018     " sheetId="2" r:id="rId2"/>
    <sheet name="F E B R E RO     2 0 1 8       " sheetId="3" r:id="rId3"/>
    <sheet name="SALIDAS  FEBRERO    2018    " sheetId="4" r:id="rId4"/>
    <sheet name="M A R Z O   2018     " sheetId="5" r:id="rId5"/>
    <sheet name="SALIDAS   MARZO   2018" sheetId="6" r:id="rId6"/>
    <sheet name="A B R I L   2018   " sheetId="7" r:id="rId7"/>
    <sheet name="SALIDAS    ABRIL   2018   " sheetId="9" r:id="rId8"/>
    <sheet name="M A Y O    2018      " sheetId="10" r:id="rId9"/>
    <sheet name="SALIDAS    MAYO     2018    " sheetId="11" r:id="rId10"/>
    <sheet name="JUNIO    2018     " sheetId="12" r:id="rId11"/>
    <sheet name="SALIDAS  JUNIO    2018    " sheetId="13" r:id="rId12"/>
    <sheet name=" J U L I O     2018     " sheetId="19" r:id="rId13"/>
    <sheet name="SALIDAS   JULIO    2018    " sheetId="18" r:id="rId14"/>
    <sheet name="AGOSTO   2018    " sheetId="17" r:id="rId15"/>
    <sheet name="SALIDAS   AGOSTO   2018   " sheetId="14" r:id="rId16"/>
    <sheet name="SEPTIEMBRE     2018     " sheetId="15" r:id="rId17"/>
    <sheet name="SALIDAS  SEPTIEMBRE   2018   " sheetId="16" r:id="rId18"/>
    <sheet name="O C T U B R E     2018    " sheetId="8" r:id="rId19"/>
    <sheet name="SALIDAS   OCTUBRE   2018   " sheetId="20" r:id="rId20"/>
    <sheet name="NOVIEMBRE   2018     " sheetId="21" r:id="rId21"/>
    <sheet name="SALIDAS NOVIEMBRE 2018   " sheetId="22" r:id="rId22"/>
    <sheet name="DICIEMBRE   2018    " sheetId="23" r:id="rId23"/>
    <sheet name="SALIDAS   DICIEMBRE   2018  " sheetId="24" r:id="rId24"/>
    <sheet name="Hoja2" sheetId="26" r:id="rId25"/>
    <sheet name="Hoja3" sheetId="27" r:id="rId2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3" i="23" l="1"/>
  <c r="L26" i="23"/>
  <c r="F35" i="24" l="1"/>
  <c r="F36" i="24"/>
  <c r="F37" i="24"/>
  <c r="F38" i="24"/>
  <c r="F39" i="24"/>
  <c r="F40" i="24"/>
  <c r="F41" i="24"/>
  <c r="F42" i="24"/>
  <c r="F43" i="24"/>
  <c r="F44" i="24"/>
  <c r="L35" i="23"/>
  <c r="L34" i="23"/>
  <c r="L32" i="23"/>
  <c r="L31" i="23" l="1"/>
  <c r="L29" i="23"/>
  <c r="L28" i="23"/>
  <c r="L27" i="23"/>
  <c r="L23" i="23" l="1"/>
  <c r="L21" i="23"/>
  <c r="L20" i="23"/>
  <c r="L19" i="23"/>
  <c r="L14" i="23" l="1"/>
  <c r="L12" i="23"/>
  <c r="L11" i="23"/>
  <c r="L9" i="23"/>
  <c r="L5" i="23"/>
  <c r="E48" i="24"/>
  <c r="C48" i="24"/>
  <c r="F47" i="24"/>
  <c r="F46" i="24"/>
  <c r="F4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7" i="24"/>
  <c r="F6" i="24"/>
  <c r="F5" i="24"/>
  <c r="F4" i="24"/>
  <c r="F3" i="24"/>
  <c r="J43" i="23"/>
  <c r="H38" i="23"/>
  <c r="E38" i="23"/>
  <c r="B38" i="23"/>
  <c r="K8" i="23"/>
  <c r="K38" i="23" s="1"/>
  <c r="L36" i="23" l="1"/>
  <c r="J40" i="23"/>
  <c r="E41" i="23" s="1"/>
  <c r="E44" i="23" s="1"/>
  <c r="E46" i="23" s="1"/>
  <c r="J42" i="23" s="1"/>
  <c r="J44" i="23" s="1"/>
  <c r="F48" i="24"/>
  <c r="L33" i="21" l="1"/>
  <c r="L30" i="21"/>
  <c r="L28" i="21"/>
  <c r="L26" i="21"/>
  <c r="L24" i="21" l="1"/>
  <c r="L21" i="21"/>
  <c r="L20" i="21"/>
  <c r="L17" i="21" l="1"/>
  <c r="L14" i="21"/>
  <c r="L7" i="21" l="1"/>
  <c r="L36" i="21" s="1"/>
  <c r="E38" i="22"/>
  <c r="C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7" i="22"/>
  <c r="F6" i="22"/>
  <c r="F5" i="22"/>
  <c r="F4" i="22"/>
  <c r="F3" i="22"/>
  <c r="J43" i="21"/>
  <c r="H38" i="21"/>
  <c r="E38" i="21"/>
  <c r="B38" i="21"/>
  <c r="K8" i="21"/>
  <c r="K38" i="21" s="1"/>
  <c r="F38" i="22" l="1"/>
  <c r="J40" i="21"/>
  <c r="E41" i="21" s="1"/>
  <c r="E44" i="21" s="1"/>
  <c r="E46" i="21" s="1"/>
  <c r="J42" i="21" s="1"/>
  <c r="J44" i="21" s="1"/>
  <c r="L37" i="15" l="1"/>
  <c r="E38" i="8"/>
  <c r="L29" i="8" l="1"/>
  <c r="L26" i="8" l="1"/>
  <c r="L24" i="8"/>
  <c r="L22" i="8" l="1"/>
  <c r="L17" i="8"/>
  <c r="L15" i="8"/>
  <c r="L10" i="8" l="1"/>
  <c r="L7" i="8" l="1"/>
  <c r="L36" i="8" s="1"/>
  <c r="C38" i="16" l="1"/>
  <c r="E38" i="20" l="1"/>
  <c r="C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F3" i="20"/>
  <c r="J43" i="8"/>
  <c r="H38" i="8"/>
  <c r="B38" i="8"/>
  <c r="K8" i="8"/>
  <c r="K38" i="8" s="1"/>
  <c r="F38" i="20" l="1"/>
  <c r="J40" i="8"/>
  <c r="E41" i="8" s="1"/>
  <c r="E44" i="8" s="1"/>
  <c r="E46" i="8" s="1"/>
  <c r="J42" i="8" s="1"/>
  <c r="J44" i="8" s="1"/>
  <c r="L33" i="15"/>
  <c r="L28" i="15"/>
  <c r="L25" i="15" l="1"/>
  <c r="L23" i="15"/>
  <c r="L21" i="15"/>
  <c r="L18" i="15" l="1"/>
  <c r="L15" i="15"/>
  <c r="L12" i="15"/>
  <c r="L7" i="15" l="1"/>
  <c r="E38" i="16" l="1"/>
  <c r="F37" i="16"/>
  <c r="F36" i="16"/>
  <c r="F35" i="16"/>
  <c r="F34" i="16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6" i="16"/>
  <c r="F5" i="16"/>
  <c r="F4" i="16"/>
  <c r="F3" i="16"/>
  <c r="J43" i="15"/>
  <c r="H38" i="15"/>
  <c r="E38" i="15"/>
  <c r="B38" i="15"/>
  <c r="K8" i="15"/>
  <c r="K38" i="15" s="1"/>
  <c r="F38" i="16" l="1"/>
  <c r="J40" i="15"/>
  <c r="E41" i="15" s="1"/>
  <c r="E44" i="15" s="1"/>
  <c r="E46" i="15" s="1"/>
  <c r="J42" i="15" s="1"/>
  <c r="J44" i="15" s="1"/>
  <c r="L35" i="17"/>
  <c r="L32" i="17" l="1"/>
  <c r="L29" i="17" l="1"/>
  <c r="L21" i="17"/>
  <c r="L18" i="17" l="1"/>
  <c r="L17" i="17"/>
  <c r="L15" i="17"/>
  <c r="L12" i="17" l="1"/>
  <c r="E38" i="14" l="1"/>
  <c r="C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J43" i="17"/>
  <c r="H38" i="17"/>
  <c r="E38" i="17"/>
  <c r="B38" i="17"/>
  <c r="L36" i="17"/>
  <c r="K8" i="17"/>
  <c r="K38" i="17" s="1"/>
  <c r="F38" i="14" l="1"/>
  <c r="J40" i="17"/>
  <c r="E41" i="17" s="1"/>
  <c r="E44" i="17" s="1"/>
  <c r="E46" i="17" s="1"/>
  <c r="J42" i="17" s="1"/>
  <c r="J44" i="17" s="1"/>
  <c r="F17" i="18"/>
  <c r="F18" i="18"/>
  <c r="F19" i="18"/>
  <c r="F20" i="18"/>
  <c r="L34" i="19"/>
  <c r="L32" i="19"/>
  <c r="L28" i="19" l="1"/>
  <c r="L9" i="19" l="1"/>
  <c r="L17" i="19" l="1"/>
  <c r="L15" i="19" l="1"/>
  <c r="L13" i="19"/>
  <c r="L34" i="12" l="1"/>
  <c r="E38" i="18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J43" i="19"/>
  <c r="H38" i="19"/>
  <c r="E38" i="19"/>
  <c r="B38" i="19"/>
  <c r="K8" i="19"/>
  <c r="K38" i="19" s="1"/>
  <c r="L36" i="19"/>
  <c r="J40" i="19" l="1"/>
  <c r="E41" i="19" s="1"/>
  <c r="E44" i="19" s="1"/>
  <c r="E46" i="19" s="1"/>
  <c r="J42" i="19" s="1"/>
  <c r="J44" i="19" s="1"/>
  <c r="F38" i="18"/>
  <c r="F31" i="13"/>
  <c r="F32" i="13"/>
  <c r="F33" i="13"/>
  <c r="F34" i="13"/>
  <c r="F35" i="13"/>
  <c r="F36" i="13"/>
  <c r="L32" i="12" l="1"/>
  <c r="L26" i="12"/>
  <c r="L20" i="12" l="1"/>
  <c r="L17" i="12"/>
  <c r="L15" i="12"/>
  <c r="L12" i="12"/>
  <c r="L22" i="12"/>
  <c r="L10" i="12" l="1"/>
  <c r="L6" i="12"/>
  <c r="E37" i="13" l="1"/>
  <c r="C37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37" i="13" l="1"/>
  <c r="J43" i="12"/>
  <c r="K38" i="12"/>
  <c r="H38" i="12"/>
  <c r="E38" i="12"/>
  <c r="B38" i="12"/>
  <c r="L36" i="12"/>
  <c r="K8" i="12"/>
  <c r="J40" i="12" l="1"/>
  <c r="E41" i="12" s="1"/>
  <c r="E44" i="12" s="1"/>
  <c r="E46" i="12" s="1"/>
  <c r="J42" i="12" s="1"/>
  <c r="J44" i="12" s="1"/>
  <c r="F16" i="11"/>
  <c r="F17" i="11"/>
  <c r="F18" i="11"/>
  <c r="F19" i="11"/>
  <c r="L30" i="10" l="1"/>
  <c r="L28" i="10"/>
  <c r="L16" i="10" l="1"/>
  <c r="L14" i="10"/>
  <c r="L8" i="10" l="1"/>
  <c r="L6" i="10"/>
  <c r="E34" i="11" l="1"/>
  <c r="C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J43" i="10"/>
  <c r="H38" i="10"/>
  <c r="E38" i="10"/>
  <c r="B38" i="10"/>
  <c r="K8" i="10"/>
  <c r="K38" i="10" s="1"/>
  <c r="L36" i="10"/>
  <c r="J43" i="7"/>
  <c r="F34" i="11" l="1"/>
  <c r="J40" i="10"/>
  <c r="E41" i="10" s="1"/>
  <c r="E44" i="10" s="1"/>
  <c r="E46" i="10" s="1"/>
  <c r="J42" i="10" s="1"/>
  <c r="J44" i="10" s="1"/>
  <c r="L34" i="7" l="1"/>
  <c r="L32" i="7" l="1"/>
  <c r="L27" i="7"/>
  <c r="L26" i="7"/>
  <c r="L24" i="7"/>
  <c r="L23" i="7"/>
  <c r="L22" i="7"/>
  <c r="L17" i="7" l="1"/>
  <c r="L10" i="7"/>
  <c r="L7" i="7"/>
  <c r="E33" i="9" l="1"/>
  <c r="C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H38" i="7"/>
  <c r="E38" i="7"/>
  <c r="B38" i="7"/>
  <c r="K8" i="7"/>
  <c r="K38" i="7" s="1"/>
  <c r="L36" i="7"/>
  <c r="F33" i="9" l="1"/>
  <c r="J40" i="7"/>
  <c r="E41" i="7" s="1"/>
  <c r="E44" i="7" s="1"/>
  <c r="E46" i="7" s="1"/>
  <c r="J42" i="7" s="1"/>
  <c r="J44" i="7" s="1"/>
  <c r="F19" i="6" l="1"/>
  <c r="F20" i="6"/>
  <c r="F21" i="6"/>
  <c r="F22" i="6"/>
  <c r="F23" i="6"/>
  <c r="F24" i="6"/>
  <c r="F25" i="6"/>
  <c r="F26" i="6"/>
  <c r="F27" i="6"/>
  <c r="L32" i="5" l="1"/>
  <c r="L27" i="5" l="1"/>
  <c r="L20" i="5"/>
  <c r="L13" i="5" l="1"/>
  <c r="L6" i="5" l="1"/>
  <c r="F18" i="4" l="1"/>
  <c r="E33" i="6" l="1"/>
  <c r="C33" i="6"/>
  <c r="F32" i="6"/>
  <c r="F31" i="6"/>
  <c r="F30" i="6"/>
  <c r="F29" i="6"/>
  <c r="F2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45" i="5"/>
  <c r="H38" i="5"/>
  <c r="E38" i="5"/>
  <c r="B38" i="5"/>
  <c r="M37" i="5"/>
  <c r="K8" i="5"/>
  <c r="K38" i="5" s="1"/>
  <c r="L36" i="5"/>
  <c r="H38" i="3"/>
  <c r="J40" i="5" l="1"/>
  <c r="E41" i="5" s="1"/>
  <c r="E44" i="5" s="1"/>
  <c r="E46" i="5" s="1"/>
  <c r="J44" i="5" s="1"/>
  <c r="J47" i="5" s="1"/>
  <c r="F33" i="6"/>
  <c r="L24" i="3" l="1"/>
  <c r="L20" i="3" l="1"/>
  <c r="L17" i="3" l="1"/>
  <c r="L13" i="3" l="1"/>
  <c r="L8" i="3"/>
  <c r="L6" i="3"/>
  <c r="E28" i="4" l="1"/>
  <c r="C28" i="4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45" i="3"/>
  <c r="E38" i="3"/>
  <c r="B38" i="3"/>
  <c r="M37" i="3"/>
  <c r="L36" i="3"/>
  <c r="K8" i="3"/>
  <c r="K38" i="3" s="1"/>
  <c r="F28" i="4" l="1"/>
  <c r="J40" i="3"/>
  <c r="E41" i="3" s="1"/>
  <c r="E44" i="3" s="1"/>
  <c r="E46" i="3" s="1"/>
  <c r="J44" i="3" s="1"/>
  <c r="J47" i="3" s="1"/>
  <c r="F40" i="2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<sst xmlns="http://schemas.openxmlformats.org/spreadsheetml/2006/main" count="938" uniqueCount="379">
  <si>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</si>
  <si>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</si>
  <si>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</si>
  <si>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</si>
  <si>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</si>
  <si>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</si>
  <si>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</si>
  <si>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</si>
  <si>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</si>
  <si>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</si>
  <si>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</si>
  <si>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</si>
  <si>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</si>
  <si>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</si>
  <si>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</si>
  <si>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</si>
  <si>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</si>
  <si>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</si>
  <si>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</si>
  <si>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</si>
  <si>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</si>
  <si>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</si>
  <si>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</si>
  <si>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</si>
  <si>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</si>
  <si>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</si>
  <si>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</si>
  <si>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</si>
  <si>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</si>
  <si>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</si>
  <si>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</si>
  <si>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</si>
  <si>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</si>
  <si>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</si>
  <si>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</si>
  <si>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</si>
  <si>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</si>
  <si>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</si>
  <si>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</si>
  <si>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</si>
  <si>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</si>
  <si>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</si>
  <si>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</si>
  <si>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</si>
  <si>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</si>
  <si>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</si>
  <si>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</si>
  <si>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</si>
  <si>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</si>
  <si>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</si>
  <si>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</si>
  <si>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</si>
  <si>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</si>
  <si>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</si>
  <si>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</si>
  <si>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</si>
  <si>
    <t xml:space="preserve">BALANCE       DE    F E B R E R O                2 0 1 8      HERRADURA </t>
  </si>
  <si>
    <t>NOMINA 05</t>
  </si>
  <si>
    <t>NOMINA 06</t>
  </si>
  <si>
    <t>NOMINA 07</t>
  </si>
  <si>
    <t>NOMINA 08</t>
  </si>
  <si>
    <t xml:space="preserve">29-4 Feb </t>
  </si>
  <si>
    <t>5-11 Feb</t>
  </si>
  <si>
    <t>12-18 Feb</t>
  </si>
  <si>
    <t xml:space="preserve">  </t>
  </si>
  <si>
    <t xml:space="preserve">19-25 feb </t>
  </si>
  <si>
    <t>Enero</t>
  </si>
  <si>
    <t>CENTRAL</t>
  </si>
  <si>
    <t xml:space="preserve">BALANCE       DE    M A R Z O                2 0 1 8      HERRADURA </t>
  </si>
  <si>
    <t>8-Marzo,</t>
  </si>
  <si>
    <t>9, MAR</t>
  </si>
  <si>
    <t>NOMINA 09</t>
  </si>
  <si>
    <t>NOMINA 10</t>
  </si>
  <si>
    <t>NOMINA 11</t>
  </si>
  <si>
    <t>NOMINA 12</t>
  </si>
  <si>
    <t>NOMINA 13</t>
  </si>
  <si>
    <t>26-4 MAR</t>
  </si>
  <si>
    <t>5-11-MAR</t>
  </si>
  <si>
    <t>12-18-MAR</t>
  </si>
  <si>
    <t>19-25 MAR</t>
  </si>
  <si>
    <t>26-01-ABR</t>
  </si>
  <si>
    <t>DESCANSO</t>
  </si>
  <si>
    <t>1-Marzo,</t>
  </si>
  <si>
    <t>PÉRDIDA</t>
  </si>
  <si>
    <t>NOMINA 14</t>
  </si>
  <si>
    <t>NOMINA 15</t>
  </si>
  <si>
    <t>NOMINA 16</t>
  </si>
  <si>
    <t>NOMINA 17</t>
  </si>
  <si>
    <t>5-ABR,</t>
  </si>
  <si>
    <t>7-ABR,</t>
  </si>
  <si>
    <t>10-ABR,</t>
  </si>
  <si>
    <t>NOMINA  18</t>
  </si>
  <si>
    <t>VACACIONES</t>
  </si>
  <si>
    <t>Miguel Glz</t>
  </si>
  <si>
    <t>28 ABR,</t>
  </si>
  <si>
    <t>2-08-Abr,</t>
  </si>
  <si>
    <t>9-15-Abr</t>
  </si>
  <si>
    <t>16-22-abr</t>
  </si>
  <si>
    <t>23-29-abr,</t>
  </si>
  <si>
    <t>221-105-7695</t>
  </si>
  <si>
    <t xml:space="preserve">BALANCE       DE    M A Y O                 2 0 1 8      HERRADURA </t>
  </si>
  <si>
    <t xml:space="preserve">BALANCE       DE    A B R I L                2 0 1 8      HERRADURA </t>
  </si>
  <si>
    <t>NOMINA 18</t>
  </si>
  <si>
    <t>NOMINA 19</t>
  </si>
  <si>
    <t>NOMINA 20</t>
  </si>
  <si>
    <t>NOMINA 21</t>
  </si>
  <si>
    <t>NOMINA  22</t>
  </si>
  <si>
    <t>Celedonio</t>
  </si>
  <si>
    <t>0009 A</t>
  </si>
  <si>
    <t>0012 A</t>
  </si>
  <si>
    <t>0020 A</t>
  </si>
  <si>
    <t>0026 A</t>
  </si>
  <si>
    <t>0037 A</t>
  </si>
  <si>
    <t>0004 A Central</t>
  </si>
  <si>
    <t>0051 A</t>
  </si>
  <si>
    <t>0058 A</t>
  </si>
  <si>
    <t>0060 A</t>
  </si>
  <si>
    <t>0068 A</t>
  </si>
  <si>
    <t>0070 A</t>
  </si>
  <si>
    <t>0078 A</t>
  </si>
  <si>
    <t>0086 A</t>
  </si>
  <si>
    <t>0090 A</t>
  </si>
  <si>
    <t>0094 A</t>
  </si>
  <si>
    <t>0101 A</t>
  </si>
  <si>
    <t>0102 A</t>
  </si>
  <si>
    <t>0106 A</t>
  </si>
  <si>
    <t>0112 A</t>
  </si>
  <si>
    <t>0120 A</t>
  </si>
  <si>
    <t>30-6 May</t>
  </si>
  <si>
    <t>7-13  Mayo</t>
  </si>
  <si>
    <t xml:space="preserve">14-20 Mayo </t>
  </si>
  <si>
    <t xml:space="preserve">21-27 Mayo </t>
  </si>
  <si>
    <t>28-03 Jun</t>
  </si>
  <si>
    <t>0074 A</t>
  </si>
  <si>
    <t>0124 A</t>
  </si>
  <si>
    <t xml:space="preserve">BALANCE       DE    J U N I O                 2 0 1 8      HERRADURA </t>
  </si>
  <si>
    <t>NOMINA 23</t>
  </si>
  <si>
    <t>NOMINA 24</t>
  </si>
  <si>
    <t>NOMINA 25</t>
  </si>
  <si>
    <t>130 A</t>
  </si>
  <si>
    <t>136 A</t>
  </si>
  <si>
    <t>141 A</t>
  </si>
  <si>
    <t>144 A</t>
  </si>
  <si>
    <t>151 A</t>
  </si>
  <si>
    <t>156 A</t>
  </si>
  <si>
    <t>158 A</t>
  </si>
  <si>
    <t>160 A</t>
  </si>
  <si>
    <t>164 A</t>
  </si>
  <si>
    <t>169 A</t>
  </si>
  <si>
    <t>177 A</t>
  </si>
  <si>
    <t>181 A</t>
  </si>
  <si>
    <t>.</t>
  </si>
  <si>
    <t>189 A</t>
  </si>
  <si>
    <t>195 A</t>
  </si>
  <si>
    <t>198 A</t>
  </si>
  <si>
    <t>211 A</t>
  </si>
  <si>
    <t>215 A</t>
  </si>
  <si>
    <t>NOMINA 26</t>
  </si>
  <si>
    <t xml:space="preserve">NOMINA  </t>
  </si>
  <si>
    <t>4-10 Jun</t>
  </si>
  <si>
    <t xml:space="preserve">11-17 Jun </t>
  </si>
  <si>
    <t>18-24 Jun</t>
  </si>
  <si>
    <t xml:space="preserve">25-01 Jul </t>
  </si>
  <si>
    <t>226-A</t>
  </si>
  <si>
    <t>230-A</t>
  </si>
  <si>
    <t>238-A</t>
  </si>
  <si>
    <t>241-A</t>
  </si>
  <si>
    <t>245-A</t>
  </si>
  <si>
    <t>258-A</t>
  </si>
  <si>
    <t>262-A</t>
  </si>
  <si>
    <t>266-A</t>
  </si>
  <si>
    <t>275-A</t>
  </si>
  <si>
    <t>276-A</t>
  </si>
  <si>
    <t>284-A</t>
  </si>
  <si>
    <t>290-A</t>
  </si>
  <si>
    <t>293-A</t>
  </si>
  <si>
    <t>183-A</t>
  </si>
  <si>
    <t>Manto CAMARAS</t>
  </si>
  <si>
    <t>cuatri-mestre</t>
  </si>
  <si>
    <t xml:space="preserve">BALANCE       DE    J U L I O                 2 0 1 8      HERRADURA </t>
  </si>
  <si>
    <t>NOMINA 27</t>
  </si>
  <si>
    <t>NOMINA 28</t>
  </si>
  <si>
    <t>NOMINA 29</t>
  </si>
  <si>
    <t>NOMINA 30</t>
  </si>
  <si>
    <t>mas el sobrante de ayer</t>
  </si>
  <si>
    <t>302 A</t>
  </si>
  <si>
    <t>308 A</t>
  </si>
  <si>
    <t>322 A</t>
  </si>
  <si>
    <t>331 A</t>
  </si>
  <si>
    <t>332 A</t>
  </si>
  <si>
    <t>334 A</t>
  </si>
  <si>
    <t>335 A</t>
  </si>
  <si>
    <t>344 A</t>
  </si>
  <si>
    <t>347 A</t>
  </si>
  <si>
    <t>350 A</t>
  </si>
  <si>
    <t>360 A</t>
  </si>
  <si>
    <t>356 A</t>
  </si>
  <si>
    <t>364 A</t>
  </si>
  <si>
    <t>372 A</t>
  </si>
  <si>
    <t>383 A</t>
  </si>
  <si>
    <t>388 A</t>
  </si>
  <si>
    <t>401 A</t>
  </si>
  <si>
    <t>406 A</t>
  </si>
  <si>
    <t>417 A</t>
  </si>
  <si>
    <t>421 A</t>
  </si>
  <si>
    <t>378 A</t>
  </si>
  <si>
    <t>426 A</t>
  </si>
  <si>
    <t>427 A</t>
  </si>
  <si>
    <t>430 A</t>
  </si>
  <si>
    <t>440 A</t>
  </si>
  <si>
    <t>444 A</t>
  </si>
  <si>
    <t>02-07 Jul</t>
  </si>
  <si>
    <t>08-15 jul</t>
  </si>
  <si>
    <t>16-22 Jul</t>
  </si>
  <si>
    <t xml:space="preserve">23-29 Jul </t>
  </si>
  <si>
    <t xml:space="preserve">BALANCE       DE    A G O S T O               2 0 1 8      HERRADURA </t>
  </si>
  <si>
    <t>NOMINA 31</t>
  </si>
  <si>
    <t>NOMINA 32</t>
  </si>
  <si>
    <t>NOMINA 33</t>
  </si>
  <si>
    <t>NOMINA 34</t>
  </si>
  <si>
    <t>Marisol 3 Ago.</t>
  </si>
  <si>
    <t>472 A</t>
  </si>
  <si>
    <t>476 A</t>
  </si>
  <si>
    <t>497 A</t>
  </si>
  <si>
    <t>500 A</t>
  </si>
  <si>
    <t>505 A</t>
  </si>
  <si>
    <t>511 A</t>
  </si>
  <si>
    <t>514 A</t>
  </si>
  <si>
    <t>516 A</t>
  </si>
  <si>
    <t>517 A</t>
  </si>
  <si>
    <t>522 A</t>
  </si>
  <si>
    <t>530-A</t>
  </si>
  <si>
    <t>534 A</t>
  </si>
  <si>
    <t>539 A</t>
  </si>
  <si>
    <t>543 A</t>
  </si>
  <si>
    <t>239-A</t>
  </si>
  <si>
    <t>255-A</t>
  </si>
  <si>
    <t>547 A</t>
  </si>
  <si>
    <t>551 A</t>
  </si>
  <si>
    <t>554 A</t>
  </si>
  <si>
    <t>555 A</t>
  </si>
  <si>
    <t>556 A</t>
  </si>
  <si>
    <t>557 A</t>
  </si>
  <si>
    <t>564 A</t>
  </si>
  <si>
    <t>569 A</t>
  </si>
  <si>
    <t>572 A</t>
  </si>
  <si>
    <t>577 A</t>
  </si>
  <si>
    <t>601 A</t>
  </si>
  <si>
    <t>591-A</t>
  </si>
  <si>
    <t>593 A</t>
  </si>
  <si>
    <t>599 A</t>
  </si>
  <si>
    <t>600 A</t>
  </si>
  <si>
    <t>LA LUZ SE VENCE LOS        6 DE CADA BIMESTRE  ESTE ES         05-AGOSTO 2018</t>
  </si>
  <si>
    <t>NOMINA  35</t>
  </si>
  <si>
    <t>30-5 Ago</t>
  </si>
  <si>
    <t xml:space="preserve">6-12 Ago </t>
  </si>
  <si>
    <t xml:space="preserve">13-19 Ago </t>
  </si>
  <si>
    <t xml:space="preserve">20-26 Ago </t>
  </si>
  <si>
    <t xml:space="preserve">27-02 Sep </t>
  </si>
  <si>
    <t>PERDIDA</t>
  </si>
  <si>
    <t>NOMINA 36</t>
  </si>
  <si>
    <t>NOMINA 37</t>
  </si>
  <si>
    <t>NOMINA 38</t>
  </si>
  <si>
    <t>NOMINA 39</t>
  </si>
  <si>
    <t xml:space="preserve">BALANCE       DE     S E P T I E M B R E         2 0 1 8      HERRADURA </t>
  </si>
  <si>
    <t>hay un vale parcial</t>
  </si>
  <si>
    <t xml:space="preserve">Maria Luisa </t>
  </si>
  <si>
    <t>Camara Comer</t>
  </si>
  <si>
    <t xml:space="preserve">BALANCE       DE     O C T U B R E         2 0 1 8      HERRADURA </t>
  </si>
  <si>
    <t xml:space="preserve">3-9 Sept </t>
  </si>
  <si>
    <t>10-16 Sept</t>
  </si>
  <si>
    <t>17-23 Sept</t>
  </si>
  <si>
    <t>24-30 Sept</t>
  </si>
  <si>
    <t>Sobrante 30,000</t>
  </si>
  <si>
    <t>677 A</t>
  </si>
  <si>
    <t>684 A</t>
  </si>
  <si>
    <t>691 A</t>
  </si>
  <si>
    <t>695 A</t>
  </si>
  <si>
    <t>699 A</t>
  </si>
  <si>
    <t>756 A</t>
  </si>
  <si>
    <t>aplica el sobrante del 6-Oct</t>
  </si>
  <si>
    <t>FALTANTE 12,023.00</t>
  </si>
  <si>
    <t>Sobrante 12,023.25</t>
  </si>
  <si>
    <t>763 A</t>
  </si>
  <si>
    <t>773 A</t>
  </si>
  <si>
    <t>782 A</t>
  </si>
  <si>
    <t>786 A</t>
  </si>
  <si>
    <t>787 A</t>
  </si>
  <si>
    <t>794 A</t>
  </si>
  <si>
    <t>798 A</t>
  </si>
  <si>
    <t>803 A</t>
  </si>
  <si>
    <t>808 A</t>
  </si>
  <si>
    <t>814-A</t>
  </si>
  <si>
    <t>824 A</t>
  </si>
  <si>
    <t>827-A</t>
  </si>
  <si>
    <t>830 A</t>
  </si>
  <si>
    <t>833-A</t>
  </si>
  <si>
    <t>834-A</t>
  </si>
  <si>
    <t>836-A</t>
  </si>
  <si>
    <t>841-A</t>
  </si>
  <si>
    <t>843-A</t>
  </si>
  <si>
    <t>846-A</t>
  </si>
  <si>
    <t>851-A</t>
  </si>
  <si>
    <t>853-A</t>
  </si>
  <si>
    <t>860-A</t>
  </si>
  <si>
    <t>866-A</t>
  </si>
  <si>
    <t>867-A</t>
  </si>
  <si>
    <t>NOMINA 40</t>
  </si>
  <si>
    <t>NOMINA 41</t>
  </si>
  <si>
    <t>NOMINA 42</t>
  </si>
  <si>
    <t>NOMINA 43</t>
  </si>
  <si>
    <t>1-7 Oct</t>
  </si>
  <si>
    <t>8-14 Oct</t>
  </si>
  <si>
    <t>15-21 Oct</t>
  </si>
  <si>
    <t>22-28 Oct</t>
  </si>
  <si>
    <t xml:space="preserve">BALANCE       DE    N O V I E M B R E          2 0 1 8      HERRADURA </t>
  </si>
  <si>
    <t>NOMINA 44</t>
  </si>
  <si>
    <t>NOMINA 45</t>
  </si>
  <si>
    <t>NOMINA 46</t>
  </si>
  <si>
    <t>NOMINA 47</t>
  </si>
  <si>
    <t>CANCELADA</t>
  </si>
  <si>
    <t>,0003 B</t>
  </si>
  <si>
    <t>,0004 B</t>
  </si>
  <si>
    <t>,0005 B</t>
  </si>
  <si>
    <t>0016 B</t>
  </si>
  <si>
    <t>0021 B</t>
  </si>
  <si>
    <t>0027 B</t>
  </si>
  <si>
    <t>29-04 Nov</t>
  </si>
  <si>
    <t>05-11-Nov</t>
  </si>
  <si>
    <t xml:space="preserve">12-18-Nov </t>
  </si>
  <si>
    <t xml:space="preserve">19-25-Nov </t>
  </si>
  <si>
    <t xml:space="preserve">GANANCIA </t>
  </si>
  <si>
    <t xml:space="preserve">BALANCE       DE    D I C I E M B R E           2 0 1 8      HERRADURA </t>
  </si>
  <si>
    <t>NOMINA 48</t>
  </si>
  <si>
    <t>NOMINA 49</t>
  </si>
  <si>
    <t>NOMINA 50</t>
  </si>
  <si>
    <t>NOMINA 51</t>
  </si>
  <si>
    <t>34 B</t>
  </si>
  <si>
    <t>36 B</t>
  </si>
  <si>
    <t>41 B</t>
  </si>
  <si>
    <t>49 B</t>
  </si>
  <si>
    <t>54 B</t>
  </si>
  <si>
    <t>59 B</t>
  </si>
  <si>
    <t>72 B</t>
  </si>
  <si>
    <t>83 B</t>
  </si>
  <si>
    <t>98 B</t>
  </si>
  <si>
    <t>100 B</t>
  </si>
  <si>
    <t>104 B</t>
  </si>
  <si>
    <t>107 B</t>
  </si>
  <si>
    <t>110 B</t>
  </si>
  <si>
    <t>125 B</t>
  </si>
  <si>
    <t>136 B</t>
  </si>
  <si>
    <t>143 B</t>
  </si>
  <si>
    <t>145 B</t>
  </si>
  <si>
    <t>148 B</t>
  </si>
  <si>
    <t>149 B</t>
  </si>
  <si>
    <t>161 B</t>
  </si>
  <si>
    <t>162 B</t>
  </si>
  <si>
    <t>167 B</t>
  </si>
  <si>
    <t>173 B</t>
  </si>
  <si>
    <t>176 B</t>
  </si>
  <si>
    <t>177 B</t>
  </si>
  <si>
    <t>178 B</t>
  </si>
  <si>
    <t>186 B</t>
  </si>
  <si>
    <t>191 B</t>
  </si>
  <si>
    <t>196 B</t>
  </si>
  <si>
    <t>201 B</t>
  </si>
  <si>
    <t>207 B</t>
  </si>
  <si>
    <t>214 B</t>
  </si>
  <si>
    <t>217 B</t>
  </si>
  <si>
    <t>222 B</t>
  </si>
  <si>
    <t>236 B</t>
  </si>
  <si>
    <t>795 A</t>
  </si>
  <si>
    <t>26-02-Dic</t>
  </si>
  <si>
    <t>03-09-Dic</t>
  </si>
  <si>
    <t>10-16-Dic</t>
  </si>
  <si>
    <t>17-23-Dic</t>
  </si>
  <si>
    <t xml:space="preserve">24-30-Dic </t>
  </si>
  <si>
    <t>NOMINA  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</si>
</sst>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</fills>
  <borders count="6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thick">
        <color indexed="64"/>
      </right>
      <top style="mediumDashed">
        <color auto="1"/>
      </top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8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44" fontId="2" fillId="0" borderId="12" xfId="1" applyFont="1" applyFill="1" applyBorder="1"/>
    <xf numFmtId="0" fontId="1" fillId="0" borderId="0" xfId="0" applyFont="1" applyFill="1"/>
    <xf numFmtId="15" fontId="2" fillId="0" borderId="13" xfId="0" applyNumberFormat="1" applyFont="1" applyFill="1" applyBorder="1" applyAlignment="1">
      <alignment horizontal="center"/>
    </xf>
    <xf numFmtId="44" fontId="2" fillId="0" borderId="14" xfId="1" applyFont="1" applyFill="1" applyBorder="1"/>
    <xf numFmtId="164" fontId="8" fillId="4" borderId="54" xfId="0" applyNumberFormat="1" applyFont="1" applyFill="1" applyBorder="1" applyAlignment="1"/>
    <xf numFmtId="164" fontId="8" fillId="4" borderId="55" xfId="0" applyNumberFormat="1" applyFont="1" applyFill="1" applyBorder="1" applyAlignment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0" fontId="22" fillId="5" borderId="47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24" fillId="5" borderId="52" xfId="0" applyFont="1" applyFill="1" applyBorder="1" applyAlignment="1">
      <alignment horizontal="center"/>
    </xf>
    <xf numFmtId="44" fontId="0" fillId="10" borderId="0" xfId="1" applyFont="1" applyFill="1"/>
    <xf numFmtId="44" fontId="2" fillId="11" borderId="19" xfId="1" applyFont="1" applyFill="1" applyBorder="1"/>
    <xf numFmtId="44" fontId="2" fillId="11" borderId="21" xfId="1" applyFont="1" applyFill="1" applyBorder="1"/>
    <xf numFmtId="44" fontId="2" fillId="11" borderId="25" xfId="1" applyFont="1" applyFill="1" applyBorder="1" applyAlignment="1">
      <alignment horizontal="center"/>
    </xf>
    <xf numFmtId="44" fontId="2" fillId="11" borderId="0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0" fillId="0" borderId="43" xfId="1" applyFont="1" applyBorder="1"/>
    <xf numFmtId="44" fontId="2" fillId="0" borderId="44" xfId="1" applyFont="1" applyBorder="1"/>
    <xf numFmtId="0" fontId="0" fillId="0" borderId="44" xfId="0" applyBorder="1"/>
    <xf numFmtId="44" fontId="19" fillId="0" borderId="44" xfId="1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44" fontId="0" fillId="0" borderId="49" xfId="1" applyFont="1" applyBorder="1"/>
    <xf numFmtId="44" fontId="0" fillId="0" borderId="34" xfId="1" applyFont="1" applyBorder="1"/>
    <xf numFmtId="0" fontId="5" fillId="0" borderId="2" xfId="0" applyFont="1" applyBorder="1"/>
    <xf numFmtId="44" fontId="5" fillId="0" borderId="2" xfId="1" applyFont="1" applyBorder="1"/>
    <xf numFmtId="0" fontId="0" fillId="0" borderId="2" xfId="0" applyBorder="1"/>
    <xf numFmtId="44" fontId="0" fillId="0" borderId="2" xfId="1" applyFont="1" applyBorder="1"/>
    <xf numFmtId="0" fontId="9" fillId="0" borderId="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center" wrapText="1"/>
    </xf>
    <xf numFmtId="17" fontId="13" fillId="0" borderId="0" xfId="1" applyNumberFormat="1" applyFont="1" applyFill="1" applyBorder="1"/>
    <xf numFmtId="0" fontId="22" fillId="12" borderId="47" xfId="0" applyFont="1" applyFill="1" applyBorder="1" applyAlignment="1">
      <alignment horizontal="center"/>
    </xf>
    <xf numFmtId="44" fontId="20" fillId="12" borderId="47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8" fillId="5" borderId="16" xfId="1" applyFont="1" applyFill="1" applyBorder="1" applyAlignment="1">
      <alignment horizontal="center"/>
    </xf>
    <xf numFmtId="44" fontId="2" fillId="0" borderId="60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2" fillId="0" borderId="49" xfId="1" applyFont="1" applyFill="1" applyBorder="1" applyAlignment="1"/>
    <xf numFmtId="0" fontId="2" fillId="0" borderId="0" xfId="0" applyFont="1" applyFill="1" applyBorder="1" applyAlignment="1"/>
    <xf numFmtId="44" fontId="2" fillId="13" borderId="0" xfId="1" applyFont="1" applyFill="1" applyBorder="1" applyAlignment="1">
      <alignment horizontal="left"/>
    </xf>
    <xf numFmtId="44" fontId="8" fillId="13" borderId="0" xfId="1" applyFont="1" applyFill="1" applyBorder="1" applyAlignment="1">
      <alignment horizontal="left"/>
    </xf>
    <xf numFmtId="0" fontId="0" fillId="13" borderId="0" xfId="0" applyFill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17" fontId="13" fillId="0" borderId="0" xfId="1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/>
    </xf>
    <xf numFmtId="15" fontId="2" fillId="0" borderId="61" xfId="0" applyNumberFormat="1" applyFont="1" applyFill="1" applyBorder="1" applyAlignment="1">
      <alignment horizontal="center"/>
    </xf>
    <xf numFmtId="0" fontId="15" fillId="5" borderId="0" xfId="0" applyFont="1" applyFill="1" applyBorder="1" applyAlignment="1">
      <alignment horizontal="center"/>
    </xf>
    <xf numFmtId="0" fontId="22" fillId="10" borderId="41" xfId="0" applyFont="1" applyFill="1" applyBorder="1" applyAlignment="1">
      <alignment horizontal="center"/>
    </xf>
    <xf numFmtId="0" fontId="24" fillId="10" borderId="5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16" fontId="15" fillId="0" borderId="0" xfId="0" applyNumberFormat="1" applyFont="1" applyFill="1" applyBorder="1" applyAlignment="1">
      <alignment horizontal="center"/>
    </xf>
    <xf numFmtId="164" fontId="2" fillId="14" borderId="51" xfId="0" applyNumberFormat="1" applyFont="1" applyFill="1" applyBorder="1" applyAlignment="1">
      <alignment horizontal="center"/>
    </xf>
    <xf numFmtId="0" fontId="24" fillId="14" borderId="5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16" fillId="8" borderId="0" xfId="1" applyFont="1" applyFill="1" applyBorder="1" applyAlignment="1">
      <alignment horizontal="left"/>
    </xf>
    <xf numFmtId="44" fontId="8" fillId="0" borderId="41" xfId="1" applyFont="1" applyFill="1" applyBorder="1" applyAlignment="1">
      <alignment horizontal="center"/>
    </xf>
    <xf numFmtId="44" fontId="14" fillId="0" borderId="62" xfId="1" applyFont="1" applyFill="1" applyBorder="1" applyAlignment="1">
      <alignment horizontal="left"/>
    </xf>
    <xf numFmtId="44" fontId="2" fillId="0" borderId="51" xfId="1" applyFont="1" applyFill="1" applyBorder="1" applyAlignment="1">
      <alignment horizontal="left"/>
    </xf>
    <xf numFmtId="44" fontId="2" fillId="0" borderId="62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16" fillId="0" borderId="0" xfId="1" applyFont="1" applyFill="1" applyBorder="1" applyAlignment="1">
      <alignment horizontal="left"/>
    </xf>
    <xf numFmtId="44" fontId="14" fillId="0" borderId="0" xfId="1" applyFont="1" applyFill="1" applyBorder="1" applyAlignment="1">
      <alignment horizontal="left"/>
    </xf>
    <xf numFmtId="164" fontId="26" fillId="0" borderId="0" xfId="0" applyNumberFormat="1" applyFont="1" applyFill="1" applyBorder="1"/>
    <xf numFmtId="15" fontId="14" fillId="0" borderId="0" xfId="1" applyNumberFormat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  <xf numFmtId="165" fontId="19" fillId="0" borderId="52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165" fontId="19" fillId="0" borderId="44" xfId="0" applyNumberFormat="1" applyFont="1" applyBorder="1" applyAlignment="1">
      <alignment horizontal="center" vertical="center" wrapText="1"/>
    </xf>
    <xf numFmtId="44" fontId="2" fillId="0" borderId="0" xfId="0" applyNumberFormat="1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" xfId="1" applyFont="1" applyFill="1" applyBorder="1" applyAlignment="1">
      <alignment horizontal="center" vertical="center"/>
    </xf>
    <xf numFmtId="44" fontId="8" fillId="0" borderId="35" xfId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44" fontId="2" fillId="0" borderId="42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45" xfId="0" applyFont="1" applyFill="1" applyBorder="1" applyAlignment="1">
      <alignment horizontal="left" wrapText="1"/>
    </xf>
    <xf numFmtId="0" fontId="2" fillId="0" borderId="35" xfId="0" applyFont="1" applyFill="1" applyBorder="1" applyAlignment="1">
      <alignment horizontal="left" wrapText="1"/>
    </xf>
    <xf numFmtId="44" fontId="2" fillId="0" borderId="43" xfId="1" applyFont="1" applyFill="1" applyBorder="1" applyAlignment="1">
      <alignment horizontal="center" wrapText="1"/>
    </xf>
    <xf numFmtId="44" fontId="2" fillId="0" borderId="34" xfId="1" applyFont="1" applyFill="1" applyBorder="1" applyAlignment="1">
      <alignment horizontal="center" wrapText="1"/>
    </xf>
    <xf numFmtId="0" fontId="9" fillId="8" borderId="0" xfId="0" applyFont="1" applyFill="1" applyBorder="1" applyAlignment="1">
      <alignment horizontal="center" vertical="center"/>
    </xf>
    <xf numFmtId="0" fontId="9" fillId="8" borderId="28" xfId="0" applyFont="1" applyFill="1" applyBorder="1" applyAlignment="1">
      <alignment horizontal="center" vertical="center"/>
    </xf>
    <xf numFmtId="44" fontId="9" fillId="8" borderId="4" xfId="0" applyNumberFormat="1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FF99FF"/>
      <color rgb="FFFF66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773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8685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71950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152900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71950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opLeftCell="A22"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5" t="s">
        <v>29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6" ht="20.25" thickTop="1" thickBot="1" x14ac:dyDescent="0.35">
      <c r="A4" s="237"/>
      <c r="B4" s="12">
        <v>117862.22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 t="s">
        <v>66</v>
      </c>
      <c r="J7" s="30" t="s">
        <v>12</v>
      </c>
      <c r="K7" s="31">
        <v>8226.5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245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245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68777.51999999999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246" t="s">
        <v>20</v>
      </c>
      <c r="H40" s="247"/>
      <c r="I40" s="93"/>
      <c r="J40" s="248">
        <f>H38+K38</f>
        <v>68927.51999999999</v>
      </c>
      <c r="K40" s="249"/>
      <c r="L40" s="94"/>
      <c r="M40" s="95"/>
    </row>
    <row r="41" spans="1:14" ht="15.75" customHeight="1" x14ac:dyDescent="0.25">
      <c r="A41" s="1"/>
      <c r="B41" s="5"/>
      <c r="C41" s="250" t="s">
        <v>21</v>
      </c>
      <c r="D41" s="250"/>
      <c r="E41" s="51">
        <f>E38-J40</f>
        <v>1709611.95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244"/>
      <c r="I43" s="244"/>
      <c r="J43" s="244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-8323.4000000001397</v>
      </c>
      <c r="H44" s="251" t="s">
        <v>26</v>
      </c>
      <c r="I44" s="251"/>
      <c r="J44" s="252">
        <f>E46</f>
        <v>150320.06999999986</v>
      </c>
      <c r="K44" s="253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254" t="s">
        <v>1</v>
      </c>
      <c r="I45" s="254"/>
      <c r="J45" s="255">
        <f>-B4</f>
        <v>-117862.22</v>
      </c>
      <c r="K45" s="255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150320.06999999986</v>
      </c>
      <c r="I46" s="101"/>
      <c r="J46" s="256">
        <v>0</v>
      </c>
      <c r="K46" s="256"/>
      <c r="L46" s="94"/>
      <c r="M46" s="95"/>
    </row>
    <row r="47" spans="1:14" ht="19.5" thickBot="1" x14ac:dyDescent="0.3">
      <c r="A47" s="1"/>
      <c r="B47" s="5"/>
      <c r="E47" s="51"/>
      <c r="H47" s="257" t="s">
        <v>55</v>
      </c>
      <c r="I47" s="258"/>
      <c r="J47" s="259">
        <f>SUM(J44:K46)</f>
        <v>32457.84999999986</v>
      </c>
      <c r="K47" s="260"/>
      <c r="L47" s="94"/>
      <c r="M47" s="95"/>
    </row>
    <row r="48" spans="1:14" x14ac:dyDescent="0.25">
      <c r="A48" s="1"/>
      <c r="B48" s="5"/>
      <c r="C48" s="244"/>
      <c r="D48" s="244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D3" sqref="D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52</v>
      </c>
      <c r="I2" s="265"/>
      <c r="J2" s="266"/>
    </row>
    <row r="3" spans="1:10" x14ac:dyDescent="0.25">
      <c r="A3" s="124">
        <v>43222</v>
      </c>
      <c r="B3" s="194">
        <v>995</v>
      </c>
      <c r="C3" s="195">
        <v>96187.08</v>
      </c>
      <c r="D3" s="127"/>
      <c r="E3" s="126"/>
      <c r="F3" s="128">
        <f t="shared" ref="F3:F33" si="0">C3-E3</f>
        <v>96187.08</v>
      </c>
      <c r="H3" s="267"/>
      <c r="I3" s="268"/>
      <c r="J3" s="269"/>
    </row>
    <row r="4" spans="1:10" x14ac:dyDescent="0.25">
      <c r="A4" s="124">
        <v>43223</v>
      </c>
      <c r="B4" s="194">
        <v>1000</v>
      </c>
      <c r="C4" s="195">
        <v>94998.7</v>
      </c>
      <c r="D4" s="127"/>
      <c r="E4" s="131"/>
      <c r="F4" s="132">
        <f t="shared" si="0"/>
        <v>94998.7</v>
      </c>
      <c r="H4" s="267"/>
      <c r="I4" s="268"/>
      <c r="J4" s="269"/>
    </row>
    <row r="5" spans="1:10" ht="15.75" thickBot="1" x14ac:dyDescent="0.3">
      <c r="A5" s="129">
        <v>43224</v>
      </c>
      <c r="B5" s="130" t="s">
        <v>108</v>
      </c>
      <c r="C5" s="131">
        <v>27342.1</v>
      </c>
      <c r="D5" s="127"/>
      <c r="E5" s="131"/>
      <c r="F5" s="132">
        <f t="shared" si="0"/>
        <v>27342.1</v>
      </c>
      <c r="H5" s="270"/>
      <c r="I5" s="271"/>
      <c r="J5" s="272"/>
    </row>
    <row r="6" spans="1:10" x14ac:dyDescent="0.25">
      <c r="A6" s="129">
        <v>43225</v>
      </c>
      <c r="B6" s="130" t="s">
        <v>109</v>
      </c>
      <c r="C6" s="131">
        <v>156417</v>
      </c>
      <c r="D6" s="127"/>
      <c r="E6" s="131"/>
      <c r="F6" s="133">
        <f t="shared" si="0"/>
        <v>156417</v>
      </c>
    </row>
    <row r="7" spans="1:10" x14ac:dyDescent="0.25">
      <c r="A7" s="129">
        <v>43227</v>
      </c>
      <c r="B7" s="130" t="s">
        <v>110</v>
      </c>
      <c r="C7" s="131">
        <v>63444</v>
      </c>
      <c r="D7" s="127"/>
      <c r="E7" s="131"/>
      <c r="F7" s="133">
        <f t="shared" si="0"/>
        <v>63444</v>
      </c>
    </row>
    <row r="8" spans="1:10" x14ac:dyDescent="0.25">
      <c r="A8" s="129">
        <v>43229</v>
      </c>
      <c r="B8" s="130" t="s">
        <v>111</v>
      </c>
      <c r="C8" s="131">
        <v>76628.039999999994</v>
      </c>
      <c r="D8" s="127"/>
      <c r="E8" s="131"/>
      <c r="F8" s="133">
        <f t="shared" si="0"/>
        <v>76628.039999999994</v>
      </c>
    </row>
    <row r="9" spans="1:10" x14ac:dyDescent="0.25">
      <c r="A9" s="129">
        <v>43231</v>
      </c>
      <c r="B9" s="130" t="s">
        <v>112</v>
      </c>
      <c r="C9" s="131">
        <v>115386</v>
      </c>
      <c r="D9" s="127"/>
      <c r="E9" s="131"/>
      <c r="F9" s="133">
        <f t="shared" si="0"/>
        <v>115386</v>
      </c>
    </row>
    <row r="10" spans="1:10" ht="30" x14ac:dyDescent="0.25">
      <c r="A10" s="129">
        <v>43233</v>
      </c>
      <c r="B10" s="192" t="s">
        <v>113</v>
      </c>
      <c r="C10" s="131">
        <v>1891.4</v>
      </c>
      <c r="D10" s="127"/>
      <c r="E10" s="131"/>
      <c r="F10" s="133">
        <f t="shared" si="0"/>
        <v>1891.4</v>
      </c>
    </row>
    <row r="11" spans="1:10" x14ac:dyDescent="0.25">
      <c r="A11" s="129">
        <v>43234</v>
      </c>
      <c r="B11" s="130" t="s">
        <v>114</v>
      </c>
      <c r="C11" s="131">
        <v>87672.1</v>
      </c>
      <c r="D11" s="127"/>
      <c r="E11" s="131"/>
      <c r="F11" s="133">
        <f t="shared" si="0"/>
        <v>87672.1</v>
      </c>
    </row>
    <row r="12" spans="1:10" x14ac:dyDescent="0.25">
      <c r="A12" s="134">
        <v>43236</v>
      </c>
      <c r="B12" s="135" t="s">
        <v>115</v>
      </c>
      <c r="C12" s="131">
        <v>114257.4</v>
      </c>
      <c r="D12" s="127"/>
      <c r="E12" s="131"/>
      <c r="F12" s="133">
        <f t="shared" si="0"/>
        <v>114257.4</v>
      </c>
    </row>
    <row r="13" spans="1:10" x14ac:dyDescent="0.25">
      <c r="A13" s="134">
        <v>43237</v>
      </c>
      <c r="B13" s="135" t="s">
        <v>116</v>
      </c>
      <c r="C13" s="131">
        <v>68488.460000000006</v>
      </c>
      <c r="D13" s="127"/>
      <c r="E13" s="131"/>
      <c r="F13" s="133">
        <f t="shared" si="0"/>
        <v>68488.460000000006</v>
      </c>
    </row>
    <row r="14" spans="1:10" x14ac:dyDescent="0.25">
      <c r="A14" s="134">
        <v>43238</v>
      </c>
      <c r="B14" s="135" t="s">
        <v>117</v>
      </c>
      <c r="C14" s="131">
        <v>42337</v>
      </c>
      <c r="D14" s="127"/>
      <c r="E14" s="131"/>
      <c r="F14" s="133">
        <f t="shared" si="0"/>
        <v>42337</v>
      </c>
    </row>
    <row r="15" spans="1:10" x14ac:dyDescent="0.25">
      <c r="A15" s="134">
        <v>43238</v>
      </c>
      <c r="B15" s="135" t="s">
        <v>118</v>
      </c>
      <c r="C15" s="131">
        <v>25554</v>
      </c>
      <c r="D15" s="127"/>
      <c r="E15" s="131"/>
      <c r="F15" s="133">
        <f t="shared" si="0"/>
        <v>25554</v>
      </c>
    </row>
    <row r="16" spans="1:10" x14ac:dyDescent="0.25">
      <c r="A16" s="134">
        <v>43238</v>
      </c>
      <c r="B16" s="135" t="s">
        <v>133</v>
      </c>
      <c r="C16" s="131">
        <v>51420</v>
      </c>
      <c r="D16" s="127"/>
      <c r="E16" s="131"/>
      <c r="F16" s="133">
        <f t="shared" si="0"/>
        <v>51420</v>
      </c>
    </row>
    <row r="17" spans="1:6" x14ac:dyDescent="0.25">
      <c r="A17" s="134">
        <v>43241</v>
      </c>
      <c r="B17" s="135" t="s">
        <v>119</v>
      </c>
      <c r="C17" s="131">
        <v>75336</v>
      </c>
      <c r="D17" s="127"/>
      <c r="E17" s="131"/>
      <c r="F17" s="133">
        <f t="shared" si="0"/>
        <v>75336</v>
      </c>
    </row>
    <row r="18" spans="1:6" x14ac:dyDescent="0.25">
      <c r="A18" s="134">
        <v>43242</v>
      </c>
      <c r="B18" s="135" t="s">
        <v>120</v>
      </c>
      <c r="C18" s="131">
        <v>61609</v>
      </c>
      <c r="D18" s="127"/>
      <c r="E18" s="131"/>
      <c r="F18" s="133">
        <f t="shared" si="0"/>
        <v>61609</v>
      </c>
    </row>
    <row r="19" spans="1:6" x14ac:dyDescent="0.25">
      <c r="A19" s="134">
        <v>43243</v>
      </c>
      <c r="B19" s="135" t="s">
        <v>121</v>
      </c>
      <c r="C19" s="131">
        <v>62797.69</v>
      </c>
      <c r="D19" s="127"/>
      <c r="E19" s="131"/>
      <c r="F19" s="133">
        <f t="shared" si="0"/>
        <v>62797.69</v>
      </c>
    </row>
    <row r="20" spans="1:6" x14ac:dyDescent="0.25">
      <c r="A20" s="134">
        <v>43244</v>
      </c>
      <c r="B20" s="135" t="s">
        <v>122</v>
      </c>
      <c r="C20" s="131">
        <v>72764.67</v>
      </c>
      <c r="D20" s="127"/>
      <c r="E20" s="131"/>
      <c r="F20" s="133">
        <f t="shared" si="0"/>
        <v>72764.67</v>
      </c>
    </row>
    <row r="21" spans="1:6" x14ac:dyDescent="0.25">
      <c r="A21" s="134">
        <v>43245</v>
      </c>
      <c r="B21" s="135" t="s">
        <v>123</v>
      </c>
      <c r="C21" s="131">
        <v>38355</v>
      </c>
      <c r="D21" s="127"/>
      <c r="E21" s="131"/>
      <c r="F21" s="133">
        <f t="shared" si="0"/>
        <v>38355</v>
      </c>
    </row>
    <row r="22" spans="1:6" x14ac:dyDescent="0.25">
      <c r="A22" s="134">
        <v>43245</v>
      </c>
      <c r="B22" s="135" t="s">
        <v>124</v>
      </c>
      <c r="C22" s="131">
        <v>28975</v>
      </c>
      <c r="D22" s="127"/>
      <c r="E22" s="131"/>
      <c r="F22" s="133">
        <f t="shared" si="0"/>
        <v>28975</v>
      </c>
    </row>
    <row r="23" spans="1:6" x14ac:dyDescent="0.25">
      <c r="A23" s="134">
        <v>43246</v>
      </c>
      <c r="B23" s="135" t="s">
        <v>125</v>
      </c>
      <c r="C23" s="131">
        <v>32280</v>
      </c>
      <c r="D23" s="127"/>
      <c r="E23" s="131"/>
      <c r="F23" s="133">
        <f t="shared" si="0"/>
        <v>32280</v>
      </c>
    </row>
    <row r="24" spans="1:6" x14ac:dyDescent="0.25">
      <c r="A24" s="134">
        <v>43248</v>
      </c>
      <c r="B24" s="135" t="s">
        <v>126</v>
      </c>
      <c r="C24" s="131">
        <v>75710</v>
      </c>
      <c r="D24" s="127"/>
      <c r="E24" s="131"/>
      <c r="F24" s="133">
        <f t="shared" si="0"/>
        <v>75710</v>
      </c>
    </row>
    <row r="25" spans="1:6" x14ac:dyDescent="0.25">
      <c r="A25" s="134">
        <v>43249</v>
      </c>
      <c r="B25" s="135" t="s">
        <v>127</v>
      </c>
      <c r="C25" s="131">
        <v>61206.400000000001</v>
      </c>
      <c r="D25" s="127"/>
      <c r="E25" s="131"/>
      <c r="F25" s="133">
        <f t="shared" si="0"/>
        <v>61206.400000000001</v>
      </c>
    </row>
    <row r="26" spans="1:6" x14ac:dyDescent="0.25">
      <c r="A26" s="134">
        <v>43251</v>
      </c>
      <c r="B26" s="135" t="s">
        <v>134</v>
      </c>
      <c r="C26" s="131">
        <v>102551.92</v>
      </c>
      <c r="D26" s="127"/>
      <c r="E26" s="131"/>
      <c r="F26" s="133">
        <f t="shared" si="0"/>
        <v>102551.92</v>
      </c>
    </row>
    <row r="27" spans="1:6" x14ac:dyDescent="0.25">
      <c r="A27" s="134"/>
      <c r="B27" s="135"/>
      <c r="C27" s="131"/>
      <c r="D27" s="127"/>
      <c r="E27" s="131"/>
      <c r="F27" s="133">
        <f t="shared" si="0"/>
        <v>0</v>
      </c>
    </row>
    <row r="28" spans="1:6" x14ac:dyDescent="0.25">
      <c r="A28" s="134"/>
      <c r="B28" s="135"/>
      <c r="C28" s="131"/>
      <c r="D28" s="127"/>
      <c r="E28" s="131"/>
      <c r="F28" s="133">
        <f t="shared" si="0"/>
        <v>0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ht="16.5" thickBot="1" x14ac:dyDescent="0.3">
      <c r="A33" s="161" t="s">
        <v>53</v>
      </c>
      <c r="B33" s="162"/>
      <c r="C33" s="142"/>
      <c r="D33" s="143"/>
      <c r="E33" s="144">
        <v>42096.5</v>
      </c>
      <c r="F33" s="145">
        <f t="shared" si="0"/>
        <v>-42096.5</v>
      </c>
    </row>
    <row r="34" spans="1:6" s="151" customFormat="1" ht="19.5" thickBot="1" x14ac:dyDescent="0.35">
      <c r="A34" s="149"/>
      <c r="B34" s="150"/>
      <c r="C34" s="146">
        <f>SUM(C3:C33)</f>
        <v>1633608.9599999995</v>
      </c>
      <c r="D34" s="146"/>
      <c r="E34" s="152">
        <f>SUM(E3:E33)</f>
        <v>42096.5</v>
      </c>
      <c r="F34" s="152">
        <f>SUM(F3:F33)</f>
        <v>1591512.4599999995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P68"/>
  <sheetViews>
    <sheetView topLeftCell="B8" workbookViewId="0">
      <selection activeCell="L40" sqref="L40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5" t="s">
        <v>135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6" ht="15.75" thickBot="1" x14ac:dyDescent="0.3">
      <c r="A2" s="1"/>
      <c r="B2" s="5"/>
      <c r="D2" s="196"/>
      <c r="E2" s="8"/>
      <c r="L2" s="9"/>
      <c r="M2" s="4"/>
    </row>
    <row r="3" spans="1:16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6" ht="20.25" thickTop="1" thickBot="1" x14ac:dyDescent="0.35">
      <c r="A4" s="237"/>
      <c r="B4" s="12">
        <v>183107.03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43252</v>
      </c>
      <c r="E5" s="157">
        <v>56610.7</v>
      </c>
      <c r="F5" s="158"/>
      <c r="G5" s="159">
        <v>43252</v>
      </c>
      <c r="H5" s="160">
        <v>0</v>
      </c>
      <c r="I5" s="20"/>
      <c r="J5" s="21"/>
      <c r="K5" s="21"/>
      <c r="L5" s="22">
        <v>56610.5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43253</v>
      </c>
      <c r="E6" s="24">
        <v>74760.02</v>
      </c>
      <c r="F6" s="25"/>
      <c r="G6" s="159">
        <v>43253</v>
      </c>
      <c r="H6" s="26">
        <v>100</v>
      </c>
      <c r="I6" s="27"/>
      <c r="J6" s="28" t="s">
        <v>8</v>
      </c>
      <c r="K6" s="29">
        <v>549</v>
      </c>
      <c r="L6" s="22">
        <f>35000+20000+15000+9753.5</f>
        <v>79753.5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43254</v>
      </c>
      <c r="E7" s="24">
        <v>87610.05</v>
      </c>
      <c r="F7" s="19"/>
      <c r="G7" s="159">
        <v>43254</v>
      </c>
      <c r="H7" s="26">
        <v>0</v>
      </c>
      <c r="I7" s="61"/>
      <c r="J7" s="30" t="s">
        <v>9</v>
      </c>
      <c r="K7" s="31">
        <v>7121.5</v>
      </c>
      <c r="L7" s="22">
        <v>87610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43255</v>
      </c>
      <c r="E8" s="24">
        <v>35707.019999999997</v>
      </c>
      <c r="F8" s="19"/>
      <c r="G8" s="159">
        <v>43255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35707.019999999997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43256</v>
      </c>
      <c r="E9" s="24">
        <v>24915.439999999999</v>
      </c>
      <c r="F9" s="19"/>
      <c r="G9" s="159">
        <v>43256</v>
      </c>
      <c r="H9" s="26">
        <v>0</v>
      </c>
      <c r="I9" s="37" t="s">
        <v>159</v>
      </c>
      <c r="J9" s="28" t="s">
        <v>136</v>
      </c>
      <c r="K9" s="38">
        <v>8000.88</v>
      </c>
      <c r="L9" s="22">
        <v>24915.5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43257</v>
      </c>
      <c r="E10" s="24">
        <v>35664.85</v>
      </c>
      <c r="F10" s="19"/>
      <c r="G10" s="159">
        <v>43257</v>
      </c>
      <c r="H10" s="26">
        <v>0</v>
      </c>
      <c r="I10" s="193" t="s">
        <v>160</v>
      </c>
      <c r="J10" s="28" t="s">
        <v>137</v>
      </c>
      <c r="K10" s="38">
        <v>7929.45</v>
      </c>
      <c r="L10" s="22">
        <f>15000+20665</f>
        <v>35665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43258</v>
      </c>
      <c r="E11" s="24">
        <v>57993.3</v>
      </c>
      <c r="F11" s="19"/>
      <c r="G11" s="159">
        <v>43258</v>
      </c>
      <c r="H11" s="26">
        <v>0</v>
      </c>
      <c r="I11" s="37" t="s">
        <v>161</v>
      </c>
      <c r="J11" s="28" t="s">
        <v>138</v>
      </c>
      <c r="K11" s="38">
        <v>7477.12</v>
      </c>
      <c r="L11" s="22">
        <v>57093.5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43259</v>
      </c>
      <c r="E12" s="24">
        <v>68841.3</v>
      </c>
      <c r="F12" s="19"/>
      <c r="G12" s="159">
        <v>43259</v>
      </c>
      <c r="H12" s="26">
        <v>0</v>
      </c>
      <c r="I12" s="37" t="s">
        <v>162</v>
      </c>
      <c r="J12" s="28" t="s">
        <v>157</v>
      </c>
      <c r="K12" s="38">
        <v>10058.200000000001</v>
      </c>
      <c r="L12" s="22">
        <f>40000+28841.5</f>
        <v>68841.5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43260</v>
      </c>
      <c r="E13" s="24">
        <v>109732.16</v>
      </c>
      <c r="F13" s="19"/>
      <c r="G13" s="159">
        <v>43260</v>
      </c>
      <c r="H13" s="26">
        <v>50</v>
      </c>
      <c r="I13" s="37"/>
      <c r="J13" s="28" t="s">
        <v>158</v>
      </c>
      <c r="K13" s="29">
        <v>0</v>
      </c>
      <c r="L13" s="22">
        <v>109682.16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43261</v>
      </c>
      <c r="E14" s="24">
        <v>74896.759999999995</v>
      </c>
      <c r="F14" s="19"/>
      <c r="G14" s="159">
        <v>43261</v>
      </c>
      <c r="H14" s="26">
        <v>0</v>
      </c>
      <c r="I14" s="61"/>
      <c r="J14" s="40" t="s">
        <v>92</v>
      </c>
      <c r="K14" s="29">
        <v>0</v>
      </c>
      <c r="L14" s="22">
        <v>74897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43262</v>
      </c>
      <c r="E15" s="24">
        <v>68788.5</v>
      </c>
      <c r="F15" s="19"/>
      <c r="G15" s="159">
        <v>43262</v>
      </c>
      <c r="H15" s="26">
        <v>35</v>
      </c>
      <c r="I15" s="27"/>
      <c r="J15" s="175"/>
      <c r="K15" s="29">
        <v>0</v>
      </c>
      <c r="L15" s="22">
        <f>50000+18753.5</f>
        <v>68753.5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43263</v>
      </c>
      <c r="E16" s="24">
        <v>39487.33</v>
      </c>
      <c r="F16" s="19"/>
      <c r="G16" s="159">
        <v>43263</v>
      </c>
      <c r="H16" s="26">
        <v>0</v>
      </c>
      <c r="I16" s="27"/>
      <c r="J16" s="42"/>
      <c r="K16" s="43">
        <v>0</v>
      </c>
      <c r="L16" s="22">
        <v>39487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43264</v>
      </c>
      <c r="E17" s="24">
        <v>48622.95</v>
      </c>
      <c r="F17" s="19"/>
      <c r="G17" s="159">
        <v>43264</v>
      </c>
      <c r="H17" s="199">
        <v>0</v>
      </c>
      <c r="I17" s="292" t="s">
        <v>178</v>
      </c>
      <c r="J17" s="290" t="s">
        <v>177</v>
      </c>
      <c r="K17" s="43">
        <v>12702</v>
      </c>
      <c r="L17" s="198">
        <f>20000+28623</f>
        <v>48623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43265</v>
      </c>
      <c r="E18" s="24">
        <v>38604.47</v>
      </c>
      <c r="F18" s="19"/>
      <c r="G18" s="159">
        <v>43265</v>
      </c>
      <c r="H18" s="199">
        <v>0</v>
      </c>
      <c r="I18" s="293"/>
      <c r="J18" s="291"/>
      <c r="K18" s="45">
        <v>0</v>
      </c>
      <c r="L18" s="198">
        <v>38604.5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43266</v>
      </c>
      <c r="E19" s="24">
        <v>60550.45</v>
      </c>
      <c r="F19" s="19"/>
      <c r="G19" s="159">
        <v>43266</v>
      </c>
      <c r="H19" s="26">
        <v>20</v>
      </c>
      <c r="I19" s="27"/>
      <c r="J19" s="46" t="s">
        <v>12</v>
      </c>
      <c r="K19" s="45">
        <v>0</v>
      </c>
      <c r="L19" s="198">
        <v>60530.45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43267</v>
      </c>
      <c r="E20" s="24">
        <v>64910.42</v>
      </c>
      <c r="F20" s="19"/>
      <c r="G20" s="159">
        <v>43267</v>
      </c>
      <c r="H20" s="26">
        <v>0</v>
      </c>
      <c r="I20" s="49"/>
      <c r="J20" s="50"/>
      <c r="K20" s="51" t="s">
        <v>151</v>
      </c>
      <c r="L20" s="198">
        <f>29910.5+35000</f>
        <v>64910.5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43268</v>
      </c>
      <c r="E21" s="24">
        <v>107644.64</v>
      </c>
      <c r="F21" s="19"/>
      <c r="G21" s="159">
        <v>43268</v>
      </c>
      <c r="H21" s="26">
        <v>0</v>
      </c>
      <c r="I21" s="33"/>
      <c r="J21" s="52"/>
      <c r="K21" s="51"/>
      <c r="L21" s="22">
        <v>107645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43269</v>
      </c>
      <c r="E22" s="24">
        <v>41492.11</v>
      </c>
      <c r="F22" s="19"/>
      <c r="G22" s="159">
        <v>43269</v>
      </c>
      <c r="H22" s="26">
        <v>35</v>
      </c>
      <c r="I22" s="49" t="s">
        <v>23</v>
      </c>
      <c r="J22" s="53"/>
      <c r="K22" s="51">
        <v>0</v>
      </c>
      <c r="L22" s="22">
        <f>15000+26457</f>
        <v>41457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43270</v>
      </c>
      <c r="E23" s="24">
        <v>57868.9</v>
      </c>
      <c r="F23" s="19"/>
      <c r="G23" s="159">
        <v>43270</v>
      </c>
      <c r="H23" s="26">
        <v>0</v>
      </c>
      <c r="I23" s="27"/>
      <c r="J23" s="52"/>
      <c r="K23" s="51">
        <v>0</v>
      </c>
      <c r="L23" s="22">
        <v>57869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43271</v>
      </c>
      <c r="E24" s="24">
        <v>35906.54</v>
      </c>
      <c r="F24" s="19"/>
      <c r="G24" s="159">
        <v>43271</v>
      </c>
      <c r="H24" s="26">
        <v>0</v>
      </c>
      <c r="I24" s="27"/>
      <c r="J24" s="54" t="s">
        <v>15</v>
      </c>
      <c r="K24" s="51">
        <v>870</v>
      </c>
      <c r="L24" s="22">
        <v>35906.5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43272</v>
      </c>
      <c r="E25" s="24">
        <v>50579.79</v>
      </c>
      <c r="F25" s="19"/>
      <c r="G25" s="159">
        <v>43272</v>
      </c>
      <c r="H25" s="26">
        <v>0</v>
      </c>
      <c r="I25" s="27"/>
      <c r="J25" s="55">
        <v>43253</v>
      </c>
      <c r="K25" s="51">
        <v>0</v>
      </c>
      <c r="L25" s="22">
        <v>50580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43273</v>
      </c>
      <c r="E26" s="24">
        <v>80834.55</v>
      </c>
      <c r="F26" s="19"/>
      <c r="G26" s="159">
        <v>43273</v>
      </c>
      <c r="H26" s="26">
        <v>160</v>
      </c>
      <c r="I26" s="27"/>
      <c r="J26" s="56" t="s">
        <v>16</v>
      </c>
      <c r="K26" s="27">
        <v>900</v>
      </c>
      <c r="L26" s="22">
        <f>40674.5+40000</f>
        <v>80674.5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43274</v>
      </c>
      <c r="E27" s="24">
        <v>94229.28</v>
      </c>
      <c r="F27" s="19"/>
      <c r="G27" s="159">
        <v>43274</v>
      </c>
      <c r="H27" s="26">
        <v>0</v>
      </c>
      <c r="I27" s="27"/>
      <c r="J27" s="116">
        <v>43258</v>
      </c>
      <c r="K27" s="27">
        <v>0</v>
      </c>
      <c r="L27" s="22">
        <v>94229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43275</v>
      </c>
      <c r="E28" s="24">
        <v>127533.64</v>
      </c>
      <c r="F28" s="19"/>
      <c r="G28" s="159">
        <v>43275</v>
      </c>
      <c r="H28" s="26">
        <v>0</v>
      </c>
      <c r="I28" s="27"/>
      <c r="J28" s="57"/>
      <c r="K28" s="51">
        <v>0</v>
      </c>
      <c r="L28" s="22">
        <v>127533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43276</v>
      </c>
      <c r="E29" s="24">
        <v>60706.92</v>
      </c>
      <c r="F29" s="19"/>
      <c r="G29" s="159">
        <v>43276</v>
      </c>
      <c r="H29" s="26">
        <v>0</v>
      </c>
      <c r="I29" s="27"/>
      <c r="J29" s="55"/>
      <c r="K29" s="51">
        <v>0</v>
      </c>
      <c r="L29" s="22">
        <v>60707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43277</v>
      </c>
      <c r="E30" s="24">
        <v>78556.850000000006</v>
      </c>
      <c r="F30" s="19"/>
      <c r="G30" s="159">
        <v>43277</v>
      </c>
      <c r="H30" s="26">
        <v>0</v>
      </c>
      <c r="I30" s="27"/>
      <c r="J30" s="60" t="s">
        <v>18</v>
      </c>
      <c r="K30" s="51">
        <v>0</v>
      </c>
      <c r="L30" s="22">
        <v>78557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43278</v>
      </c>
      <c r="E31" s="24">
        <v>54024.35</v>
      </c>
      <c r="F31" s="19"/>
      <c r="G31" s="159">
        <v>43278</v>
      </c>
      <c r="H31" s="26">
        <v>35</v>
      </c>
      <c r="I31" s="61"/>
      <c r="J31" s="62"/>
      <c r="K31" s="51">
        <v>0</v>
      </c>
      <c r="L31" s="22">
        <v>53989.35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43279</v>
      </c>
      <c r="E32" s="24">
        <v>49595.8</v>
      </c>
      <c r="F32" s="19"/>
      <c r="G32" s="159">
        <v>43279</v>
      </c>
      <c r="H32" s="26">
        <v>0</v>
      </c>
      <c r="I32" s="61"/>
      <c r="J32" s="60"/>
      <c r="K32" s="29">
        <v>0</v>
      </c>
      <c r="L32" s="22">
        <f>32000+17596</f>
        <v>49596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43280</v>
      </c>
      <c r="E33" s="24">
        <v>51805.1</v>
      </c>
      <c r="F33" s="19"/>
      <c r="G33" s="159">
        <v>43280</v>
      </c>
      <c r="H33" s="26">
        <v>0</v>
      </c>
      <c r="I33" s="27"/>
      <c r="J33" s="63"/>
      <c r="K33" s="38"/>
      <c r="L33" s="22">
        <v>51805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43281</v>
      </c>
      <c r="E34" s="24">
        <v>119161.8</v>
      </c>
      <c r="F34" s="19"/>
      <c r="G34" s="159">
        <v>43281</v>
      </c>
      <c r="H34" s="26">
        <v>0</v>
      </c>
      <c r="I34" s="27"/>
      <c r="J34" s="63"/>
      <c r="K34" s="38"/>
      <c r="L34" s="22">
        <f>100000+19162</f>
        <v>119162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/>
      <c r="E35" s="24"/>
      <c r="F35" s="19"/>
      <c r="G35" s="159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1961394.98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1957635.9900000002</v>
      </c>
      <c r="G38" s="196" t="s">
        <v>19</v>
      </c>
      <c r="H38" s="88">
        <f>SUM(H5:H37)</f>
        <v>435</v>
      </c>
      <c r="I38" s="88"/>
      <c r="J38" s="89" t="s">
        <v>19</v>
      </c>
      <c r="K38" s="90">
        <f t="shared" ref="K38" si="0">SUM(K5:K37)</f>
        <v>84358.15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5" t="s">
        <v>20</v>
      </c>
      <c r="H40" s="276"/>
      <c r="I40" s="197"/>
      <c r="J40" s="277">
        <f>H38+K38</f>
        <v>84793.15</v>
      </c>
      <c r="K40" s="278"/>
      <c r="L40" s="94"/>
      <c r="M40" s="95"/>
    </row>
    <row r="41" spans="1:14" ht="15.75" x14ac:dyDescent="0.25">
      <c r="A41" s="1"/>
      <c r="B41" s="179"/>
      <c r="C41" s="279" t="s">
        <v>21</v>
      </c>
      <c r="D41" s="279"/>
      <c r="E41" s="180">
        <f>E38-J40</f>
        <v>1872842.8400000003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60670.3</v>
      </c>
      <c r="F42" s="176"/>
      <c r="G42" s="176"/>
      <c r="H42" s="280" t="s">
        <v>26</v>
      </c>
      <c r="I42" s="280"/>
      <c r="J42" s="280">
        <f>E46</f>
        <v>213773.02000000046</v>
      </c>
      <c r="K42" s="287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-1948637.4</v>
      </c>
      <c r="F43" s="176"/>
      <c r="G43" s="176"/>
      <c r="H43" s="254" t="s">
        <v>1</v>
      </c>
      <c r="I43" s="254"/>
      <c r="J43" s="288">
        <f>-B4</f>
        <v>-183107.03</v>
      </c>
      <c r="K43" s="289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-15124.259999999544</v>
      </c>
      <c r="F44" s="176"/>
      <c r="G44" s="176"/>
      <c r="H44" s="257" t="s">
        <v>55</v>
      </c>
      <c r="I44" s="258"/>
      <c r="J44" s="259">
        <f>SUM(J41:K43)</f>
        <v>30665.990000000456</v>
      </c>
      <c r="K44" s="260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228897.28</v>
      </c>
      <c r="F45" s="176"/>
      <c r="G45" s="176"/>
      <c r="H45" s="71"/>
      <c r="I45" s="176"/>
      <c r="J45" s="281"/>
      <c r="K45" s="282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213773.02000000046</v>
      </c>
      <c r="F46" s="189"/>
      <c r="G46" s="189"/>
      <c r="H46" s="190"/>
      <c r="I46" s="191"/>
      <c r="J46" s="283"/>
      <c r="K46" s="284"/>
      <c r="L46" s="94"/>
      <c r="M46" s="95"/>
    </row>
    <row r="47" spans="1:14" ht="18.75" x14ac:dyDescent="0.25">
      <c r="A47" s="1"/>
      <c r="B47" s="5"/>
      <c r="E47" s="51"/>
      <c r="J47" s="285"/>
      <c r="K47" s="286"/>
      <c r="L47" s="94"/>
      <c r="M47" s="95"/>
    </row>
    <row r="48" spans="1:14" x14ac:dyDescent="0.25">
      <c r="A48" s="1"/>
      <c r="B48" s="5"/>
      <c r="C48" s="244"/>
      <c r="D48" s="244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1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I17:I18"/>
    <mergeCell ref="B1:J1"/>
    <mergeCell ref="A3:A4"/>
    <mergeCell ref="D3:F3"/>
    <mergeCell ref="G3:H3"/>
    <mergeCell ref="D4:E4"/>
    <mergeCell ref="H4:K4"/>
  </mergeCells>
  <pageMargins left="0.5118110236220472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J37"/>
  <sheetViews>
    <sheetView topLeftCell="A13" workbookViewId="0">
      <selection activeCell="E23" sqref="E2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52</v>
      </c>
      <c r="I2" s="265"/>
      <c r="J2" s="266"/>
    </row>
    <row r="3" spans="1:10" x14ac:dyDescent="0.25">
      <c r="A3" s="124">
        <v>43252</v>
      </c>
      <c r="B3" s="125" t="s">
        <v>139</v>
      </c>
      <c r="C3" s="126">
        <v>47810</v>
      </c>
      <c r="D3" s="127"/>
      <c r="E3" s="126"/>
      <c r="F3" s="128">
        <f t="shared" ref="F3:F36" si="0">C3-E3</f>
        <v>47810</v>
      </c>
      <c r="H3" s="267"/>
      <c r="I3" s="268"/>
      <c r="J3" s="269"/>
    </row>
    <row r="4" spans="1:10" x14ac:dyDescent="0.25">
      <c r="A4" s="124">
        <v>43253</v>
      </c>
      <c r="B4" s="125" t="s">
        <v>140</v>
      </c>
      <c r="C4" s="126">
        <v>108346</v>
      </c>
      <c r="D4" s="127"/>
      <c r="E4" s="131"/>
      <c r="F4" s="132">
        <f t="shared" si="0"/>
        <v>108346</v>
      </c>
      <c r="H4" s="267"/>
      <c r="I4" s="268"/>
      <c r="J4" s="269"/>
    </row>
    <row r="5" spans="1:10" ht="15.75" thickBot="1" x14ac:dyDescent="0.3">
      <c r="A5" s="129">
        <v>43255</v>
      </c>
      <c r="B5" s="130" t="s">
        <v>141</v>
      </c>
      <c r="C5" s="131">
        <v>35482.1</v>
      </c>
      <c r="D5" s="127"/>
      <c r="E5" s="131"/>
      <c r="F5" s="132">
        <f t="shared" si="0"/>
        <v>35482.1</v>
      </c>
      <c r="H5" s="270"/>
      <c r="I5" s="271"/>
      <c r="J5" s="272"/>
    </row>
    <row r="6" spans="1:10" x14ac:dyDescent="0.25">
      <c r="A6" s="129">
        <v>43255</v>
      </c>
      <c r="B6" s="130" t="s">
        <v>142</v>
      </c>
      <c r="C6" s="131">
        <v>91946.1</v>
      </c>
      <c r="D6" s="127"/>
      <c r="E6" s="131"/>
      <c r="F6" s="133">
        <f t="shared" si="0"/>
        <v>91946.1</v>
      </c>
    </row>
    <row r="7" spans="1:10" x14ac:dyDescent="0.25">
      <c r="A7" s="129">
        <v>43257</v>
      </c>
      <c r="B7" s="130" t="s">
        <v>143</v>
      </c>
      <c r="C7" s="131">
        <v>156332.64000000001</v>
      </c>
      <c r="D7" s="127"/>
      <c r="E7" s="131"/>
      <c r="F7" s="133">
        <f t="shared" si="0"/>
        <v>156332.64000000001</v>
      </c>
    </row>
    <row r="8" spans="1:10" x14ac:dyDescent="0.25">
      <c r="A8" s="129">
        <v>43258</v>
      </c>
      <c r="B8" s="130" t="s">
        <v>144</v>
      </c>
      <c r="C8" s="131">
        <v>28102</v>
      </c>
      <c r="D8" s="127"/>
      <c r="E8" s="131"/>
      <c r="F8" s="133">
        <f t="shared" si="0"/>
        <v>28102</v>
      </c>
    </row>
    <row r="9" spans="1:10" x14ac:dyDescent="0.25">
      <c r="A9" s="129">
        <v>43259</v>
      </c>
      <c r="B9" s="130" t="s">
        <v>145</v>
      </c>
      <c r="C9" s="131">
        <v>27049.599999999999</v>
      </c>
      <c r="D9" s="127"/>
      <c r="E9" s="131"/>
      <c r="F9" s="133">
        <f t="shared" si="0"/>
        <v>27049.599999999999</v>
      </c>
    </row>
    <row r="10" spans="1:10" x14ac:dyDescent="0.25">
      <c r="A10" s="129">
        <v>43259</v>
      </c>
      <c r="B10" s="192" t="s">
        <v>146</v>
      </c>
      <c r="C10" s="131">
        <v>3813.6</v>
      </c>
      <c r="D10" s="127"/>
      <c r="E10" s="131"/>
      <c r="F10" s="133">
        <f t="shared" si="0"/>
        <v>3813.6</v>
      </c>
    </row>
    <row r="11" spans="1:10" x14ac:dyDescent="0.25">
      <c r="A11" s="129">
        <v>43260</v>
      </c>
      <c r="B11" s="130" t="s">
        <v>147</v>
      </c>
      <c r="C11" s="131">
        <v>104684.72</v>
      </c>
      <c r="D11" s="127"/>
      <c r="E11" s="131"/>
      <c r="F11" s="133">
        <f t="shared" si="0"/>
        <v>104684.72</v>
      </c>
    </row>
    <row r="12" spans="1:10" x14ac:dyDescent="0.25">
      <c r="A12" s="134">
        <v>43262</v>
      </c>
      <c r="B12" s="135" t="s">
        <v>148</v>
      </c>
      <c r="C12" s="131">
        <v>83769</v>
      </c>
      <c r="D12" s="127"/>
      <c r="E12" s="131"/>
      <c r="F12" s="133">
        <f t="shared" si="0"/>
        <v>83769</v>
      </c>
    </row>
    <row r="13" spans="1:10" x14ac:dyDescent="0.25">
      <c r="A13" s="134">
        <v>43262</v>
      </c>
      <c r="B13" s="135" t="s">
        <v>149</v>
      </c>
      <c r="C13" s="131">
        <v>6317</v>
      </c>
      <c r="D13" s="127"/>
      <c r="E13" s="131"/>
      <c r="F13" s="133">
        <f t="shared" si="0"/>
        <v>6317</v>
      </c>
    </row>
    <row r="14" spans="1:10" x14ac:dyDescent="0.25">
      <c r="A14" s="134">
        <v>43263</v>
      </c>
      <c r="B14" s="135" t="s">
        <v>150</v>
      </c>
      <c r="C14" s="131">
        <v>3008</v>
      </c>
      <c r="D14" s="127"/>
      <c r="E14" s="131"/>
      <c r="F14" s="133">
        <f t="shared" si="0"/>
        <v>3008</v>
      </c>
    </row>
    <row r="15" spans="1:10" x14ac:dyDescent="0.25">
      <c r="A15" s="134">
        <v>43264</v>
      </c>
      <c r="B15" s="135" t="s">
        <v>176</v>
      </c>
      <c r="C15" s="131">
        <v>106862</v>
      </c>
      <c r="D15" s="127"/>
      <c r="E15" s="131"/>
      <c r="F15" s="133">
        <f t="shared" si="0"/>
        <v>106862</v>
      </c>
    </row>
    <row r="16" spans="1:10" x14ac:dyDescent="0.25">
      <c r="A16" s="134">
        <v>43265</v>
      </c>
      <c r="B16" s="135" t="s">
        <v>152</v>
      </c>
      <c r="C16" s="131">
        <v>48928.800000000003</v>
      </c>
      <c r="D16" s="127"/>
      <c r="E16" s="131"/>
      <c r="F16" s="133">
        <f t="shared" si="0"/>
        <v>48928.800000000003</v>
      </c>
    </row>
    <row r="17" spans="1:6" x14ac:dyDescent="0.25">
      <c r="A17" s="134">
        <v>43266</v>
      </c>
      <c r="B17" s="135" t="s">
        <v>153</v>
      </c>
      <c r="C17" s="131">
        <v>62211</v>
      </c>
      <c r="D17" s="127"/>
      <c r="E17" s="131"/>
      <c r="F17" s="133">
        <f t="shared" si="0"/>
        <v>62211</v>
      </c>
    </row>
    <row r="18" spans="1:6" x14ac:dyDescent="0.25">
      <c r="A18" s="134">
        <v>43267</v>
      </c>
      <c r="B18" s="135" t="s">
        <v>154</v>
      </c>
      <c r="C18" s="131">
        <v>52658.92</v>
      </c>
      <c r="D18" s="127"/>
      <c r="E18" s="131"/>
      <c r="F18" s="133">
        <f t="shared" si="0"/>
        <v>52658.92</v>
      </c>
    </row>
    <row r="19" spans="1:6" x14ac:dyDescent="0.25">
      <c r="A19" s="134">
        <v>43269</v>
      </c>
      <c r="B19" s="135" t="s">
        <v>155</v>
      </c>
      <c r="C19" s="131">
        <v>18007.14</v>
      </c>
      <c r="D19" s="127"/>
      <c r="E19" s="131"/>
      <c r="F19" s="133">
        <f t="shared" si="0"/>
        <v>18007.14</v>
      </c>
    </row>
    <row r="20" spans="1:6" x14ac:dyDescent="0.25">
      <c r="A20" s="134">
        <v>43270</v>
      </c>
      <c r="B20" s="135" t="s">
        <v>156</v>
      </c>
      <c r="C20" s="131">
        <v>85821</v>
      </c>
      <c r="D20" s="127"/>
      <c r="E20" s="131"/>
      <c r="F20" s="133">
        <f t="shared" si="0"/>
        <v>85821</v>
      </c>
    </row>
    <row r="21" spans="1:6" x14ac:dyDescent="0.25">
      <c r="A21" s="134">
        <v>43271</v>
      </c>
      <c r="B21" s="135" t="s">
        <v>163</v>
      </c>
      <c r="C21" s="131">
        <v>56802.5</v>
      </c>
      <c r="D21" s="127"/>
      <c r="E21" s="131"/>
      <c r="F21" s="133">
        <f t="shared" si="0"/>
        <v>56802.5</v>
      </c>
    </row>
    <row r="22" spans="1:6" x14ac:dyDescent="0.25">
      <c r="A22" s="134">
        <v>43272</v>
      </c>
      <c r="B22" s="135" t="s">
        <v>164</v>
      </c>
      <c r="C22" s="131">
        <v>141183</v>
      </c>
      <c r="D22" s="127"/>
      <c r="E22" s="131"/>
      <c r="F22" s="133">
        <f t="shared" si="0"/>
        <v>141183</v>
      </c>
    </row>
    <row r="23" spans="1:6" x14ac:dyDescent="0.25">
      <c r="A23" s="134">
        <v>43273</v>
      </c>
      <c r="B23" s="135" t="s">
        <v>165</v>
      </c>
      <c r="C23" s="131">
        <v>900</v>
      </c>
      <c r="D23" s="127"/>
      <c r="E23" s="131"/>
      <c r="F23" s="133">
        <f t="shared" si="0"/>
        <v>900</v>
      </c>
    </row>
    <row r="24" spans="1:6" x14ac:dyDescent="0.25">
      <c r="A24" s="134">
        <v>43273</v>
      </c>
      <c r="B24" s="135" t="s">
        <v>166</v>
      </c>
      <c r="C24" s="131">
        <v>71802.600000000006</v>
      </c>
      <c r="D24" s="127"/>
      <c r="E24" s="131"/>
      <c r="F24" s="133">
        <f t="shared" si="0"/>
        <v>71802.600000000006</v>
      </c>
    </row>
    <row r="25" spans="1:6" x14ac:dyDescent="0.25">
      <c r="A25" s="134">
        <v>43274</v>
      </c>
      <c r="B25" s="135" t="s">
        <v>167</v>
      </c>
      <c r="C25" s="131">
        <v>4826</v>
      </c>
      <c r="D25" s="127"/>
      <c r="E25" s="131"/>
      <c r="F25" s="133">
        <f t="shared" si="0"/>
        <v>4826</v>
      </c>
    </row>
    <row r="26" spans="1:6" x14ac:dyDescent="0.25">
      <c r="A26" s="134">
        <v>43274</v>
      </c>
      <c r="B26" s="135" t="s">
        <v>168</v>
      </c>
      <c r="C26" s="131">
        <v>62323.6</v>
      </c>
      <c r="D26" s="127"/>
      <c r="E26" s="131"/>
      <c r="F26" s="133">
        <f t="shared" si="0"/>
        <v>62323.6</v>
      </c>
    </row>
    <row r="27" spans="1:6" x14ac:dyDescent="0.25">
      <c r="A27" s="134">
        <v>43275</v>
      </c>
      <c r="B27" s="135" t="s">
        <v>169</v>
      </c>
      <c r="C27" s="131">
        <v>36798.800000000003</v>
      </c>
      <c r="D27" s="127"/>
      <c r="E27" s="131"/>
      <c r="F27" s="133">
        <f t="shared" si="0"/>
        <v>36798.800000000003</v>
      </c>
    </row>
    <row r="28" spans="1:6" x14ac:dyDescent="0.25">
      <c r="A28" s="134">
        <v>43276</v>
      </c>
      <c r="B28" s="135" t="s">
        <v>170</v>
      </c>
      <c r="C28" s="131">
        <v>92858.98</v>
      </c>
      <c r="D28" s="127"/>
      <c r="E28" s="131"/>
      <c r="F28" s="133">
        <f t="shared" si="0"/>
        <v>92858.98</v>
      </c>
    </row>
    <row r="29" spans="1:6" x14ac:dyDescent="0.25">
      <c r="A29" s="134">
        <v>43277</v>
      </c>
      <c r="B29" s="135" t="s">
        <v>171</v>
      </c>
      <c r="C29" s="131">
        <v>38590.400000000001</v>
      </c>
      <c r="D29" s="127"/>
      <c r="E29" s="131"/>
      <c r="F29" s="133">
        <f t="shared" si="0"/>
        <v>38590.400000000001</v>
      </c>
    </row>
    <row r="30" spans="1:6" x14ac:dyDescent="0.25">
      <c r="A30" s="134">
        <v>43278</v>
      </c>
      <c r="B30" s="135" t="s">
        <v>172</v>
      </c>
      <c r="C30" s="131">
        <v>95920</v>
      </c>
      <c r="D30" s="127"/>
      <c r="E30" s="131"/>
      <c r="F30" s="133">
        <f t="shared" si="0"/>
        <v>95920</v>
      </c>
    </row>
    <row r="31" spans="1:6" x14ac:dyDescent="0.25">
      <c r="A31" s="134">
        <v>43279</v>
      </c>
      <c r="B31" s="135" t="s">
        <v>173</v>
      </c>
      <c r="C31" s="131">
        <v>79240</v>
      </c>
      <c r="D31" s="127"/>
      <c r="E31" s="131"/>
      <c r="F31" s="133">
        <f t="shared" si="0"/>
        <v>79240</v>
      </c>
    </row>
    <row r="32" spans="1:6" x14ac:dyDescent="0.25">
      <c r="A32" s="134">
        <v>43280</v>
      </c>
      <c r="B32" s="135" t="s">
        <v>174</v>
      </c>
      <c r="C32" s="131">
        <v>135924</v>
      </c>
      <c r="D32" s="127"/>
      <c r="E32" s="131"/>
      <c r="F32" s="133">
        <f t="shared" si="0"/>
        <v>135924</v>
      </c>
    </row>
    <row r="33" spans="1:6" x14ac:dyDescent="0.25">
      <c r="A33" s="134">
        <v>43281</v>
      </c>
      <c r="B33" s="135" t="s">
        <v>175</v>
      </c>
      <c r="C33" s="131">
        <v>75649</v>
      </c>
      <c r="D33" s="127"/>
      <c r="E33" s="131"/>
      <c r="F33" s="133">
        <f t="shared" si="0"/>
        <v>75649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ht="16.5" thickBot="1" x14ac:dyDescent="0.3">
      <c r="A36" s="161" t="s">
        <v>53</v>
      </c>
      <c r="B36" s="162"/>
      <c r="C36" s="142"/>
      <c r="D36" s="143"/>
      <c r="E36" s="144">
        <v>15331.1</v>
      </c>
      <c r="F36" s="145">
        <f t="shared" si="0"/>
        <v>-15331.1</v>
      </c>
    </row>
    <row r="37" spans="1:6" s="151" customFormat="1" ht="19.5" thickBot="1" x14ac:dyDescent="0.35">
      <c r="A37" s="149"/>
      <c r="B37" s="150"/>
      <c r="C37" s="146">
        <f>SUM(C3:C36)</f>
        <v>1963968.5000000002</v>
      </c>
      <c r="D37" s="146"/>
      <c r="E37" s="152">
        <f>SUM(E3:E36)</f>
        <v>15331.1</v>
      </c>
      <c r="F37" s="152">
        <f>SUM(F3:F36)</f>
        <v>1948637.4000000001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topLeftCell="D28" workbookViewId="0">
      <selection activeCell="H45" sqref="H45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5" t="s">
        <v>179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6" ht="15.75" thickBot="1" x14ac:dyDescent="0.3">
      <c r="A2" s="1"/>
      <c r="B2" s="5"/>
      <c r="D2" s="200"/>
      <c r="E2" s="8"/>
      <c r="L2" s="9"/>
      <c r="M2" s="4"/>
    </row>
    <row r="3" spans="1:16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6" ht="20.25" thickTop="1" thickBot="1" x14ac:dyDescent="0.35">
      <c r="A4" s="237"/>
      <c r="B4" s="12">
        <v>228897.28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43282</v>
      </c>
      <c r="E5" s="157">
        <v>63362.48</v>
      </c>
      <c r="F5" s="158"/>
      <c r="G5" s="159">
        <v>43282</v>
      </c>
      <c r="H5" s="160">
        <v>0</v>
      </c>
      <c r="I5" s="20"/>
      <c r="J5" s="21"/>
      <c r="K5" s="21"/>
      <c r="L5" s="22">
        <v>115822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43283</v>
      </c>
      <c r="E6" s="24">
        <v>47381.1</v>
      </c>
      <c r="F6" s="25"/>
      <c r="G6" s="159">
        <v>43283</v>
      </c>
      <c r="H6" s="26">
        <v>35</v>
      </c>
      <c r="I6" s="27"/>
      <c r="J6" s="28" t="s">
        <v>8</v>
      </c>
      <c r="K6" s="29">
        <v>549</v>
      </c>
      <c r="L6" s="22">
        <v>52856.5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43284</v>
      </c>
      <c r="E7" s="24">
        <v>46732.95</v>
      </c>
      <c r="F7" s="19"/>
      <c r="G7" s="159">
        <v>43284</v>
      </c>
      <c r="H7" s="26">
        <v>50</v>
      </c>
      <c r="I7" s="61">
        <v>43284</v>
      </c>
      <c r="J7" s="30" t="s">
        <v>9</v>
      </c>
      <c r="K7" s="31">
        <v>7121.5</v>
      </c>
      <c r="L7" s="22">
        <v>45813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43285</v>
      </c>
      <c r="E8" s="24">
        <v>59397.7</v>
      </c>
      <c r="F8" s="19"/>
      <c r="G8" s="159">
        <v>43285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59398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43286</v>
      </c>
      <c r="E9" s="24">
        <v>63587.67</v>
      </c>
      <c r="F9" s="19"/>
      <c r="G9" s="159">
        <v>43286</v>
      </c>
      <c r="H9" s="26">
        <v>0</v>
      </c>
      <c r="I9" s="210" t="s">
        <v>211</v>
      </c>
      <c r="J9" s="28" t="s">
        <v>180</v>
      </c>
      <c r="K9" s="38">
        <v>9635.7900000000009</v>
      </c>
      <c r="L9" s="22">
        <f>38580+25000+8</f>
        <v>63588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43287</v>
      </c>
      <c r="E10" s="24">
        <v>71816.98</v>
      </c>
      <c r="F10" s="19"/>
      <c r="G10" s="159">
        <v>43287</v>
      </c>
      <c r="H10" s="26">
        <v>0</v>
      </c>
      <c r="I10" s="209" t="s">
        <v>212</v>
      </c>
      <c r="J10" s="28" t="s">
        <v>181</v>
      </c>
      <c r="K10" s="38">
        <v>8645.35</v>
      </c>
      <c r="L10" s="22">
        <v>71817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43288</v>
      </c>
      <c r="E11" s="24">
        <v>90540.2</v>
      </c>
      <c r="F11" s="19"/>
      <c r="G11" s="159">
        <v>43288</v>
      </c>
      <c r="H11" s="26">
        <v>0</v>
      </c>
      <c r="I11" s="37" t="s">
        <v>213</v>
      </c>
      <c r="J11" s="28" t="s">
        <v>182</v>
      </c>
      <c r="K11" s="38">
        <v>9407.2199999999993</v>
      </c>
      <c r="L11" s="22">
        <v>90540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43289</v>
      </c>
      <c r="E12" s="24">
        <v>95015.25</v>
      </c>
      <c r="F12" s="19"/>
      <c r="G12" s="159">
        <v>43289</v>
      </c>
      <c r="H12" s="26">
        <v>0</v>
      </c>
      <c r="I12" s="37" t="s">
        <v>214</v>
      </c>
      <c r="J12" s="28" t="s">
        <v>183</v>
      </c>
      <c r="K12" s="38">
        <v>7750.08</v>
      </c>
      <c r="L12" s="22">
        <v>95015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43290</v>
      </c>
      <c r="E13" s="24">
        <v>66472.759999999995</v>
      </c>
      <c r="F13" s="19"/>
      <c r="G13" s="159">
        <v>43290</v>
      </c>
      <c r="H13" s="26">
        <v>0</v>
      </c>
      <c r="I13" s="37"/>
      <c r="J13" s="28" t="s">
        <v>158</v>
      </c>
      <c r="K13" s="29">
        <v>0</v>
      </c>
      <c r="L13" s="22">
        <f>45000+21473</f>
        <v>66473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43291</v>
      </c>
      <c r="E14" s="24">
        <v>35639.4</v>
      </c>
      <c r="F14" s="19"/>
      <c r="G14" s="159">
        <v>43291</v>
      </c>
      <c r="H14" s="26">
        <v>35</v>
      </c>
      <c r="I14" s="61"/>
      <c r="J14" s="40" t="s">
        <v>92</v>
      </c>
      <c r="K14" s="29">
        <v>0</v>
      </c>
      <c r="L14" s="22">
        <v>35604.5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43292</v>
      </c>
      <c r="E15" s="24">
        <v>73673.3</v>
      </c>
      <c r="F15" s="19"/>
      <c r="G15" s="159">
        <v>43292</v>
      </c>
      <c r="H15" s="26">
        <v>0</v>
      </c>
      <c r="I15" s="27"/>
      <c r="J15" s="175"/>
      <c r="K15" s="29">
        <v>0</v>
      </c>
      <c r="L15" s="22">
        <f>25000+47773</f>
        <v>72773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43293</v>
      </c>
      <c r="E16" s="24">
        <v>51608.95</v>
      </c>
      <c r="F16" s="19"/>
      <c r="G16" s="159">
        <v>43293</v>
      </c>
      <c r="H16" s="26">
        <v>0</v>
      </c>
      <c r="I16" s="27"/>
      <c r="J16" s="42"/>
      <c r="K16" s="43">
        <v>0</v>
      </c>
      <c r="L16" s="22">
        <v>51609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43294</v>
      </c>
      <c r="E17" s="24">
        <v>112300.6</v>
      </c>
      <c r="F17" s="19"/>
      <c r="G17" s="159">
        <v>43294</v>
      </c>
      <c r="H17" s="26">
        <v>0</v>
      </c>
      <c r="I17" s="202"/>
      <c r="J17" s="203"/>
      <c r="K17" s="43">
        <v>0</v>
      </c>
      <c r="L17" s="22">
        <f>50000+62300</f>
        <v>112300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43295</v>
      </c>
      <c r="E18" s="24">
        <v>110031.71</v>
      </c>
      <c r="F18" s="19"/>
      <c r="G18" s="159">
        <v>43295</v>
      </c>
      <c r="H18" s="26">
        <v>0</v>
      </c>
      <c r="I18" s="202"/>
      <c r="J18" s="203"/>
      <c r="K18" s="45">
        <v>0</v>
      </c>
      <c r="L18" s="22">
        <v>135032</v>
      </c>
      <c r="M18" s="204">
        <v>25000</v>
      </c>
      <c r="N18" s="19"/>
    </row>
    <row r="19" spans="1:14" ht="16.5" thickBot="1" x14ac:dyDescent="0.3">
      <c r="A19" s="23"/>
      <c r="B19" s="17">
        <v>0</v>
      </c>
      <c r="C19" s="36"/>
      <c r="D19" s="107">
        <v>43296</v>
      </c>
      <c r="E19" s="24">
        <v>95095.05</v>
      </c>
      <c r="F19" s="19"/>
      <c r="G19" s="159">
        <v>43296</v>
      </c>
      <c r="H19" s="26">
        <v>0</v>
      </c>
      <c r="I19" s="27"/>
      <c r="J19" s="46" t="s">
        <v>12</v>
      </c>
      <c r="K19" s="45">
        <v>0</v>
      </c>
      <c r="L19" s="22">
        <v>70095</v>
      </c>
      <c r="M19" s="205" t="s">
        <v>184</v>
      </c>
      <c r="N19" s="206"/>
    </row>
    <row r="20" spans="1:14" ht="16.5" thickBot="1" x14ac:dyDescent="0.3">
      <c r="A20" s="23"/>
      <c r="B20" s="17">
        <v>0</v>
      </c>
      <c r="C20" s="48"/>
      <c r="D20" s="107">
        <v>43297</v>
      </c>
      <c r="E20" s="24">
        <v>52640.65</v>
      </c>
      <c r="F20" s="19"/>
      <c r="G20" s="159">
        <v>43297</v>
      </c>
      <c r="H20" s="26">
        <v>35</v>
      </c>
      <c r="I20" s="49"/>
      <c r="J20" s="50"/>
      <c r="K20" s="51" t="s">
        <v>151</v>
      </c>
      <c r="L20" s="22">
        <v>52605.65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43298</v>
      </c>
      <c r="E21" s="24">
        <v>43434.5</v>
      </c>
      <c r="F21" s="19"/>
      <c r="G21" s="159">
        <v>43298</v>
      </c>
      <c r="H21" s="26">
        <v>0</v>
      </c>
      <c r="I21" s="33"/>
      <c r="J21" s="52"/>
      <c r="K21" s="51"/>
      <c r="L21" s="22">
        <v>43434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43299</v>
      </c>
      <c r="E22" s="24">
        <v>51187.75</v>
      </c>
      <c r="F22" s="19"/>
      <c r="G22" s="159">
        <v>43299</v>
      </c>
      <c r="H22" s="26">
        <v>0</v>
      </c>
      <c r="I22" s="49" t="s">
        <v>23</v>
      </c>
      <c r="J22" s="53"/>
      <c r="K22" s="51">
        <v>0</v>
      </c>
      <c r="L22" s="22">
        <v>51188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43300</v>
      </c>
      <c r="E23" s="24">
        <v>54467.7</v>
      </c>
      <c r="F23" s="19"/>
      <c r="G23" s="159">
        <v>43300</v>
      </c>
      <c r="H23" s="26">
        <v>0</v>
      </c>
      <c r="I23" s="27"/>
      <c r="J23" s="52"/>
      <c r="K23" s="51">
        <v>0</v>
      </c>
      <c r="L23" s="22">
        <v>54468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43301</v>
      </c>
      <c r="E24" s="24">
        <v>83835.59</v>
      </c>
      <c r="F24" s="19"/>
      <c r="G24" s="159">
        <v>43301</v>
      </c>
      <c r="H24" s="26">
        <v>0</v>
      </c>
      <c r="I24" s="27"/>
      <c r="J24" s="54" t="s">
        <v>15</v>
      </c>
      <c r="K24" s="51">
        <v>870</v>
      </c>
      <c r="L24" s="22">
        <v>83835.5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43302</v>
      </c>
      <c r="E25" s="24">
        <v>107049.66</v>
      </c>
      <c r="F25" s="19"/>
      <c r="G25" s="159">
        <v>43302</v>
      </c>
      <c r="H25" s="26">
        <v>0</v>
      </c>
      <c r="I25" s="27"/>
      <c r="J25" s="55">
        <v>43284</v>
      </c>
      <c r="K25" s="51">
        <v>0</v>
      </c>
      <c r="L25" s="22">
        <v>107050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43303</v>
      </c>
      <c r="E26" s="24">
        <v>82967.8</v>
      </c>
      <c r="F26" s="19"/>
      <c r="G26" s="159">
        <v>43303</v>
      </c>
      <c r="H26" s="26">
        <v>35</v>
      </c>
      <c r="I26" s="27"/>
      <c r="J26" s="56" t="s">
        <v>16</v>
      </c>
      <c r="K26" s="27">
        <v>900</v>
      </c>
      <c r="L26" s="22">
        <v>82933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43304</v>
      </c>
      <c r="E27" s="24">
        <v>63452.6</v>
      </c>
      <c r="F27" s="19"/>
      <c r="G27" s="159">
        <v>43304</v>
      </c>
      <c r="H27" s="26">
        <v>0</v>
      </c>
      <c r="I27" s="27"/>
      <c r="J27" s="116">
        <v>43292</v>
      </c>
      <c r="K27" s="27">
        <v>0</v>
      </c>
      <c r="L27" s="22">
        <v>63453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43305</v>
      </c>
      <c r="E28" s="24">
        <v>61919.18</v>
      </c>
      <c r="F28" s="19"/>
      <c r="G28" s="159">
        <v>43305</v>
      </c>
      <c r="H28" s="26">
        <v>0</v>
      </c>
      <c r="I28" s="27"/>
      <c r="J28" s="57"/>
      <c r="K28" s="51">
        <v>0</v>
      </c>
      <c r="L28" s="22">
        <f>36919+25000</f>
        <v>61919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43306</v>
      </c>
      <c r="E29" s="24">
        <v>94050.61</v>
      </c>
      <c r="F29" s="19"/>
      <c r="G29" s="159">
        <v>43306</v>
      </c>
      <c r="H29" s="26">
        <v>0</v>
      </c>
      <c r="I29" s="27"/>
      <c r="J29" s="55"/>
      <c r="K29" s="51">
        <v>0</v>
      </c>
      <c r="L29" s="22">
        <v>94050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43307</v>
      </c>
      <c r="E30" s="24">
        <v>45082.14</v>
      </c>
      <c r="F30" s="19"/>
      <c r="G30" s="159">
        <v>43307</v>
      </c>
      <c r="H30" s="26">
        <v>50</v>
      </c>
      <c r="I30" s="27"/>
      <c r="J30" s="60" t="s">
        <v>18</v>
      </c>
      <c r="K30" s="51">
        <v>0</v>
      </c>
      <c r="L30" s="22">
        <v>45032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43308</v>
      </c>
      <c r="E31" s="24">
        <v>57531.75</v>
      </c>
      <c r="F31" s="19"/>
      <c r="G31" s="159">
        <v>43308</v>
      </c>
      <c r="H31" s="26">
        <v>0</v>
      </c>
      <c r="I31" s="61"/>
      <c r="J31" s="62"/>
      <c r="K31" s="51">
        <v>0</v>
      </c>
      <c r="L31" s="22">
        <v>57532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43309</v>
      </c>
      <c r="E32" s="24">
        <v>68328.95</v>
      </c>
      <c r="F32" s="19"/>
      <c r="G32" s="159">
        <v>43309</v>
      </c>
      <c r="H32" s="26">
        <v>35</v>
      </c>
      <c r="I32" s="61"/>
      <c r="J32" s="60"/>
      <c r="K32" s="29">
        <v>0</v>
      </c>
      <c r="L32" s="22">
        <f>45000+23294</f>
        <v>68294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43310</v>
      </c>
      <c r="E33" s="24">
        <v>64793.4</v>
      </c>
      <c r="F33" s="19"/>
      <c r="G33" s="159">
        <v>43310</v>
      </c>
      <c r="H33" s="26">
        <v>0</v>
      </c>
      <c r="I33" s="27"/>
      <c r="J33" s="63"/>
      <c r="K33" s="38"/>
      <c r="L33" s="22">
        <v>64793.5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43311</v>
      </c>
      <c r="E34" s="24">
        <v>37201.199999999997</v>
      </c>
      <c r="F34" s="19"/>
      <c r="G34" s="159">
        <v>43311</v>
      </c>
      <c r="H34" s="26">
        <v>0</v>
      </c>
      <c r="I34" s="27"/>
      <c r="J34" s="63"/>
      <c r="K34" s="38"/>
      <c r="L34" s="22">
        <f>20000+17201</f>
        <v>37201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43312</v>
      </c>
      <c r="E35" s="24">
        <v>26879.35</v>
      </c>
      <c r="F35" s="19"/>
      <c r="G35" s="159">
        <v>43312</v>
      </c>
      <c r="H35" s="26">
        <v>0</v>
      </c>
      <c r="I35" s="27"/>
      <c r="J35" s="60"/>
      <c r="K35" s="29"/>
      <c r="L35" s="22">
        <v>26879.5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2133404.15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2077478.9299999997</v>
      </c>
      <c r="G38" s="200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73628.94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5" t="s">
        <v>20</v>
      </c>
      <c r="H40" s="276"/>
      <c r="I40" s="201"/>
      <c r="J40" s="277">
        <f>H38+K38</f>
        <v>73903.94</v>
      </c>
      <c r="K40" s="278"/>
      <c r="L40" s="94"/>
      <c r="M40" s="95"/>
    </row>
    <row r="41" spans="1:14" ht="15.75" x14ac:dyDescent="0.25">
      <c r="A41" s="1"/>
      <c r="B41" s="179"/>
      <c r="C41" s="279" t="s">
        <v>21</v>
      </c>
      <c r="D41" s="279"/>
      <c r="E41" s="180">
        <f>E38-J40</f>
        <v>2003574.9899999998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11911.85</v>
      </c>
      <c r="F42" s="176"/>
      <c r="G42" s="176"/>
      <c r="H42" s="280" t="s">
        <v>26</v>
      </c>
      <c r="I42" s="280"/>
      <c r="J42" s="280">
        <f>E46</f>
        <v>237140.70999999979</v>
      </c>
      <c r="K42" s="287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-1847059.31</v>
      </c>
      <c r="F43" s="176"/>
      <c r="G43" s="176"/>
      <c r="H43" s="254" t="s">
        <v>1</v>
      </c>
      <c r="I43" s="254"/>
      <c r="J43" s="288">
        <f>-B4</f>
        <v>-228897.28</v>
      </c>
      <c r="K43" s="289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168427.5299999998</v>
      </c>
      <c r="F44" s="176"/>
      <c r="G44" s="176"/>
      <c r="H44" s="257" t="s">
        <v>55</v>
      </c>
      <c r="I44" s="258"/>
      <c r="J44" s="259">
        <f>SUM(J41:K43)</f>
        <v>8243.4299999997893</v>
      </c>
      <c r="K44" s="260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68713.179999999993</v>
      </c>
      <c r="F45" s="176"/>
      <c r="G45" s="176"/>
      <c r="H45" s="71"/>
      <c r="I45" s="176"/>
      <c r="J45" s="281"/>
      <c r="K45" s="282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237140.70999999979</v>
      </c>
      <c r="F46" s="189"/>
      <c r="G46" s="189"/>
      <c r="H46" s="190"/>
      <c r="I46" s="191"/>
      <c r="J46" s="283"/>
      <c r="K46" s="284"/>
      <c r="L46" s="94"/>
      <c r="M46" s="95"/>
    </row>
    <row r="47" spans="1:14" ht="18.75" x14ac:dyDescent="0.25">
      <c r="A47" s="1"/>
      <c r="B47" s="5"/>
      <c r="E47" s="51"/>
      <c r="J47" s="285"/>
      <c r="K47" s="286"/>
      <c r="L47" s="94"/>
      <c r="M47" s="95"/>
    </row>
    <row r="48" spans="1:14" x14ac:dyDescent="0.25">
      <c r="A48" s="1"/>
      <c r="B48" s="5"/>
      <c r="C48" s="244"/>
      <c r="D48" s="244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J47:K47"/>
    <mergeCell ref="C48:D48"/>
    <mergeCell ref="H43:I43"/>
    <mergeCell ref="J43:K43"/>
    <mergeCell ref="H44:I44"/>
    <mergeCell ref="J44:K44"/>
    <mergeCell ref="J45:K45"/>
    <mergeCell ref="J46:K46"/>
    <mergeCell ref="H42:I42"/>
    <mergeCell ref="J42:K42"/>
    <mergeCell ref="B1:J1"/>
    <mergeCell ref="A3:A4"/>
    <mergeCell ref="D3:F3"/>
    <mergeCell ref="G3:H3"/>
    <mergeCell ref="D4:E4"/>
    <mergeCell ref="H4:K4"/>
    <mergeCell ref="G40:H40"/>
    <mergeCell ref="J40:K40"/>
    <mergeCell ref="C41:D41"/>
  </mergeCells>
  <pageMargins left="0.51181102362204722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8"/>
  <sheetViews>
    <sheetView topLeftCell="A22" workbookViewId="0">
      <selection activeCell="B17" sqref="B1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52</v>
      </c>
      <c r="I2" s="265"/>
      <c r="J2" s="266"/>
    </row>
    <row r="3" spans="1:10" x14ac:dyDescent="0.25">
      <c r="A3" s="124">
        <v>43283</v>
      </c>
      <c r="B3" s="125" t="s">
        <v>185</v>
      </c>
      <c r="C3" s="126">
        <v>95708</v>
      </c>
      <c r="D3" s="127"/>
      <c r="E3" s="126"/>
      <c r="F3" s="128">
        <f t="shared" ref="F3:F37" si="0">C3-E3</f>
        <v>95708</v>
      </c>
      <c r="H3" s="267"/>
      <c r="I3" s="268"/>
      <c r="J3" s="269"/>
    </row>
    <row r="4" spans="1:10" x14ac:dyDescent="0.25">
      <c r="A4" s="124">
        <v>43285</v>
      </c>
      <c r="B4" s="125" t="s">
        <v>186</v>
      </c>
      <c r="C4" s="126">
        <v>88143.7</v>
      </c>
      <c r="D4" s="127"/>
      <c r="E4" s="131"/>
      <c r="F4" s="132">
        <f t="shared" si="0"/>
        <v>88143.7</v>
      </c>
      <c r="H4" s="267"/>
      <c r="I4" s="268"/>
      <c r="J4" s="269"/>
    </row>
    <row r="5" spans="1:10" ht="15.75" thickBot="1" x14ac:dyDescent="0.3">
      <c r="A5" s="129">
        <v>43287</v>
      </c>
      <c r="B5" s="130" t="s">
        <v>187</v>
      </c>
      <c r="C5" s="131">
        <v>165395.6</v>
      </c>
      <c r="D5" s="127"/>
      <c r="E5" s="131"/>
      <c r="F5" s="132">
        <f t="shared" si="0"/>
        <v>165395.6</v>
      </c>
      <c r="H5" s="270"/>
      <c r="I5" s="271"/>
      <c r="J5" s="272"/>
    </row>
    <row r="6" spans="1:10" x14ac:dyDescent="0.25">
      <c r="A6" s="129">
        <v>43288</v>
      </c>
      <c r="B6" s="130" t="s">
        <v>188</v>
      </c>
      <c r="C6" s="131">
        <v>92832</v>
      </c>
      <c r="D6" s="127"/>
      <c r="E6" s="131"/>
      <c r="F6" s="133">
        <f t="shared" si="0"/>
        <v>92832</v>
      </c>
    </row>
    <row r="7" spans="1:10" x14ac:dyDescent="0.25">
      <c r="A7" s="129">
        <v>43288</v>
      </c>
      <c r="B7" s="130" t="s">
        <v>189</v>
      </c>
      <c r="C7" s="131">
        <v>3700</v>
      </c>
      <c r="D7" s="127"/>
      <c r="E7" s="131"/>
      <c r="F7" s="133">
        <f t="shared" si="0"/>
        <v>3700</v>
      </c>
    </row>
    <row r="8" spans="1:10" x14ac:dyDescent="0.25">
      <c r="A8" s="129">
        <v>43290</v>
      </c>
      <c r="B8" s="130" t="s">
        <v>190</v>
      </c>
      <c r="C8" s="131">
        <v>117965.12</v>
      </c>
      <c r="D8" s="127"/>
      <c r="E8" s="131"/>
      <c r="F8" s="133">
        <f t="shared" si="0"/>
        <v>117965.12</v>
      </c>
    </row>
    <row r="9" spans="1:10" x14ac:dyDescent="0.25">
      <c r="A9" s="129">
        <v>43290</v>
      </c>
      <c r="B9" s="130" t="s">
        <v>191</v>
      </c>
      <c r="C9" s="131">
        <v>2922.4</v>
      </c>
      <c r="D9" s="127"/>
      <c r="E9" s="131"/>
      <c r="F9" s="133">
        <f t="shared" si="0"/>
        <v>2922.4</v>
      </c>
    </row>
    <row r="10" spans="1:10" x14ac:dyDescent="0.25">
      <c r="A10" s="129">
        <v>43291</v>
      </c>
      <c r="B10" s="192" t="s">
        <v>192</v>
      </c>
      <c r="C10" s="131">
        <v>2260</v>
      </c>
      <c r="D10" s="127"/>
      <c r="E10" s="131"/>
      <c r="F10" s="133">
        <f t="shared" si="0"/>
        <v>2260</v>
      </c>
    </row>
    <row r="11" spans="1:10" x14ac:dyDescent="0.25">
      <c r="A11" s="129">
        <v>43292</v>
      </c>
      <c r="B11" s="130" t="s">
        <v>193</v>
      </c>
      <c r="C11" s="131">
        <v>111182</v>
      </c>
      <c r="D11" s="127"/>
      <c r="E11" s="131"/>
      <c r="F11" s="133">
        <f t="shared" si="0"/>
        <v>111182</v>
      </c>
    </row>
    <row r="12" spans="1:10" x14ac:dyDescent="0.25">
      <c r="A12" s="134">
        <v>43293</v>
      </c>
      <c r="B12" s="135" t="s">
        <v>194</v>
      </c>
      <c r="C12" s="131">
        <v>94107.02</v>
      </c>
      <c r="D12" s="127"/>
      <c r="E12" s="131"/>
      <c r="F12" s="133">
        <f t="shared" si="0"/>
        <v>94107.02</v>
      </c>
    </row>
    <row r="13" spans="1:10" x14ac:dyDescent="0.25">
      <c r="A13" s="134">
        <v>43294</v>
      </c>
      <c r="B13" s="153" t="s">
        <v>196</v>
      </c>
      <c r="C13" s="154">
        <v>96643.66</v>
      </c>
      <c r="D13" s="127"/>
      <c r="E13" s="131"/>
      <c r="F13" s="133">
        <f t="shared" si="0"/>
        <v>96643.66</v>
      </c>
    </row>
    <row r="14" spans="1:10" x14ac:dyDescent="0.25">
      <c r="A14" s="134">
        <v>43295</v>
      </c>
      <c r="B14" s="135" t="s">
        <v>195</v>
      </c>
      <c r="C14" s="131">
        <v>43691.3</v>
      </c>
      <c r="D14" s="127"/>
      <c r="E14" s="131"/>
      <c r="F14" s="133">
        <f t="shared" si="0"/>
        <v>43691.3</v>
      </c>
    </row>
    <row r="15" spans="1:10" x14ac:dyDescent="0.25">
      <c r="A15" s="134">
        <v>43295</v>
      </c>
      <c r="B15" s="135" t="s">
        <v>197</v>
      </c>
      <c r="C15" s="131">
        <v>41205.599999999999</v>
      </c>
      <c r="D15" s="127"/>
      <c r="E15" s="131"/>
      <c r="F15" s="133">
        <f t="shared" si="0"/>
        <v>41205.599999999999</v>
      </c>
    </row>
    <row r="16" spans="1:10" x14ac:dyDescent="0.25">
      <c r="A16" s="134">
        <v>43297</v>
      </c>
      <c r="B16" s="135" t="s">
        <v>198</v>
      </c>
      <c r="C16" s="131">
        <v>46733.65</v>
      </c>
      <c r="D16" s="127"/>
      <c r="E16" s="131"/>
      <c r="F16" s="133">
        <f t="shared" si="0"/>
        <v>46733.65</v>
      </c>
    </row>
    <row r="17" spans="1:6" x14ac:dyDescent="0.25">
      <c r="A17" s="134">
        <v>43298</v>
      </c>
      <c r="B17" s="135" t="s">
        <v>205</v>
      </c>
      <c r="C17" s="131">
        <v>52075</v>
      </c>
      <c r="D17" s="127"/>
      <c r="E17" s="131"/>
      <c r="F17" s="133">
        <f t="shared" si="0"/>
        <v>52075</v>
      </c>
    </row>
    <row r="18" spans="1:6" x14ac:dyDescent="0.25">
      <c r="A18" s="134">
        <v>43299</v>
      </c>
      <c r="B18" s="135" t="s">
        <v>199</v>
      </c>
      <c r="C18" s="131">
        <v>144014.5</v>
      </c>
      <c r="D18" s="127"/>
      <c r="E18" s="131"/>
      <c r="F18" s="133">
        <f t="shared" si="0"/>
        <v>144014.5</v>
      </c>
    </row>
    <row r="19" spans="1:6" x14ac:dyDescent="0.25">
      <c r="A19" s="134">
        <v>43300</v>
      </c>
      <c r="B19" s="135" t="s">
        <v>200</v>
      </c>
      <c r="C19" s="131">
        <v>69211.7</v>
      </c>
      <c r="D19" s="127"/>
      <c r="E19" s="131"/>
      <c r="F19" s="133">
        <f t="shared" si="0"/>
        <v>69211.7</v>
      </c>
    </row>
    <row r="20" spans="1:6" x14ac:dyDescent="0.25">
      <c r="A20" s="134">
        <v>43301</v>
      </c>
      <c r="B20" s="135" t="s">
        <v>201</v>
      </c>
      <c r="C20" s="131">
        <v>126768.78</v>
      </c>
      <c r="D20" s="127"/>
      <c r="E20" s="131"/>
      <c r="F20" s="133">
        <f t="shared" si="0"/>
        <v>126768.78</v>
      </c>
    </row>
    <row r="21" spans="1:6" x14ac:dyDescent="0.25">
      <c r="A21" s="134">
        <v>43301</v>
      </c>
      <c r="B21" s="135" t="s">
        <v>202</v>
      </c>
      <c r="C21" s="131">
        <v>27666.9</v>
      </c>
      <c r="D21" s="127"/>
      <c r="E21" s="131"/>
      <c r="F21" s="133">
        <f t="shared" si="0"/>
        <v>27666.9</v>
      </c>
    </row>
    <row r="22" spans="1:6" x14ac:dyDescent="0.25">
      <c r="A22" s="134">
        <v>43302</v>
      </c>
      <c r="B22" s="135" t="s">
        <v>203</v>
      </c>
      <c r="C22" s="131">
        <v>73089.3</v>
      </c>
      <c r="D22" s="127"/>
      <c r="E22" s="131"/>
      <c r="F22" s="133">
        <f t="shared" si="0"/>
        <v>73089.3</v>
      </c>
    </row>
    <row r="23" spans="1:6" x14ac:dyDescent="0.25">
      <c r="A23" s="134">
        <v>43302</v>
      </c>
      <c r="B23" s="135" t="s">
        <v>204</v>
      </c>
      <c r="C23" s="131">
        <v>14844.2</v>
      </c>
      <c r="D23" s="127"/>
      <c r="E23" s="131"/>
      <c r="F23" s="133">
        <f t="shared" si="0"/>
        <v>14844.2</v>
      </c>
    </row>
    <row r="24" spans="1:6" x14ac:dyDescent="0.25">
      <c r="A24" s="134">
        <v>43305</v>
      </c>
      <c r="B24" s="135" t="s">
        <v>206</v>
      </c>
      <c r="C24" s="131">
        <v>57417</v>
      </c>
      <c r="D24" s="127"/>
      <c r="E24" s="131"/>
      <c r="F24" s="133">
        <f t="shared" si="0"/>
        <v>57417</v>
      </c>
    </row>
    <row r="25" spans="1:6" x14ac:dyDescent="0.25">
      <c r="A25" s="134">
        <v>43305</v>
      </c>
      <c r="B25" s="135" t="s">
        <v>207</v>
      </c>
      <c r="C25" s="131">
        <v>140818</v>
      </c>
      <c r="D25" s="127"/>
      <c r="E25" s="131"/>
      <c r="F25" s="133">
        <f t="shared" si="0"/>
        <v>140818</v>
      </c>
    </row>
    <row r="26" spans="1:6" x14ac:dyDescent="0.25">
      <c r="A26" s="134">
        <v>43306</v>
      </c>
      <c r="B26" s="153" t="s">
        <v>208</v>
      </c>
      <c r="C26" s="154">
        <v>14075</v>
      </c>
      <c r="D26" s="127"/>
      <c r="E26" s="131"/>
      <c r="F26" s="133">
        <f t="shared" si="0"/>
        <v>14075</v>
      </c>
    </row>
    <row r="27" spans="1:6" x14ac:dyDescent="0.25">
      <c r="A27" s="134">
        <v>43308</v>
      </c>
      <c r="B27" s="135"/>
      <c r="C27" s="131">
        <v>0</v>
      </c>
      <c r="D27" s="127"/>
      <c r="E27" s="131"/>
      <c r="F27" s="133">
        <f t="shared" si="0"/>
        <v>0</v>
      </c>
    </row>
    <row r="28" spans="1:6" x14ac:dyDescent="0.25">
      <c r="A28" s="134">
        <v>43308</v>
      </c>
      <c r="B28" s="135" t="s">
        <v>209</v>
      </c>
      <c r="C28" s="131">
        <v>79858.5</v>
      </c>
      <c r="D28" s="127"/>
      <c r="E28" s="131"/>
      <c r="F28" s="133">
        <f t="shared" si="0"/>
        <v>79858.5</v>
      </c>
    </row>
    <row r="29" spans="1:6" x14ac:dyDescent="0.25">
      <c r="A29" s="134">
        <v>43309</v>
      </c>
      <c r="B29" s="135" t="s">
        <v>210</v>
      </c>
      <c r="C29" s="131">
        <v>97918</v>
      </c>
      <c r="D29" s="127"/>
      <c r="E29" s="131"/>
      <c r="F29" s="133">
        <f t="shared" si="0"/>
        <v>97918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x14ac:dyDescent="0.25">
      <c r="A33" s="134"/>
      <c r="B33" s="135"/>
      <c r="C33" s="131"/>
      <c r="D33" s="127"/>
      <c r="E33" s="131"/>
      <c r="F33" s="133">
        <f t="shared" si="0"/>
        <v>0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53187.62</v>
      </c>
      <c r="F37" s="145">
        <f t="shared" si="0"/>
        <v>-53187.62</v>
      </c>
    </row>
    <row r="38" spans="1:6" s="151" customFormat="1" ht="19.5" thickBot="1" x14ac:dyDescent="0.35">
      <c r="A38" s="149"/>
      <c r="B38" s="150"/>
      <c r="C38" s="146">
        <f>SUM(C3:C37)</f>
        <v>1900246.9300000002</v>
      </c>
      <c r="D38" s="146"/>
      <c r="E38" s="152">
        <f>SUM(E3:E37)</f>
        <v>53187.62</v>
      </c>
      <c r="F38" s="152">
        <f>SUM(F3:F37)</f>
        <v>1847059.31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topLeftCell="A25" workbookViewId="0">
      <selection activeCell="G20" sqref="G20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5" t="s">
        <v>215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6" ht="15.75" thickBot="1" x14ac:dyDescent="0.3">
      <c r="A2" s="1"/>
      <c r="B2" s="5"/>
      <c r="D2" s="207"/>
      <c r="E2" s="8"/>
      <c r="L2" s="9"/>
      <c r="M2" s="4"/>
    </row>
    <row r="3" spans="1:16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6" ht="20.25" thickTop="1" thickBot="1" x14ac:dyDescent="0.35">
      <c r="A4" s="237"/>
      <c r="B4" s="12">
        <v>68713.179999999993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43313</v>
      </c>
      <c r="E5" s="157">
        <v>33401.5</v>
      </c>
      <c r="F5" s="158"/>
      <c r="G5" s="159">
        <v>43313</v>
      </c>
      <c r="H5" s="160">
        <v>0</v>
      </c>
      <c r="I5" s="20"/>
      <c r="J5" s="21"/>
      <c r="K5" s="21"/>
      <c r="L5" s="22">
        <v>43222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43314</v>
      </c>
      <c r="E6" s="24">
        <v>35246.9</v>
      </c>
      <c r="F6" s="25"/>
      <c r="G6" s="159">
        <v>43314</v>
      </c>
      <c r="H6" s="26">
        <v>0</v>
      </c>
      <c r="I6" s="27"/>
      <c r="J6" s="28" t="s">
        <v>8</v>
      </c>
      <c r="K6" s="29">
        <v>549</v>
      </c>
      <c r="L6" s="22">
        <v>37338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43315</v>
      </c>
      <c r="E7" s="24">
        <v>62567.315000000002</v>
      </c>
      <c r="F7" s="19"/>
      <c r="G7" s="159">
        <v>43315</v>
      </c>
      <c r="H7" s="26">
        <v>0</v>
      </c>
      <c r="I7" s="61">
        <v>43284</v>
      </c>
      <c r="J7" s="30" t="s">
        <v>9</v>
      </c>
      <c r="K7" s="31">
        <v>7121.5</v>
      </c>
      <c r="L7" s="22">
        <v>54697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43316</v>
      </c>
      <c r="E8" s="24">
        <v>58503</v>
      </c>
      <c r="F8" s="19"/>
      <c r="G8" s="159">
        <v>43316</v>
      </c>
      <c r="H8" s="26">
        <v>35</v>
      </c>
      <c r="I8" s="27"/>
      <c r="J8" s="28" t="s">
        <v>10</v>
      </c>
      <c r="K8" s="35">
        <f>7187.5+7187.5+7187.5+7187.5</f>
        <v>28750</v>
      </c>
      <c r="L8" s="22">
        <v>58468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43317</v>
      </c>
      <c r="E9" s="24">
        <v>90846.25</v>
      </c>
      <c r="F9" s="19"/>
      <c r="G9" s="159">
        <v>43317</v>
      </c>
      <c r="H9" s="26">
        <v>0</v>
      </c>
      <c r="I9" s="210" t="s">
        <v>254</v>
      </c>
      <c r="J9" s="28" t="s">
        <v>216</v>
      </c>
      <c r="K9" s="38">
        <v>6835.79</v>
      </c>
      <c r="L9" s="22">
        <v>90846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43318</v>
      </c>
      <c r="E10" s="24">
        <v>61162.1</v>
      </c>
      <c r="F10" s="19"/>
      <c r="G10" s="159">
        <v>43318</v>
      </c>
      <c r="H10" s="26">
        <v>0</v>
      </c>
      <c r="I10" s="209" t="s">
        <v>255</v>
      </c>
      <c r="J10" s="28" t="s">
        <v>217</v>
      </c>
      <c r="K10" s="38">
        <v>9778.65</v>
      </c>
      <c r="L10" s="22">
        <v>61162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43319</v>
      </c>
      <c r="E11" s="24">
        <v>52065.95</v>
      </c>
      <c r="F11" s="19"/>
      <c r="G11" s="159">
        <v>43319</v>
      </c>
      <c r="H11" s="26">
        <v>0</v>
      </c>
      <c r="I11" s="37" t="s">
        <v>256</v>
      </c>
      <c r="J11" s="28" t="s">
        <v>218</v>
      </c>
      <c r="K11" s="38">
        <v>9778.65</v>
      </c>
      <c r="L11" s="22">
        <v>52066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43320</v>
      </c>
      <c r="E12" s="24">
        <v>57823.53</v>
      </c>
      <c r="F12" s="19"/>
      <c r="G12" s="159">
        <v>43320</v>
      </c>
      <c r="H12" s="26">
        <v>0</v>
      </c>
      <c r="I12" s="37" t="s">
        <v>257</v>
      </c>
      <c r="J12" s="28" t="s">
        <v>219</v>
      </c>
      <c r="K12" s="38">
        <v>8607.25</v>
      </c>
      <c r="L12" s="22">
        <f>25000+32823.5</f>
        <v>57823.5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43321</v>
      </c>
      <c r="E13" s="24">
        <v>55430.6</v>
      </c>
      <c r="F13" s="19"/>
      <c r="G13" s="159">
        <v>43321</v>
      </c>
      <c r="H13" s="26">
        <v>0</v>
      </c>
      <c r="I13" s="37" t="s">
        <v>258</v>
      </c>
      <c r="J13" s="28" t="s">
        <v>253</v>
      </c>
      <c r="K13" s="29">
        <v>8864.7000000000007</v>
      </c>
      <c r="L13" s="22">
        <v>54530.5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43322</v>
      </c>
      <c r="E14" s="24">
        <v>82596.960000000006</v>
      </c>
      <c r="F14" s="19"/>
      <c r="G14" s="159">
        <v>43322</v>
      </c>
      <c r="H14" s="26">
        <v>35</v>
      </c>
      <c r="I14" s="61"/>
      <c r="J14" s="40" t="s">
        <v>92</v>
      </c>
      <c r="K14" s="29">
        <v>7000</v>
      </c>
      <c r="L14" s="22">
        <v>82562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43323</v>
      </c>
      <c r="E15" s="24">
        <v>73794.52</v>
      </c>
      <c r="F15" s="19"/>
      <c r="G15" s="159">
        <v>43323</v>
      </c>
      <c r="H15" s="26">
        <v>0</v>
      </c>
      <c r="I15" s="27"/>
      <c r="J15" s="212" t="s">
        <v>220</v>
      </c>
      <c r="K15" s="29">
        <v>0</v>
      </c>
      <c r="L15" s="22">
        <f>20000+53794.5</f>
        <v>73794.5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43324</v>
      </c>
      <c r="E16" s="24">
        <v>81026.39</v>
      </c>
      <c r="F16" s="19"/>
      <c r="G16" s="159">
        <v>43324</v>
      </c>
      <c r="H16" s="26">
        <v>0</v>
      </c>
      <c r="I16" s="27"/>
      <c r="J16" s="42"/>
      <c r="K16" s="43">
        <v>0</v>
      </c>
      <c r="L16" s="22">
        <v>81026.5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43325</v>
      </c>
      <c r="E17" s="24">
        <v>52849.38</v>
      </c>
      <c r="F17" s="19"/>
      <c r="G17" s="159">
        <v>43325</v>
      </c>
      <c r="H17" s="26">
        <v>0</v>
      </c>
      <c r="I17" s="202"/>
      <c r="J17" s="203"/>
      <c r="K17" s="43">
        <v>0</v>
      </c>
      <c r="L17" s="22">
        <f>27840+9.5+25000</f>
        <v>52849.5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43326</v>
      </c>
      <c r="E18" s="24">
        <v>69223.789999999994</v>
      </c>
      <c r="F18" s="19"/>
      <c r="G18" s="159">
        <v>43326</v>
      </c>
      <c r="H18" s="26">
        <v>0</v>
      </c>
      <c r="I18" s="202"/>
      <c r="J18" s="203"/>
      <c r="K18" s="45">
        <v>0</v>
      </c>
      <c r="L18" s="22">
        <f>35000+34224</f>
        <v>69224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43327</v>
      </c>
      <c r="E19" s="24">
        <v>59210.080000000002</v>
      </c>
      <c r="F19" s="19"/>
      <c r="G19" s="159">
        <v>43327</v>
      </c>
      <c r="H19" s="26">
        <v>35</v>
      </c>
      <c r="I19" s="27"/>
      <c r="J19" s="46" t="s">
        <v>12</v>
      </c>
      <c r="K19" s="45">
        <v>0</v>
      </c>
      <c r="L19" s="22">
        <v>59175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43328</v>
      </c>
      <c r="E20" s="24">
        <v>65435.86</v>
      </c>
      <c r="F20" s="19"/>
      <c r="G20" s="159">
        <v>43328</v>
      </c>
      <c r="H20" s="26">
        <v>0</v>
      </c>
      <c r="I20" s="49"/>
      <c r="J20" s="50"/>
      <c r="K20" s="51" t="s">
        <v>151</v>
      </c>
      <c r="L20" s="22">
        <v>65436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43329</v>
      </c>
      <c r="E21" s="24">
        <v>79208.55</v>
      </c>
      <c r="F21" s="19"/>
      <c r="G21" s="159">
        <v>43329</v>
      </c>
      <c r="H21" s="26">
        <v>50</v>
      </c>
      <c r="I21" s="33"/>
      <c r="J21" s="52"/>
      <c r="K21" s="51"/>
      <c r="L21" s="22">
        <f>30000+20000+29158.5</f>
        <v>79158.5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43330</v>
      </c>
      <c r="E22" s="24">
        <v>89618.3</v>
      </c>
      <c r="F22" s="19"/>
      <c r="G22" s="159">
        <v>43330</v>
      </c>
      <c r="H22" s="26">
        <v>0</v>
      </c>
      <c r="I22" s="49" t="s">
        <v>23</v>
      </c>
      <c r="J22" s="53"/>
      <c r="K22" s="51">
        <v>0</v>
      </c>
      <c r="L22" s="22">
        <v>89618.5</v>
      </c>
      <c r="M22" s="47"/>
      <c r="N22" s="19"/>
    </row>
    <row r="23" spans="1:14" ht="16.5" thickBot="1" x14ac:dyDescent="0.3">
      <c r="A23" s="23"/>
      <c r="B23" s="17">
        <v>0</v>
      </c>
      <c r="C23" s="36"/>
      <c r="D23" s="107">
        <v>43331</v>
      </c>
      <c r="E23" s="24">
        <v>87994.22</v>
      </c>
      <c r="F23" s="19"/>
      <c r="G23" s="159">
        <v>43331</v>
      </c>
      <c r="H23" s="26">
        <v>0</v>
      </c>
      <c r="I23" s="27"/>
      <c r="J23" s="52"/>
      <c r="K23" s="51">
        <v>0</v>
      </c>
      <c r="L23" s="22">
        <v>87994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43332</v>
      </c>
      <c r="E24" s="24">
        <v>53221.67</v>
      </c>
      <c r="F24" s="19"/>
      <c r="G24" s="159">
        <v>43332</v>
      </c>
      <c r="H24" s="26">
        <v>0</v>
      </c>
      <c r="I24" s="27"/>
      <c r="J24" s="54" t="s">
        <v>15</v>
      </c>
      <c r="K24" s="51">
        <v>870</v>
      </c>
      <c r="L24" s="22">
        <v>53222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43333</v>
      </c>
      <c r="E25" s="24">
        <v>42597.37</v>
      </c>
      <c r="F25" s="19"/>
      <c r="G25" s="159">
        <v>43333</v>
      </c>
      <c r="H25" s="26">
        <v>0</v>
      </c>
      <c r="I25" s="27"/>
      <c r="J25" s="55">
        <v>43315</v>
      </c>
      <c r="K25" s="51">
        <v>0</v>
      </c>
      <c r="L25" s="22">
        <v>42597.5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43334</v>
      </c>
      <c r="E26" s="24">
        <v>63025.9</v>
      </c>
      <c r="F26" s="19"/>
      <c r="G26" s="159">
        <v>43334</v>
      </c>
      <c r="H26" s="26">
        <v>0</v>
      </c>
      <c r="I26" s="27"/>
      <c r="J26" s="56" t="s">
        <v>16</v>
      </c>
      <c r="K26" s="27">
        <v>900</v>
      </c>
      <c r="L26" s="22">
        <v>63026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43335</v>
      </c>
      <c r="E27" s="24">
        <v>58195.040000000001</v>
      </c>
      <c r="F27" s="19"/>
      <c r="G27" s="159">
        <v>43335</v>
      </c>
      <c r="H27" s="26">
        <v>35</v>
      </c>
      <c r="I27" s="27"/>
      <c r="J27" s="116">
        <v>43321</v>
      </c>
      <c r="K27" s="27">
        <v>0</v>
      </c>
      <c r="L27" s="22">
        <v>58160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43336</v>
      </c>
      <c r="E28" s="24">
        <v>58780.7</v>
      </c>
      <c r="F28" s="19"/>
      <c r="G28" s="159">
        <v>43336</v>
      </c>
      <c r="H28" s="26">
        <v>0</v>
      </c>
      <c r="I28" s="27"/>
      <c r="J28" s="57"/>
      <c r="K28" s="51">
        <v>0</v>
      </c>
      <c r="L28" s="22">
        <v>58780.5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43337</v>
      </c>
      <c r="E29" s="24">
        <v>108566.77</v>
      </c>
      <c r="F29" s="19"/>
      <c r="G29" s="159">
        <v>43337</v>
      </c>
      <c r="H29" s="26">
        <v>0</v>
      </c>
      <c r="I29" s="27" t="s">
        <v>23</v>
      </c>
      <c r="J29" s="55"/>
      <c r="K29" s="51">
        <v>0</v>
      </c>
      <c r="L29" s="22">
        <f>65000+43567</f>
        <v>108567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43338</v>
      </c>
      <c r="E30" s="24">
        <v>100339.14</v>
      </c>
      <c r="F30" s="19"/>
      <c r="G30" s="159">
        <v>43338</v>
      </c>
      <c r="H30" s="26">
        <v>0</v>
      </c>
      <c r="I30" s="27"/>
      <c r="J30" s="60" t="s">
        <v>18</v>
      </c>
      <c r="K30" s="51">
        <v>0</v>
      </c>
      <c r="L30" s="22">
        <v>100339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43339</v>
      </c>
      <c r="E31" s="24">
        <v>47075.54</v>
      </c>
      <c r="F31" s="19"/>
      <c r="G31" s="159">
        <v>43339</v>
      </c>
      <c r="H31" s="26">
        <v>35</v>
      </c>
      <c r="I31" s="61"/>
      <c r="J31" s="62"/>
      <c r="K31" s="51">
        <v>0</v>
      </c>
      <c r="L31" s="22">
        <v>47030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43340</v>
      </c>
      <c r="E32" s="24">
        <v>41460.35</v>
      </c>
      <c r="F32" s="19"/>
      <c r="G32" s="159">
        <v>43340</v>
      </c>
      <c r="H32" s="26">
        <v>0</v>
      </c>
      <c r="I32" s="61"/>
      <c r="J32" s="60"/>
      <c r="K32" s="29">
        <v>0</v>
      </c>
      <c r="L32" s="22">
        <f>20000+21460</f>
        <v>41460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43341</v>
      </c>
      <c r="E33" s="24">
        <v>78122.84</v>
      </c>
      <c r="F33" s="19"/>
      <c r="G33" s="159">
        <v>43341</v>
      </c>
      <c r="H33" s="26">
        <v>30</v>
      </c>
      <c r="I33" s="27"/>
      <c r="J33" s="63"/>
      <c r="K33" s="38"/>
      <c r="L33" s="22">
        <v>78093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43342</v>
      </c>
      <c r="E34" s="24">
        <v>54885.31</v>
      </c>
      <c r="F34" s="19"/>
      <c r="G34" s="159">
        <v>43342</v>
      </c>
      <c r="H34" s="26">
        <v>0</v>
      </c>
      <c r="I34" s="27"/>
      <c r="J34" s="63"/>
      <c r="K34" s="38"/>
      <c r="L34" s="22">
        <v>54885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43343</v>
      </c>
      <c r="E35" s="24">
        <v>139894.10999999999</v>
      </c>
      <c r="F35" s="19"/>
      <c r="G35" s="211">
        <v>43343</v>
      </c>
      <c r="H35" s="26">
        <v>0</v>
      </c>
      <c r="I35" s="27"/>
      <c r="J35" s="60"/>
      <c r="K35" s="29"/>
      <c r="L35" s="22">
        <f>85000+54894</f>
        <v>139894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2097045.5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2094169.9350000001</v>
      </c>
      <c r="G38" s="207" t="s">
        <v>19</v>
      </c>
      <c r="H38" s="88">
        <f>SUM(H5:H37)</f>
        <v>255</v>
      </c>
      <c r="I38" s="88"/>
      <c r="J38" s="89" t="s">
        <v>19</v>
      </c>
      <c r="K38" s="90">
        <f t="shared" ref="K38" si="0">SUM(K5:K37)</f>
        <v>89055.54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5" t="s">
        <v>20</v>
      </c>
      <c r="H40" s="276"/>
      <c r="I40" s="208"/>
      <c r="J40" s="277">
        <f>H38+K38</f>
        <v>89310.54</v>
      </c>
      <c r="K40" s="278"/>
      <c r="L40" s="94"/>
      <c r="M40" s="95"/>
    </row>
    <row r="41" spans="1:14" ht="15.75" x14ac:dyDescent="0.25">
      <c r="A41" s="1"/>
      <c r="B41" s="179"/>
      <c r="C41" s="279" t="s">
        <v>21</v>
      </c>
      <c r="D41" s="279"/>
      <c r="E41" s="180">
        <f>E38-J40</f>
        <v>2004859.395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18000</v>
      </c>
      <c r="F42" s="176"/>
      <c r="G42" s="176"/>
      <c r="H42" s="280" t="s">
        <v>26</v>
      </c>
      <c r="I42" s="280"/>
      <c r="J42" s="280">
        <f>E46</f>
        <v>44701.085000000108</v>
      </c>
      <c r="K42" s="287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-2182779.65</v>
      </c>
      <c r="F43" s="176"/>
      <c r="G43" s="176"/>
      <c r="H43" s="254" t="s">
        <v>1</v>
      </c>
      <c r="I43" s="254"/>
      <c r="J43" s="288">
        <f>-B4</f>
        <v>-68713.179999999993</v>
      </c>
      <c r="K43" s="289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-159920.25499999989</v>
      </c>
      <c r="F44" s="176"/>
      <c r="G44" s="176"/>
      <c r="H44" s="257" t="s">
        <v>259</v>
      </c>
      <c r="I44" s="258"/>
      <c r="J44" s="259">
        <f>SUM(J41:K43)</f>
        <v>-24012.094999999885</v>
      </c>
      <c r="K44" s="260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204621.34</v>
      </c>
      <c r="F45" s="176"/>
      <c r="G45" s="176"/>
      <c r="H45" s="71"/>
      <c r="I45" s="176"/>
      <c r="J45" s="281"/>
      <c r="K45" s="282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44701.085000000108</v>
      </c>
      <c r="F46" s="189"/>
      <c r="G46" s="189"/>
      <c r="H46" s="190"/>
      <c r="I46" s="191"/>
      <c r="J46" s="283"/>
      <c r="K46" s="284"/>
      <c r="L46" s="94"/>
      <c r="M46" s="95"/>
    </row>
    <row r="47" spans="1:14" ht="18.75" x14ac:dyDescent="0.25">
      <c r="A47" s="1"/>
      <c r="B47" s="5"/>
      <c r="E47" s="51"/>
      <c r="J47" s="285"/>
      <c r="K47" s="286"/>
      <c r="L47" s="94"/>
      <c r="M47" s="95"/>
    </row>
    <row r="48" spans="1:14" x14ac:dyDescent="0.25">
      <c r="A48" s="1"/>
      <c r="B48" s="5"/>
      <c r="C48" s="244"/>
      <c r="D48" s="244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G40:H40"/>
    <mergeCell ref="J40:K40"/>
    <mergeCell ref="C41:D41"/>
    <mergeCell ref="H42:I42"/>
    <mergeCell ref="J42:K42"/>
    <mergeCell ref="H43:I43"/>
    <mergeCell ref="J43:K43"/>
    <mergeCell ref="H44:I44"/>
    <mergeCell ref="J44:K44"/>
    <mergeCell ref="J45:K45"/>
    <mergeCell ref="J46:K46"/>
    <mergeCell ref="J47:K47"/>
    <mergeCell ref="B1:J1"/>
    <mergeCell ref="A3:A4"/>
    <mergeCell ref="D3:F3"/>
    <mergeCell ref="G3:H3"/>
    <mergeCell ref="D4:E4"/>
    <mergeCell ref="H4:K4"/>
  </mergeCells>
  <pageMargins left="0.51181102362204722" right="0.11811023622047245" top="0.15748031496062992" bottom="0" header="0.31496062992125984" footer="0.31496062992125984"/>
  <pageSetup scale="78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workbookViewId="0">
      <selection activeCell="D17" sqref="D1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252</v>
      </c>
      <c r="I2" s="265"/>
      <c r="J2" s="266"/>
    </row>
    <row r="3" spans="1:10" x14ac:dyDescent="0.25">
      <c r="A3" s="124">
        <v>43313</v>
      </c>
      <c r="B3" s="125" t="s">
        <v>221</v>
      </c>
      <c r="C3" s="126">
        <v>40699</v>
      </c>
      <c r="D3" s="127"/>
      <c r="E3" s="126"/>
      <c r="F3" s="128">
        <f t="shared" ref="F3:F37" si="0">C3-E3</f>
        <v>40699</v>
      </c>
      <c r="H3" s="267"/>
      <c r="I3" s="268"/>
      <c r="J3" s="269"/>
    </row>
    <row r="4" spans="1:10" x14ac:dyDescent="0.25">
      <c r="A4" s="124">
        <v>43313</v>
      </c>
      <c r="B4" s="125" t="s">
        <v>222</v>
      </c>
      <c r="C4" s="126">
        <v>90017.279999999999</v>
      </c>
      <c r="D4" s="127"/>
      <c r="E4" s="131"/>
      <c r="F4" s="132">
        <f t="shared" si="0"/>
        <v>90017.279999999999</v>
      </c>
      <c r="H4" s="267"/>
      <c r="I4" s="268"/>
      <c r="J4" s="269"/>
    </row>
    <row r="5" spans="1:10" ht="15.75" thickBot="1" x14ac:dyDescent="0.3">
      <c r="A5" s="129">
        <v>43313</v>
      </c>
      <c r="B5" s="213" t="s">
        <v>235</v>
      </c>
      <c r="C5" s="131">
        <v>150</v>
      </c>
      <c r="D5" s="127" t="s">
        <v>67</v>
      </c>
      <c r="E5" s="131"/>
      <c r="F5" s="132">
        <f t="shared" si="0"/>
        <v>150</v>
      </c>
      <c r="H5" s="270"/>
      <c r="I5" s="271"/>
      <c r="J5" s="272"/>
    </row>
    <row r="6" spans="1:10" x14ac:dyDescent="0.25">
      <c r="A6" s="129">
        <v>43316</v>
      </c>
      <c r="B6" s="130" t="s">
        <v>223</v>
      </c>
      <c r="C6" s="131">
        <v>152397.18</v>
      </c>
      <c r="D6" s="127"/>
      <c r="E6" s="131"/>
      <c r="F6" s="133">
        <f t="shared" si="0"/>
        <v>152397.18</v>
      </c>
    </row>
    <row r="7" spans="1:10" x14ac:dyDescent="0.25">
      <c r="A7" s="129">
        <v>43320</v>
      </c>
      <c r="B7" s="130" t="s">
        <v>224</v>
      </c>
      <c r="C7" s="131">
        <v>74356.23</v>
      </c>
      <c r="D7" s="127"/>
      <c r="E7" s="131"/>
      <c r="F7" s="133">
        <f t="shared" si="0"/>
        <v>74356.23</v>
      </c>
    </row>
    <row r="8" spans="1:10" x14ac:dyDescent="0.25">
      <c r="A8" s="129">
        <v>43320</v>
      </c>
      <c r="B8" s="130" t="s">
        <v>225</v>
      </c>
      <c r="C8" s="131">
        <v>82396</v>
      </c>
      <c r="D8" s="127"/>
      <c r="E8" s="131"/>
      <c r="F8" s="133">
        <f t="shared" si="0"/>
        <v>82396</v>
      </c>
    </row>
    <row r="9" spans="1:10" x14ac:dyDescent="0.25">
      <c r="A9" s="129">
        <v>43289</v>
      </c>
      <c r="B9" s="130" t="s">
        <v>226</v>
      </c>
      <c r="C9" s="131">
        <v>31788</v>
      </c>
      <c r="D9" s="127"/>
      <c r="E9" s="131"/>
      <c r="F9" s="133">
        <f t="shared" si="0"/>
        <v>31788</v>
      </c>
    </row>
    <row r="10" spans="1:10" x14ac:dyDescent="0.25">
      <c r="A10" s="129">
        <v>43320</v>
      </c>
      <c r="B10" s="130" t="s">
        <v>227</v>
      </c>
      <c r="C10" s="131">
        <v>120618.66</v>
      </c>
      <c r="D10" s="127"/>
      <c r="E10" s="131"/>
      <c r="F10" s="133">
        <f t="shared" si="0"/>
        <v>120618.66</v>
      </c>
    </row>
    <row r="11" spans="1:10" x14ac:dyDescent="0.25">
      <c r="A11" s="129">
        <v>43320</v>
      </c>
      <c r="B11" s="192" t="s">
        <v>228</v>
      </c>
      <c r="C11" s="131">
        <v>6948.5</v>
      </c>
      <c r="D11" s="127"/>
      <c r="E11" s="131"/>
      <c r="F11" s="133">
        <f t="shared" si="0"/>
        <v>6948.5</v>
      </c>
    </row>
    <row r="12" spans="1:10" x14ac:dyDescent="0.25">
      <c r="A12" s="129">
        <v>43321</v>
      </c>
      <c r="B12" s="130" t="s">
        <v>229</v>
      </c>
      <c r="C12" s="131">
        <v>85167</v>
      </c>
      <c r="D12" s="127"/>
      <c r="E12" s="131"/>
      <c r="F12" s="133">
        <f t="shared" si="0"/>
        <v>85167</v>
      </c>
    </row>
    <row r="13" spans="1:10" x14ac:dyDescent="0.25">
      <c r="A13" s="134">
        <v>43322</v>
      </c>
      <c r="B13" s="135" t="s">
        <v>230</v>
      </c>
      <c r="C13" s="131">
        <v>65020.38</v>
      </c>
      <c r="D13" s="127"/>
      <c r="E13" s="131"/>
      <c r="F13" s="133">
        <f t="shared" si="0"/>
        <v>65020.38</v>
      </c>
    </row>
    <row r="14" spans="1:10" x14ac:dyDescent="0.25">
      <c r="A14" s="134">
        <v>43323</v>
      </c>
      <c r="B14" s="135" t="s">
        <v>231</v>
      </c>
      <c r="C14" s="131">
        <v>79920</v>
      </c>
      <c r="D14" s="127"/>
      <c r="E14" s="131"/>
      <c r="F14" s="133">
        <f t="shared" si="0"/>
        <v>79920</v>
      </c>
    </row>
    <row r="15" spans="1:10" x14ac:dyDescent="0.25">
      <c r="A15" s="134">
        <v>43326</v>
      </c>
      <c r="B15" s="135" t="s">
        <v>232</v>
      </c>
      <c r="C15" s="131">
        <v>126063.4</v>
      </c>
      <c r="D15" s="127"/>
      <c r="E15" s="131"/>
      <c r="F15" s="133">
        <f t="shared" si="0"/>
        <v>126063.4</v>
      </c>
    </row>
    <row r="16" spans="1:10" x14ac:dyDescent="0.25">
      <c r="A16" s="134">
        <v>43327</v>
      </c>
      <c r="B16" s="135" t="s">
        <v>233</v>
      </c>
      <c r="C16" s="131">
        <v>79236.399999999994</v>
      </c>
      <c r="D16" s="127"/>
      <c r="E16" s="131"/>
      <c r="F16" s="133">
        <f t="shared" si="0"/>
        <v>79236.399999999994</v>
      </c>
    </row>
    <row r="17" spans="1:6" x14ac:dyDescent="0.25">
      <c r="A17" s="134">
        <v>43328</v>
      </c>
      <c r="B17" s="135" t="s">
        <v>234</v>
      </c>
      <c r="C17" s="131">
        <v>82806.399999999994</v>
      </c>
      <c r="D17" s="127"/>
      <c r="E17" s="131"/>
      <c r="F17" s="133">
        <f t="shared" si="0"/>
        <v>82806.399999999994</v>
      </c>
    </row>
    <row r="18" spans="1:6" x14ac:dyDescent="0.25">
      <c r="A18" s="134"/>
      <c r="B18" s="214" t="s">
        <v>236</v>
      </c>
      <c r="C18" s="131">
        <v>2356</v>
      </c>
      <c r="D18" s="127" t="s">
        <v>67</v>
      </c>
      <c r="E18" s="131"/>
      <c r="F18" s="133">
        <f t="shared" si="0"/>
        <v>2356</v>
      </c>
    </row>
    <row r="19" spans="1:6" x14ac:dyDescent="0.25">
      <c r="A19" s="134">
        <v>43329</v>
      </c>
      <c r="B19" s="135" t="s">
        <v>237</v>
      </c>
      <c r="C19" s="131">
        <v>87786.3</v>
      </c>
      <c r="D19" s="127"/>
      <c r="E19" s="131"/>
      <c r="F19" s="133">
        <f t="shared" si="0"/>
        <v>87786.3</v>
      </c>
    </row>
    <row r="20" spans="1:6" x14ac:dyDescent="0.25">
      <c r="A20" s="134">
        <v>43330</v>
      </c>
      <c r="B20" s="135" t="s">
        <v>238</v>
      </c>
      <c r="C20" s="131">
        <v>119184.42</v>
      </c>
      <c r="D20" s="127"/>
      <c r="E20" s="131"/>
      <c r="F20" s="133">
        <f t="shared" si="0"/>
        <v>119184.42</v>
      </c>
    </row>
    <row r="21" spans="1:6" x14ac:dyDescent="0.25">
      <c r="A21" s="134">
        <v>43330</v>
      </c>
      <c r="B21" s="135" t="s">
        <v>239</v>
      </c>
      <c r="C21" s="131">
        <v>1094.4000000000001</v>
      </c>
      <c r="D21" s="127"/>
      <c r="E21" s="131"/>
      <c r="F21" s="133">
        <f t="shared" si="0"/>
        <v>1094.4000000000001</v>
      </c>
    </row>
    <row r="22" spans="1:6" x14ac:dyDescent="0.25">
      <c r="A22" s="134">
        <v>43330</v>
      </c>
      <c r="B22" s="135" t="s">
        <v>240</v>
      </c>
      <c r="C22" s="131">
        <v>735</v>
      </c>
      <c r="D22" s="127"/>
      <c r="E22" s="131"/>
      <c r="F22" s="133">
        <f t="shared" si="0"/>
        <v>735</v>
      </c>
    </row>
    <row r="23" spans="1:6" x14ac:dyDescent="0.25">
      <c r="A23" s="134">
        <v>43332</v>
      </c>
      <c r="B23" s="135" t="s">
        <v>241</v>
      </c>
      <c r="C23" s="131">
        <v>44287.360000000001</v>
      </c>
      <c r="D23" s="127"/>
      <c r="E23" s="131"/>
      <c r="F23" s="133">
        <f t="shared" si="0"/>
        <v>44287.360000000001</v>
      </c>
    </row>
    <row r="24" spans="1:6" x14ac:dyDescent="0.25">
      <c r="A24" s="134">
        <v>43332</v>
      </c>
      <c r="B24" s="135" t="s">
        <v>242</v>
      </c>
      <c r="C24" s="131">
        <v>35724</v>
      </c>
      <c r="D24" s="127"/>
      <c r="E24" s="131"/>
      <c r="F24" s="133">
        <f t="shared" si="0"/>
        <v>35724</v>
      </c>
    </row>
    <row r="25" spans="1:6" x14ac:dyDescent="0.25">
      <c r="A25" s="134">
        <v>43334</v>
      </c>
      <c r="B25" s="135" t="s">
        <v>243</v>
      </c>
      <c r="C25" s="131">
        <v>112857</v>
      </c>
      <c r="D25" s="127"/>
      <c r="E25" s="131"/>
      <c r="F25" s="133">
        <f t="shared" si="0"/>
        <v>112857</v>
      </c>
    </row>
    <row r="26" spans="1:6" x14ac:dyDescent="0.25">
      <c r="A26" s="134">
        <v>43334</v>
      </c>
      <c r="B26" s="135" t="s">
        <v>244</v>
      </c>
      <c r="C26" s="131">
        <v>122227.7</v>
      </c>
      <c r="D26" s="127"/>
      <c r="E26" s="131"/>
      <c r="F26" s="133">
        <f t="shared" si="0"/>
        <v>122227.7</v>
      </c>
    </row>
    <row r="27" spans="1:6" x14ac:dyDescent="0.25">
      <c r="A27" s="134">
        <v>43336</v>
      </c>
      <c r="B27" s="135" t="s">
        <v>245</v>
      </c>
      <c r="C27" s="131">
        <v>74367.259999999995</v>
      </c>
      <c r="D27" s="127"/>
      <c r="E27" s="131"/>
      <c r="F27" s="133">
        <f t="shared" si="0"/>
        <v>74367.259999999995</v>
      </c>
    </row>
    <row r="28" spans="1:6" x14ac:dyDescent="0.25">
      <c r="A28" s="134">
        <v>43337</v>
      </c>
      <c r="B28" s="135" t="s">
        <v>246</v>
      </c>
      <c r="C28" s="131">
        <v>112146</v>
      </c>
      <c r="D28" s="127"/>
      <c r="E28" s="131"/>
      <c r="F28" s="133">
        <f t="shared" si="0"/>
        <v>112146</v>
      </c>
    </row>
    <row r="29" spans="1:6" x14ac:dyDescent="0.25">
      <c r="A29" s="134">
        <v>43341</v>
      </c>
      <c r="B29" s="135" t="s">
        <v>248</v>
      </c>
      <c r="C29" s="131">
        <v>110301.5</v>
      </c>
      <c r="D29" s="127"/>
      <c r="E29" s="131"/>
      <c r="F29" s="133">
        <f t="shared" si="0"/>
        <v>110301.5</v>
      </c>
    </row>
    <row r="30" spans="1:6" x14ac:dyDescent="0.25">
      <c r="A30" s="134">
        <v>43342</v>
      </c>
      <c r="B30" s="135" t="s">
        <v>249</v>
      </c>
      <c r="C30" s="131">
        <v>139173.78</v>
      </c>
      <c r="D30" s="127"/>
      <c r="E30" s="131"/>
      <c r="F30" s="133">
        <f t="shared" si="0"/>
        <v>139173.78</v>
      </c>
    </row>
    <row r="31" spans="1:6" x14ac:dyDescent="0.25">
      <c r="A31" s="134">
        <v>43343</v>
      </c>
      <c r="B31" s="135" t="s">
        <v>250</v>
      </c>
      <c r="C31" s="131">
        <v>36281</v>
      </c>
      <c r="D31" s="127"/>
      <c r="E31" s="131"/>
      <c r="F31" s="133">
        <f t="shared" si="0"/>
        <v>36281</v>
      </c>
    </row>
    <row r="32" spans="1:6" x14ac:dyDescent="0.25">
      <c r="A32" s="134">
        <v>43343</v>
      </c>
      <c r="B32" s="135" t="s">
        <v>251</v>
      </c>
      <c r="C32" s="131">
        <v>14950</v>
      </c>
      <c r="D32" s="127"/>
      <c r="E32" s="131"/>
      <c r="F32" s="133">
        <f t="shared" si="0"/>
        <v>14950</v>
      </c>
    </row>
    <row r="33" spans="1:6" x14ac:dyDescent="0.25">
      <c r="A33" s="134">
        <v>43339</v>
      </c>
      <c r="B33" s="135" t="s">
        <v>247</v>
      </c>
      <c r="C33" s="131">
        <v>82980.2</v>
      </c>
      <c r="D33" s="127"/>
      <c r="E33" s="131"/>
      <c r="F33" s="133">
        <f t="shared" si="0"/>
        <v>82980.2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31256.7</v>
      </c>
      <c r="F37" s="145">
        <f t="shared" si="0"/>
        <v>-31256.7</v>
      </c>
    </row>
    <row r="38" spans="1:6" s="151" customFormat="1" ht="19.5" thickBot="1" x14ac:dyDescent="0.35">
      <c r="A38" s="149"/>
      <c r="B38" s="150"/>
      <c r="C38" s="146">
        <f>SUM(C3:C37)</f>
        <v>2214036.35</v>
      </c>
      <c r="D38" s="146"/>
      <c r="E38" s="152">
        <f>SUM(E3:E37)</f>
        <v>31256.7</v>
      </c>
      <c r="F38" s="152">
        <f>SUM(F3:F37)</f>
        <v>2182779.65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P68"/>
  <sheetViews>
    <sheetView topLeftCell="D34" workbookViewId="0">
      <selection activeCell="H49" sqref="H49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" style="15" customWidth="1"/>
  </cols>
  <sheetData>
    <row r="1" spans="1:16" ht="23.25" x14ac:dyDescent="0.35">
      <c r="A1" s="1"/>
      <c r="B1" s="235" t="s">
        <v>264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6" ht="15.75" thickBot="1" x14ac:dyDescent="0.3">
      <c r="A2" s="1"/>
      <c r="B2" s="5"/>
      <c r="D2" s="215"/>
      <c r="E2" s="8"/>
      <c r="L2" s="9"/>
      <c r="M2" s="4"/>
    </row>
    <row r="3" spans="1:16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6" ht="20.25" thickTop="1" thickBot="1" x14ac:dyDescent="0.35">
      <c r="A4" s="237"/>
      <c r="B4" s="12">
        <v>204621.34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43344</v>
      </c>
      <c r="E5" s="157">
        <v>94651.33</v>
      </c>
      <c r="F5" s="158"/>
      <c r="G5" s="159">
        <v>43344</v>
      </c>
      <c r="H5" s="160">
        <v>0</v>
      </c>
      <c r="I5" s="20"/>
      <c r="J5" s="21"/>
      <c r="K5" s="21"/>
      <c r="L5" s="22">
        <v>106927.5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43345</v>
      </c>
      <c r="E6" s="24">
        <v>83608.89</v>
      </c>
      <c r="F6" s="25"/>
      <c r="G6" s="159">
        <v>43345</v>
      </c>
      <c r="H6" s="26">
        <v>0</v>
      </c>
      <c r="I6" s="27"/>
      <c r="J6" s="28" t="s">
        <v>8</v>
      </c>
      <c r="K6" s="29">
        <v>549</v>
      </c>
      <c r="L6" s="22">
        <v>89333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43346</v>
      </c>
      <c r="E7" s="24">
        <v>61605.15</v>
      </c>
      <c r="F7" s="19"/>
      <c r="G7" s="159">
        <v>43346</v>
      </c>
      <c r="H7" s="26">
        <v>35</v>
      </c>
      <c r="I7" s="61">
        <v>43347</v>
      </c>
      <c r="J7" s="30" t="s">
        <v>9</v>
      </c>
      <c r="K7" s="31">
        <v>7576.5</v>
      </c>
      <c r="L7" s="22">
        <f>110+60590</f>
        <v>60700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43347</v>
      </c>
      <c r="E8" s="24">
        <v>26837.599999999999</v>
      </c>
      <c r="F8" s="19"/>
      <c r="G8" s="159">
        <v>43347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26837.5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43348</v>
      </c>
      <c r="E9" s="24">
        <v>45976</v>
      </c>
      <c r="F9" s="19"/>
      <c r="G9" s="159">
        <v>43348</v>
      </c>
      <c r="H9" s="26">
        <v>0</v>
      </c>
      <c r="I9" s="210" t="s">
        <v>269</v>
      </c>
      <c r="J9" s="28" t="s">
        <v>260</v>
      </c>
      <c r="K9" s="38">
        <v>8864.7000000000007</v>
      </c>
      <c r="L9" s="22">
        <v>45076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43349</v>
      </c>
      <c r="E10" s="24">
        <v>85777.12</v>
      </c>
      <c r="F10" s="19"/>
      <c r="G10" s="159">
        <v>43349</v>
      </c>
      <c r="H10" s="26">
        <v>0</v>
      </c>
      <c r="I10" s="209" t="s">
        <v>270</v>
      </c>
      <c r="J10" s="28" t="s">
        <v>261</v>
      </c>
      <c r="K10" s="38">
        <v>8804.67</v>
      </c>
      <c r="L10" s="22">
        <v>85777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43350</v>
      </c>
      <c r="E11" s="24">
        <v>66934.28</v>
      </c>
      <c r="F11" s="19"/>
      <c r="G11" s="159">
        <v>43350</v>
      </c>
      <c r="H11" s="26">
        <v>35</v>
      </c>
      <c r="I11" s="37" t="s">
        <v>271</v>
      </c>
      <c r="J11" s="28" t="s">
        <v>262</v>
      </c>
      <c r="K11" s="38">
        <v>7943.74</v>
      </c>
      <c r="L11" s="22">
        <v>66899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43351</v>
      </c>
      <c r="E12" s="24">
        <v>91733.75</v>
      </c>
      <c r="F12" s="19"/>
      <c r="G12" s="159">
        <v>43351</v>
      </c>
      <c r="H12" s="26">
        <v>0</v>
      </c>
      <c r="I12" s="37" t="s">
        <v>272</v>
      </c>
      <c r="J12" s="28" t="s">
        <v>263</v>
      </c>
      <c r="K12" s="38">
        <v>9150.08</v>
      </c>
      <c r="L12" s="22">
        <f>55000+36734</f>
        <v>91734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43352</v>
      </c>
      <c r="E13" s="24">
        <v>70141.86</v>
      </c>
      <c r="F13" s="19"/>
      <c r="G13" s="159">
        <v>43352</v>
      </c>
      <c r="H13" s="26">
        <v>0</v>
      </c>
      <c r="I13" s="37"/>
      <c r="J13" s="28" t="s">
        <v>158</v>
      </c>
      <c r="K13" s="29">
        <v>0</v>
      </c>
      <c r="L13" s="22">
        <v>70142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43353</v>
      </c>
      <c r="E14" s="24">
        <v>50418.6</v>
      </c>
      <c r="F14" s="19"/>
      <c r="G14" s="159">
        <v>43353</v>
      </c>
      <c r="H14" s="26">
        <v>0</v>
      </c>
      <c r="I14" s="61"/>
      <c r="J14" s="40" t="s">
        <v>92</v>
      </c>
      <c r="K14" s="29">
        <v>1500</v>
      </c>
      <c r="L14" s="22">
        <v>50418.5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43354</v>
      </c>
      <c r="E15" s="24">
        <v>44163.8</v>
      </c>
      <c r="F15" s="19"/>
      <c r="G15" s="159">
        <v>43354</v>
      </c>
      <c r="H15" s="26">
        <v>0</v>
      </c>
      <c r="I15" s="27"/>
      <c r="J15" s="217">
        <v>43355</v>
      </c>
      <c r="K15" s="29">
        <v>0</v>
      </c>
      <c r="L15" s="22">
        <f>25000+19164</f>
        <v>44164</v>
      </c>
      <c r="N15" s="33" t="s">
        <v>265</v>
      </c>
    </row>
    <row r="16" spans="1:16" ht="16.5" thickBot="1" x14ac:dyDescent="0.3">
      <c r="A16" s="23"/>
      <c r="B16" s="17">
        <v>0</v>
      </c>
      <c r="C16" s="36"/>
      <c r="D16" s="107">
        <v>43355</v>
      </c>
      <c r="E16" s="24">
        <v>18133.2</v>
      </c>
      <c r="F16" s="19"/>
      <c r="G16" s="159">
        <v>43355</v>
      </c>
      <c r="H16" s="26">
        <v>0</v>
      </c>
      <c r="I16" s="27"/>
      <c r="J16" s="42" t="s">
        <v>266</v>
      </c>
      <c r="K16" s="43">
        <v>0</v>
      </c>
      <c r="L16" s="22">
        <v>16633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43356</v>
      </c>
      <c r="E17" s="24">
        <v>122223.5</v>
      </c>
      <c r="F17" s="19"/>
      <c r="G17" s="159">
        <v>43356</v>
      </c>
      <c r="H17" s="26">
        <v>0</v>
      </c>
      <c r="I17" s="202"/>
      <c r="J17" s="203"/>
      <c r="K17" s="43">
        <v>0</v>
      </c>
      <c r="L17" s="22">
        <v>121585.5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43357</v>
      </c>
      <c r="E18" s="24">
        <v>80794.67</v>
      </c>
      <c r="F18" s="19"/>
      <c r="G18" s="159">
        <v>43357</v>
      </c>
      <c r="H18" s="26">
        <v>55</v>
      </c>
      <c r="I18" s="202"/>
      <c r="J18" s="203"/>
      <c r="K18" s="45">
        <v>0</v>
      </c>
      <c r="L18" s="22">
        <f>50740+30000</f>
        <v>80740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43358</v>
      </c>
      <c r="E19" s="24">
        <v>136391.79</v>
      </c>
      <c r="F19" s="19"/>
      <c r="G19" s="159">
        <v>43358</v>
      </c>
      <c r="H19" s="26">
        <v>0</v>
      </c>
      <c r="I19" s="27"/>
      <c r="J19" s="46" t="s">
        <v>12</v>
      </c>
      <c r="K19" s="45">
        <v>0</v>
      </c>
      <c r="L19" s="22">
        <v>136392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43359</v>
      </c>
      <c r="E20" s="24">
        <v>44550.13</v>
      </c>
      <c r="F20" s="19"/>
      <c r="G20" s="159">
        <v>43359</v>
      </c>
      <c r="H20" s="26">
        <v>0</v>
      </c>
      <c r="I20" s="49"/>
      <c r="J20" s="50"/>
      <c r="K20" s="51" t="s">
        <v>151</v>
      </c>
      <c r="L20" s="22">
        <v>44550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43360</v>
      </c>
      <c r="E21" s="24">
        <v>75124.179999999993</v>
      </c>
      <c r="F21" s="19"/>
      <c r="G21" s="159">
        <v>43360</v>
      </c>
      <c r="H21" s="26">
        <v>0</v>
      </c>
      <c r="I21" s="33"/>
      <c r="J21" s="52"/>
      <c r="K21" s="51"/>
      <c r="L21" s="22">
        <f>65000+10124</f>
        <v>75124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43361</v>
      </c>
      <c r="E22" s="24">
        <v>44480.7</v>
      </c>
      <c r="F22" s="19"/>
      <c r="G22" s="159">
        <v>43361</v>
      </c>
      <c r="H22" s="26">
        <v>0</v>
      </c>
      <c r="I22" s="49" t="s">
        <v>23</v>
      </c>
      <c r="J22" s="53"/>
      <c r="K22" s="51">
        <v>0</v>
      </c>
      <c r="L22" s="22">
        <v>44481</v>
      </c>
      <c r="M22" s="47"/>
      <c r="N22" s="19"/>
    </row>
    <row r="23" spans="1:14" ht="16.5" thickBot="1" x14ac:dyDescent="0.3">
      <c r="A23" s="23"/>
      <c r="B23" s="17">
        <v>0</v>
      </c>
      <c r="C23" s="36"/>
      <c r="D23" s="107">
        <v>43362</v>
      </c>
      <c r="E23" s="24">
        <v>35192.74</v>
      </c>
      <c r="F23" s="19"/>
      <c r="G23" s="159">
        <v>43362</v>
      </c>
      <c r="H23" s="26">
        <v>0</v>
      </c>
      <c r="I23" s="27"/>
      <c r="J23" s="52"/>
      <c r="K23" s="51">
        <v>0</v>
      </c>
      <c r="L23" s="22">
        <f>17693+17500</f>
        <v>35193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43363</v>
      </c>
      <c r="E24" s="24">
        <v>82644.92</v>
      </c>
      <c r="F24" s="19"/>
      <c r="G24" s="159">
        <v>43363</v>
      </c>
      <c r="H24" s="26">
        <v>35</v>
      </c>
      <c r="I24" s="27"/>
      <c r="J24" s="54" t="s">
        <v>15</v>
      </c>
      <c r="K24" s="51">
        <v>870</v>
      </c>
      <c r="L24" s="22">
        <v>82610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43364</v>
      </c>
      <c r="E25" s="24">
        <v>41190.589999999997</v>
      </c>
      <c r="F25" s="19"/>
      <c r="G25" s="159">
        <v>43364</v>
      </c>
      <c r="H25" s="26">
        <v>20</v>
      </c>
      <c r="I25" s="27"/>
      <c r="J25" s="55">
        <v>43346</v>
      </c>
      <c r="K25" s="51">
        <v>0</v>
      </c>
      <c r="L25" s="22">
        <f>24320+16000</f>
        <v>40320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43365</v>
      </c>
      <c r="E26" s="24">
        <v>89756.97</v>
      </c>
      <c r="F26" s="19"/>
      <c r="G26" s="159">
        <v>43365</v>
      </c>
      <c r="H26" s="26">
        <v>0</v>
      </c>
      <c r="I26" s="27"/>
      <c r="J26" s="56" t="s">
        <v>16</v>
      </c>
      <c r="K26" s="27">
        <v>900</v>
      </c>
      <c r="L26" s="22">
        <v>89757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43366</v>
      </c>
      <c r="E27" s="24">
        <v>50357</v>
      </c>
      <c r="F27" s="19"/>
      <c r="G27" s="159">
        <v>43366</v>
      </c>
      <c r="H27" s="26">
        <v>0</v>
      </c>
      <c r="I27" s="27"/>
      <c r="J27" s="116">
        <v>43348</v>
      </c>
      <c r="K27" s="27">
        <v>0</v>
      </c>
      <c r="L27" s="22">
        <v>50357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43367</v>
      </c>
      <c r="E28" s="24">
        <v>51574.46</v>
      </c>
      <c r="F28" s="19"/>
      <c r="G28" s="159">
        <v>43367</v>
      </c>
      <c r="H28" s="26">
        <v>0</v>
      </c>
      <c r="I28" s="27"/>
      <c r="J28" s="57" t="s">
        <v>267</v>
      </c>
      <c r="K28" s="51">
        <v>850</v>
      </c>
      <c r="L28" s="22">
        <f>31074+20500</f>
        <v>51574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43368</v>
      </c>
      <c r="E29" s="24">
        <v>17002.3</v>
      </c>
      <c r="F29" s="19"/>
      <c r="G29" s="159">
        <v>43368</v>
      </c>
      <c r="H29" s="26">
        <v>0</v>
      </c>
      <c r="I29" s="27" t="s">
        <v>23</v>
      </c>
      <c r="J29" s="55">
        <v>43364</v>
      </c>
      <c r="K29" s="51">
        <v>0</v>
      </c>
      <c r="L29" s="22">
        <v>17002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43369</v>
      </c>
      <c r="E30" s="24">
        <v>52650.5</v>
      </c>
      <c r="F30" s="19"/>
      <c r="G30" s="159">
        <v>43369</v>
      </c>
      <c r="H30" s="26">
        <v>36</v>
      </c>
      <c r="I30" s="27"/>
      <c r="J30" s="60" t="s">
        <v>18</v>
      </c>
      <c r="K30" s="51">
        <v>638</v>
      </c>
      <c r="L30" s="22">
        <v>52614.5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43370</v>
      </c>
      <c r="E31" s="24">
        <v>49183.26</v>
      </c>
      <c r="F31" s="19"/>
      <c r="G31" s="159">
        <v>43370</v>
      </c>
      <c r="H31" s="26">
        <v>0</v>
      </c>
      <c r="I31" s="61"/>
      <c r="J31" s="62">
        <v>43356</v>
      </c>
      <c r="K31" s="51">
        <v>0</v>
      </c>
      <c r="L31" s="22">
        <v>49183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43371</v>
      </c>
      <c r="E32" s="24">
        <v>96650.27</v>
      </c>
      <c r="F32" s="19"/>
      <c r="G32" s="159">
        <v>43371</v>
      </c>
      <c r="H32" s="26">
        <v>0</v>
      </c>
      <c r="I32" s="61"/>
      <c r="J32" s="60"/>
      <c r="K32" s="29">
        <v>0</v>
      </c>
      <c r="L32" s="22">
        <v>96650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43372</v>
      </c>
      <c r="E33" s="24">
        <v>104060.48</v>
      </c>
      <c r="F33" s="19"/>
      <c r="G33" s="159">
        <v>43372</v>
      </c>
      <c r="H33" s="26">
        <v>0</v>
      </c>
      <c r="I33" s="27"/>
      <c r="J33" s="63"/>
      <c r="K33" s="38"/>
      <c r="L33" s="22">
        <f>84060.5+20000</f>
        <v>104060.5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43373</v>
      </c>
      <c r="E34" s="24">
        <v>64720.6</v>
      </c>
      <c r="F34" s="19"/>
      <c r="G34" s="159">
        <v>43373</v>
      </c>
      <c r="H34" s="26">
        <v>0</v>
      </c>
      <c r="I34" s="27"/>
      <c r="J34" s="63"/>
      <c r="K34" s="38"/>
      <c r="L34" s="22">
        <v>64720.5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/>
      <c r="E35" s="24"/>
      <c r="F35" s="19"/>
      <c r="G35" s="211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v>0</v>
      </c>
      <c r="M36" s="74"/>
      <c r="N36" s="19"/>
    </row>
    <row r="37" spans="1:14" ht="16.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73">
        <f>SUM(L5:L36)</f>
        <v>1991555.5</v>
      </c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1978530.64</v>
      </c>
      <c r="G38" s="215" t="s">
        <v>19</v>
      </c>
      <c r="H38" s="88">
        <f>SUM(H5:H37)</f>
        <v>216</v>
      </c>
      <c r="I38" s="88"/>
      <c r="J38" s="89" t="s">
        <v>19</v>
      </c>
      <c r="K38" s="90">
        <f t="shared" ref="K38" si="0">SUM(K5:K37)</f>
        <v>76396.689999999988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5" t="s">
        <v>20</v>
      </c>
      <c r="H40" s="276"/>
      <c r="I40" s="216"/>
      <c r="J40" s="277">
        <f>H38+K38</f>
        <v>76612.689999999988</v>
      </c>
      <c r="K40" s="278"/>
      <c r="L40" s="94"/>
      <c r="M40" s="95"/>
    </row>
    <row r="41" spans="1:14" ht="15.75" x14ac:dyDescent="0.25">
      <c r="A41" s="1"/>
      <c r="B41" s="179"/>
      <c r="C41" s="279" t="s">
        <v>21</v>
      </c>
      <c r="D41" s="279"/>
      <c r="E41" s="180">
        <f>E38-J40</f>
        <v>1901917.95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48585.22</v>
      </c>
      <c r="F42" s="176"/>
      <c r="G42" s="176"/>
      <c r="H42" s="280" t="s">
        <v>26</v>
      </c>
      <c r="I42" s="280"/>
      <c r="J42" s="280">
        <f>E46</f>
        <v>285491.5</v>
      </c>
      <c r="K42" s="287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-1891812.38</v>
      </c>
      <c r="F43" s="176"/>
      <c r="G43" s="176"/>
      <c r="H43" s="254" t="s">
        <v>1</v>
      </c>
      <c r="I43" s="254"/>
      <c r="J43" s="288">
        <f>-B4</f>
        <v>-204621.34</v>
      </c>
      <c r="K43" s="289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58690.790000000037</v>
      </c>
      <c r="F44" s="176"/>
      <c r="G44" s="176"/>
      <c r="H44" s="257" t="s">
        <v>55</v>
      </c>
      <c r="I44" s="258"/>
      <c r="J44" s="259">
        <f>SUM(J41:K43)</f>
        <v>80870.16</v>
      </c>
      <c r="K44" s="260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226800.71</v>
      </c>
      <c r="F45" s="176"/>
      <c r="G45" s="176"/>
      <c r="H45" s="71"/>
      <c r="I45" s="176"/>
      <c r="J45" s="281"/>
      <c r="K45" s="282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285491.5</v>
      </c>
      <c r="F46" s="189"/>
      <c r="G46" s="189"/>
      <c r="H46" s="190"/>
      <c r="I46" s="191"/>
      <c r="J46" s="283"/>
      <c r="K46" s="284"/>
      <c r="L46" s="94"/>
      <c r="M46" s="95"/>
    </row>
    <row r="47" spans="1:14" ht="18.75" x14ac:dyDescent="0.25">
      <c r="A47" s="1"/>
      <c r="B47" s="5"/>
      <c r="E47" s="51"/>
      <c r="J47" s="285"/>
      <c r="K47" s="286"/>
      <c r="L47" s="94"/>
      <c r="M47" s="95"/>
    </row>
    <row r="48" spans="1:14" x14ac:dyDescent="0.25">
      <c r="A48" s="1"/>
      <c r="B48" s="5"/>
      <c r="C48" s="244"/>
      <c r="D48" s="244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J46:K46"/>
    <mergeCell ref="J47:K47"/>
    <mergeCell ref="C48:D48"/>
    <mergeCell ref="H43:I43"/>
    <mergeCell ref="J43:K43"/>
    <mergeCell ref="H44:I44"/>
    <mergeCell ref="J44:K44"/>
    <mergeCell ref="J45:K45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51181102362204722" right="0.19685039370078741" top="0.11811023622047245" bottom="0.11811023622047245" header="0.31496062992125984" footer="0.31496062992125984"/>
  <pageSetup scale="78" orientation="landscape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38"/>
  <sheetViews>
    <sheetView topLeftCell="A19" workbookViewId="0">
      <selection activeCell="J43" sqref="J42:J4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252</v>
      </c>
      <c r="I2" s="265"/>
      <c r="J2" s="266"/>
    </row>
    <row r="3" spans="1:10" x14ac:dyDescent="0.25">
      <c r="A3" s="124">
        <v>43344</v>
      </c>
      <c r="B3" s="125">
        <v>603</v>
      </c>
      <c r="C3" s="126">
        <v>135882.29999999999</v>
      </c>
      <c r="D3" s="127"/>
      <c r="E3" s="126"/>
      <c r="F3" s="128">
        <f t="shared" ref="F3:F37" si="0">C3-E3</f>
        <v>135882.29999999999</v>
      </c>
      <c r="H3" s="267"/>
      <c r="I3" s="268"/>
      <c r="J3" s="269"/>
    </row>
    <row r="4" spans="1:10" x14ac:dyDescent="0.25">
      <c r="A4" s="124">
        <v>43344</v>
      </c>
      <c r="B4" s="125">
        <v>605</v>
      </c>
      <c r="C4" s="126">
        <v>1184</v>
      </c>
      <c r="D4" s="127"/>
      <c r="E4" s="131"/>
      <c r="F4" s="132">
        <f t="shared" si="0"/>
        <v>1184</v>
      </c>
      <c r="H4" s="267"/>
      <c r="I4" s="268"/>
      <c r="J4" s="269"/>
    </row>
    <row r="5" spans="1:10" ht="15.75" thickBot="1" x14ac:dyDescent="0.3">
      <c r="A5" s="129">
        <v>43345</v>
      </c>
      <c r="B5" s="130">
        <v>612</v>
      </c>
      <c r="C5" s="131">
        <v>5296.4</v>
      </c>
      <c r="D5" s="127"/>
      <c r="E5" s="131"/>
      <c r="F5" s="132">
        <f t="shared" si="0"/>
        <v>5296.4</v>
      </c>
      <c r="H5" s="270"/>
      <c r="I5" s="271"/>
      <c r="J5" s="272"/>
    </row>
    <row r="6" spans="1:10" x14ac:dyDescent="0.25">
      <c r="A6" s="129">
        <v>43346</v>
      </c>
      <c r="B6" s="130">
        <v>613</v>
      </c>
      <c r="C6" s="131">
        <v>76221.38</v>
      </c>
      <c r="D6" s="127"/>
      <c r="E6" s="131"/>
      <c r="F6" s="133">
        <f t="shared" si="0"/>
        <v>76221.38</v>
      </c>
    </row>
    <row r="7" spans="1:10" x14ac:dyDescent="0.25">
      <c r="A7" s="129">
        <v>43347</v>
      </c>
      <c r="B7" s="130">
        <v>619</v>
      </c>
      <c r="C7" s="131">
        <v>110765</v>
      </c>
      <c r="D7" s="127"/>
      <c r="E7" s="131"/>
      <c r="F7" s="133">
        <f t="shared" si="0"/>
        <v>110765</v>
      </c>
    </row>
    <row r="8" spans="1:10" x14ac:dyDescent="0.25">
      <c r="A8" s="129">
        <v>43348</v>
      </c>
      <c r="B8" s="130">
        <v>625</v>
      </c>
      <c r="C8" s="131">
        <v>107741.5</v>
      </c>
      <c r="D8" s="127"/>
      <c r="E8" s="131"/>
      <c r="F8" s="133">
        <f t="shared" si="0"/>
        <v>107741.5</v>
      </c>
    </row>
    <row r="9" spans="1:10" x14ac:dyDescent="0.25">
      <c r="A9" s="129">
        <v>43350</v>
      </c>
      <c r="B9" s="130">
        <v>629</v>
      </c>
      <c r="C9" s="131">
        <v>82620.56</v>
      </c>
      <c r="D9" s="127"/>
      <c r="E9" s="131"/>
      <c r="F9" s="133">
        <f t="shared" si="0"/>
        <v>82620.56</v>
      </c>
    </row>
    <row r="10" spans="1:10" x14ac:dyDescent="0.25">
      <c r="A10" s="129">
        <v>43351</v>
      </c>
      <c r="B10" s="130">
        <v>634</v>
      </c>
      <c r="C10" s="131">
        <v>103994.1</v>
      </c>
      <c r="D10" s="127"/>
      <c r="E10" s="131"/>
      <c r="F10" s="133">
        <f t="shared" si="0"/>
        <v>103994.1</v>
      </c>
    </row>
    <row r="11" spans="1:10" x14ac:dyDescent="0.25">
      <c r="A11" s="129">
        <v>43352</v>
      </c>
      <c r="B11" s="192">
        <v>640</v>
      </c>
      <c r="C11" s="131">
        <v>2071.1999999999998</v>
      </c>
      <c r="D11" s="127"/>
      <c r="E11" s="131"/>
      <c r="F11" s="133">
        <f t="shared" si="0"/>
        <v>2071.1999999999998</v>
      </c>
    </row>
    <row r="12" spans="1:10" x14ac:dyDescent="0.25">
      <c r="A12" s="129">
        <v>43353</v>
      </c>
      <c r="B12" s="130">
        <v>641</v>
      </c>
      <c r="C12" s="131">
        <v>70898</v>
      </c>
      <c r="D12" s="127"/>
      <c r="E12" s="131"/>
      <c r="F12" s="133">
        <f t="shared" si="0"/>
        <v>70898</v>
      </c>
    </row>
    <row r="13" spans="1:10" x14ac:dyDescent="0.25">
      <c r="A13" s="134">
        <v>43353</v>
      </c>
      <c r="B13" s="135">
        <v>644</v>
      </c>
      <c r="C13" s="131">
        <v>5189</v>
      </c>
      <c r="D13" s="127"/>
      <c r="E13" s="131"/>
      <c r="F13" s="133">
        <f t="shared" si="0"/>
        <v>5189</v>
      </c>
    </row>
    <row r="14" spans="1:10" x14ac:dyDescent="0.25">
      <c r="A14" s="134">
        <v>43354</v>
      </c>
      <c r="B14" s="135">
        <v>648</v>
      </c>
      <c r="C14" s="131">
        <v>70892</v>
      </c>
      <c r="D14" s="127"/>
      <c r="E14" s="131"/>
      <c r="F14" s="133">
        <f t="shared" si="0"/>
        <v>70892</v>
      </c>
    </row>
    <row r="15" spans="1:10" x14ac:dyDescent="0.25">
      <c r="A15" s="134">
        <v>43356</v>
      </c>
      <c r="B15" s="135">
        <v>650</v>
      </c>
      <c r="C15" s="131">
        <v>124837</v>
      </c>
      <c r="D15" s="127"/>
      <c r="E15" s="131"/>
      <c r="F15" s="133">
        <f t="shared" si="0"/>
        <v>124837</v>
      </c>
    </row>
    <row r="16" spans="1:10" x14ac:dyDescent="0.25">
      <c r="A16" s="134">
        <v>43356</v>
      </c>
      <c r="B16" s="135">
        <v>703</v>
      </c>
      <c r="C16" s="131">
        <v>23249</v>
      </c>
      <c r="D16" s="127"/>
      <c r="E16" s="131"/>
      <c r="F16" s="133">
        <f t="shared" si="0"/>
        <v>23249</v>
      </c>
    </row>
    <row r="17" spans="1:6" x14ac:dyDescent="0.25">
      <c r="A17" s="134">
        <v>43357</v>
      </c>
      <c r="B17" s="135">
        <v>712</v>
      </c>
      <c r="C17" s="131">
        <v>78449.440000000002</v>
      </c>
      <c r="D17" s="127"/>
      <c r="E17" s="131"/>
      <c r="F17" s="133">
        <f t="shared" si="0"/>
        <v>78449.440000000002</v>
      </c>
    </row>
    <row r="18" spans="1:6" x14ac:dyDescent="0.25">
      <c r="A18" s="134">
        <v>43357</v>
      </c>
      <c r="B18" s="135">
        <v>714</v>
      </c>
      <c r="C18" s="131">
        <v>63847</v>
      </c>
      <c r="D18" s="127"/>
      <c r="E18" s="131"/>
      <c r="F18" s="133">
        <f t="shared" si="0"/>
        <v>63847</v>
      </c>
    </row>
    <row r="19" spans="1:6" x14ac:dyDescent="0.25">
      <c r="A19" s="134">
        <v>43358</v>
      </c>
      <c r="B19" s="135">
        <v>717</v>
      </c>
      <c r="C19" s="131">
        <v>111944</v>
      </c>
      <c r="D19" s="127"/>
      <c r="E19" s="131"/>
      <c r="F19" s="133">
        <f t="shared" si="0"/>
        <v>111944</v>
      </c>
    </row>
    <row r="20" spans="1:6" x14ac:dyDescent="0.25">
      <c r="A20" s="134">
        <v>43359</v>
      </c>
      <c r="B20" s="135">
        <v>718</v>
      </c>
      <c r="C20" s="131">
        <v>1209</v>
      </c>
      <c r="D20" s="127"/>
      <c r="E20" s="131"/>
      <c r="F20" s="133">
        <f t="shared" si="0"/>
        <v>1209</v>
      </c>
    </row>
    <row r="21" spans="1:6" x14ac:dyDescent="0.25">
      <c r="A21" s="134">
        <v>43361</v>
      </c>
      <c r="B21" s="135">
        <v>722</v>
      </c>
      <c r="C21" s="131">
        <v>97410</v>
      </c>
      <c r="D21" s="127"/>
      <c r="E21" s="131"/>
      <c r="F21" s="133">
        <f t="shared" si="0"/>
        <v>97410</v>
      </c>
    </row>
    <row r="22" spans="1:6" x14ac:dyDescent="0.25">
      <c r="A22" s="134">
        <v>43363</v>
      </c>
      <c r="B22" s="135">
        <v>731</v>
      </c>
      <c r="C22" s="131">
        <v>40803.82</v>
      </c>
      <c r="D22" s="127"/>
      <c r="E22" s="131"/>
      <c r="F22" s="133">
        <f t="shared" si="0"/>
        <v>40803.82</v>
      </c>
    </row>
    <row r="23" spans="1:6" x14ac:dyDescent="0.25">
      <c r="A23" s="134">
        <v>43364</v>
      </c>
      <c r="B23" s="135">
        <v>736</v>
      </c>
      <c r="C23" s="131">
        <v>47526.65</v>
      </c>
      <c r="D23" s="127"/>
      <c r="E23" s="131"/>
      <c r="F23" s="133">
        <f t="shared" si="0"/>
        <v>47526.65</v>
      </c>
    </row>
    <row r="24" spans="1:6" x14ac:dyDescent="0.25">
      <c r="A24" s="134">
        <v>43364</v>
      </c>
      <c r="B24" s="135">
        <v>737</v>
      </c>
      <c r="C24" s="131">
        <v>936</v>
      </c>
      <c r="D24" s="127"/>
      <c r="E24" s="131"/>
      <c r="F24" s="133">
        <f t="shared" si="0"/>
        <v>936</v>
      </c>
    </row>
    <row r="25" spans="1:6" x14ac:dyDescent="0.25">
      <c r="A25" s="218">
        <v>43369</v>
      </c>
      <c r="B25" s="135">
        <v>653</v>
      </c>
      <c r="C25" s="131">
        <v>81573.399999999994</v>
      </c>
      <c r="D25" s="127"/>
      <c r="E25" s="131"/>
      <c r="F25" s="133">
        <f t="shared" si="0"/>
        <v>81573.399999999994</v>
      </c>
    </row>
    <row r="26" spans="1:6" x14ac:dyDescent="0.25">
      <c r="A26" s="218">
        <v>43371</v>
      </c>
      <c r="B26" s="135">
        <v>660</v>
      </c>
      <c r="C26" s="131">
        <v>115229</v>
      </c>
      <c r="D26" s="127"/>
      <c r="E26" s="131"/>
      <c r="F26" s="133">
        <f t="shared" si="0"/>
        <v>115229</v>
      </c>
    </row>
    <row r="27" spans="1:6" x14ac:dyDescent="0.25">
      <c r="A27" s="218">
        <v>43370</v>
      </c>
      <c r="B27" s="135">
        <v>658</v>
      </c>
      <c r="C27" s="131">
        <v>12327.2</v>
      </c>
      <c r="D27" s="127"/>
      <c r="E27" s="131"/>
      <c r="F27" s="133">
        <f t="shared" si="0"/>
        <v>12327.2</v>
      </c>
    </row>
    <row r="28" spans="1:6" x14ac:dyDescent="0.25">
      <c r="A28" s="218">
        <v>43374</v>
      </c>
      <c r="B28" s="219">
        <v>677</v>
      </c>
      <c r="C28" s="131">
        <v>0</v>
      </c>
      <c r="D28" s="127"/>
      <c r="E28" s="131"/>
      <c r="F28" s="133">
        <f t="shared" si="0"/>
        <v>0</v>
      </c>
    </row>
    <row r="29" spans="1:6" x14ac:dyDescent="0.25">
      <c r="A29" s="218">
        <v>43365</v>
      </c>
      <c r="B29" s="135">
        <v>741</v>
      </c>
      <c r="C29" s="131">
        <v>108341.52</v>
      </c>
      <c r="D29" s="127"/>
      <c r="E29" s="131"/>
      <c r="F29" s="133">
        <f t="shared" si="0"/>
        <v>108341.52</v>
      </c>
    </row>
    <row r="30" spans="1:6" x14ac:dyDescent="0.25">
      <c r="A30" s="218">
        <v>43367</v>
      </c>
      <c r="B30" s="135">
        <v>747</v>
      </c>
      <c r="C30" s="131">
        <v>1114.2</v>
      </c>
      <c r="D30" s="127"/>
      <c r="E30" s="131"/>
      <c r="F30" s="133">
        <f t="shared" si="0"/>
        <v>1114.2</v>
      </c>
    </row>
    <row r="31" spans="1:6" x14ac:dyDescent="0.25">
      <c r="A31" s="218">
        <v>43368</v>
      </c>
      <c r="B31" s="135">
        <v>750</v>
      </c>
      <c r="C31" s="131">
        <v>76796</v>
      </c>
      <c r="D31" s="127"/>
      <c r="E31" s="131"/>
      <c r="F31" s="133">
        <f t="shared" si="0"/>
        <v>76796</v>
      </c>
    </row>
    <row r="32" spans="1:6" x14ac:dyDescent="0.25">
      <c r="A32" s="218">
        <v>43372</v>
      </c>
      <c r="B32" s="135">
        <v>667</v>
      </c>
      <c r="C32" s="131">
        <v>5035.8</v>
      </c>
      <c r="D32" s="127"/>
      <c r="E32" s="131"/>
      <c r="F32" s="133">
        <f t="shared" si="0"/>
        <v>5035.8</v>
      </c>
    </row>
    <row r="33" spans="1:6" x14ac:dyDescent="0.25">
      <c r="A33" s="218">
        <v>43372</v>
      </c>
      <c r="B33" s="135">
        <v>670</v>
      </c>
      <c r="C33" s="131">
        <v>153315.307</v>
      </c>
      <c r="D33" s="127"/>
      <c r="E33" s="131"/>
      <c r="F33" s="133">
        <f t="shared" si="0"/>
        <v>153315.307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24887.4</v>
      </c>
      <c r="F37" s="145">
        <f t="shared" si="0"/>
        <v>-24887.4</v>
      </c>
    </row>
    <row r="38" spans="1:6" s="151" customFormat="1" ht="19.5" thickBot="1" x14ac:dyDescent="0.35">
      <c r="A38" s="149"/>
      <c r="B38" s="150"/>
      <c r="C38" s="146">
        <f>SUM(C3:C37)</f>
        <v>1916699.7769999998</v>
      </c>
      <c r="D38" s="146"/>
      <c r="E38" s="152">
        <f>SUM(E3:E37)</f>
        <v>24887.4</v>
      </c>
      <c r="F38" s="152">
        <f>SUM(F3:F37)</f>
        <v>1891812.3769999999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M46"/>
  <sheetViews>
    <sheetView topLeftCell="A31" workbookViewId="0">
      <selection activeCell="H54" sqref="H54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9.5703125" style="15" customWidth="1"/>
  </cols>
  <sheetData>
    <row r="1" spans="1:13" ht="23.25" x14ac:dyDescent="0.35">
      <c r="A1" s="1"/>
      <c r="B1" s="235" t="s">
        <v>268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3" ht="15.75" thickBot="1" x14ac:dyDescent="0.3">
      <c r="A2" s="1"/>
      <c r="B2" s="5"/>
      <c r="D2" s="220"/>
      <c r="E2" s="8"/>
      <c r="L2" s="9"/>
      <c r="M2" s="4"/>
    </row>
    <row r="3" spans="1:13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3" ht="20.25" thickTop="1" thickBot="1" x14ac:dyDescent="0.35">
      <c r="A4" s="237"/>
      <c r="B4" s="12">
        <v>226800.71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</row>
    <row r="5" spans="1:13" ht="17.25" thickTop="1" thickBot="1" x14ac:dyDescent="0.3">
      <c r="A5" s="16"/>
      <c r="B5" s="17">
        <v>0</v>
      </c>
      <c r="C5" s="18"/>
      <c r="D5" s="107">
        <v>43374</v>
      </c>
      <c r="E5" s="157">
        <v>29903.79</v>
      </c>
      <c r="F5" s="158"/>
      <c r="G5" s="159">
        <v>43374</v>
      </c>
      <c r="H5" s="160">
        <v>0</v>
      </c>
      <c r="I5" s="20"/>
      <c r="J5" s="21"/>
      <c r="K5" s="21"/>
      <c r="L5" s="22">
        <v>34600</v>
      </c>
      <c r="M5" s="103"/>
    </row>
    <row r="6" spans="1:13" ht="16.5" thickBot="1" x14ac:dyDescent="0.3">
      <c r="A6" s="23"/>
      <c r="B6" s="17">
        <v>0</v>
      </c>
      <c r="C6" s="18"/>
      <c r="D6" s="107">
        <v>43375</v>
      </c>
      <c r="E6" s="24">
        <v>28017.55</v>
      </c>
      <c r="F6" s="25"/>
      <c r="G6" s="159">
        <v>43375</v>
      </c>
      <c r="H6" s="26">
        <v>36</v>
      </c>
      <c r="I6" s="27"/>
      <c r="J6" s="28" t="s">
        <v>8</v>
      </c>
      <c r="K6" s="29">
        <v>549</v>
      </c>
      <c r="L6" s="22">
        <v>27111.5</v>
      </c>
      <c r="M6" s="103"/>
    </row>
    <row r="7" spans="1:13" ht="16.5" thickBot="1" x14ac:dyDescent="0.3">
      <c r="A7" s="23"/>
      <c r="B7" s="17">
        <v>0</v>
      </c>
      <c r="C7" s="18"/>
      <c r="D7" s="107">
        <v>43376</v>
      </c>
      <c r="E7" s="24">
        <v>66201.53</v>
      </c>
      <c r="F7" s="19"/>
      <c r="G7" s="159">
        <v>43376</v>
      </c>
      <c r="H7" s="26">
        <v>30</v>
      </c>
      <c r="I7" s="61">
        <v>43347</v>
      </c>
      <c r="J7" s="30" t="s">
        <v>9</v>
      </c>
      <c r="K7" s="31">
        <v>7576.5</v>
      </c>
      <c r="L7" s="22">
        <f>60000+20986.5</f>
        <v>80986.5</v>
      </c>
      <c r="M7" s="33"/>
    </row>
    <row r="8" spans="1:13" ht="16.5" thickBot="1" x14ac:dyDescent="0.3">
      <c r="A8" s="23"/>
      <c r="B8" s="17">
        <v>0</v>
      </c>
      <c r="C8" s="34"/>
      <c r="D8" s="107">
        <v>43377</v>
      </c>
      <c r="E8" s="24">
        <v>42275.89</v>
      </c>
      <c r="F8" s="19"/>
      <c r="G8" s="159">
        <v>43377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71350</v>
      </c>
      <c r="M8" s="33"/>
    </row>
    <row r="9" spans="1:13" ht="16.5" thickBot="1" x14ac:dyDescent="0.3">
      <c r="A9" s="23"/>
      <c r="B9" s="17">
        <v>0</v>
      </c>
      <c r="C9" s="36"/>
      <c r="D9" s="107">
        <v>43378</v>
      </c>
      <c r="E9" s="24">
        <v>72050.740000000005</v>
      </c>
      <c r="F9" s="19"/>
      <c r="G9" s="159">
        <v>43378</v>
      </c>
      <c r="H9" s="26">
        <v>0</v>
      </c>
      <c r="I9" s="210" t="s">
        <v>311</v>
      </c>
      <c r="J9" s="28" t="s">
        <v>307</v>
      </c>
      <c r="K9" s="38">
        <v>8271.34</v>
      </c>
      <c r="L9" s="22">
        <v>72051</v>
      </c>
      <c r="M9" s="33"/>
    </row>
    <row r="10" spans="1:13" ht="16.5" thickBot="1" x14ac:dyDescent="0.3">
      <c r="A10" s="23"/>
      <c r="B10" s="17">
        <v>0</v>
      </c>
      <c r="C10" s="34"/>
      <c r="D10" s="107">
        <v>43379</v>
      </c>
      <c r="E10" s="24">
        <v>73847.8</v>
      </c>
      <c r="F10" s="19"/>
      <c r="G10" s="159">
        <v>43379</v>
      </c>
      <c r="H10" s="26">
        <v>0</v>
      </c>
      <c r="I10" s="209" t="s">
        <v>312</v>
      </c>
      <c r="J10" s="28" t="s">
        <v>308</v>
      </c>
      <c r="K10" s="38">
        <v>9516.7900000000009</v>
      </c>
      <c r="L10" s="223">
        <f>53848+50000</f>
        <v>103848</v>
      </c>
      <c r="M10" s="224" t="s">
        <v>273</v>
      </c>
    </row>
    <row r="11" spans="1:13" ht="16.5" thickBot="1" x14ac:dyDescent="0.3">
      <c r="A11" s="23"/>
      <c r="B11" s="17">
        <v>0</v>
      </c>
      <c r="C11" s="34"/>
      <c r="D11" s="107">
        <v>43380</v>
      </c>
      <c r="E11" s="24">
        <v>72239.460000000006</v>
      </c>
      <c r="F11" s="19"/>
      <c r="G11" s="159">
        <v>43380</v>
      </c>
      <c r="H11" s="26">
        <v>0</v>
      </c>
      <c r="I11" s="37" t="s">
        <v>313</v>
      </c>
      <c r="J11" s="28" t="s">
        <v>309</v>
      </c>
      <c r="K11" s="38">
        <v>8607.25</v>
      </c>
      <c r="L11" s="22">
        <v>72240</v>
      </c>
      <c r="M11" s="33"/>
    </row>
    <row r="12" spans="1:13" ht="16.5" thickBot="1" x14ac:dyDescent="0.3">
      <c r="A12" s="23"/>
      <c r="B12" s="17">
        <v>0</v>
      </c>
      <c r="C12" s="34"/>
      <c r="D12" s="107">
        <v>43381</v>
      </c>
      <c r="E12" s="24">
        <v>66645.899999999994</v>
      </c>
      <c r="F12" s="19"/>
      <c r="G12" s="159">
        <v>43381</v>
      </c>
      <c r="H12" s="26">
        <v>36</v>
      </c>
      <c r="I12" s="37" t="s">
        <v>314</v>
      </c>
      <c r="J12" s="28" t="s">
        <v>310</v>
      </c>
      <c r="K12" s="38">
        <v>9150.08</v>
      </c>
      <c r="L12" s="22">
        <v>35710</v>
      </c>
      <c r="M12" s="222" t="s">
        <v>280</v>
      </c>
    </row>
    <row r="13" spans="1:13" ht="16.5" thickBot="1" x14ac:dyDescent="0.3">
      <c r="A13" s="23"/>
      <c r="B13" s="17">
        <v>0</v>
      </c>
      <c r="C13" s="34"/>
      <c r="D13" s="107">
        <v>43382</v>
      </c>
      <c r="E13" s="24">
        <v>49366.52</v>
      </c>
      <c r="F13" s="19"/>
      <c r="G13" s="159">
        <v>43382</v>
      </c>
      <c r="H13" s="26">
        <v>0</v>
      </c>
      <c r="I13" s="37"/>
      <c r="J13" s="28" t="s">
        <v>158</v>
      </c>
      <c r="K13" s="29">
        <v>0</v>
      </c>
      <c r="L13" s="22">
        <v>49366.5</v>
      </c>
      <c r="M13" s="33"/>
    </row>
    <row r="14" spans="1:13" ht="16.5" thickBot="1" x14ac:dyDescent="0.3">
      <c r="A14" s="23"/>
      <c r="B14" s="17">
        <v>0</v>
      </c>
      <c r="C14" s="36"/>
      <c r="D14" s="107">
        <v>43383</v>
      </c>
      <c r="E14" s="24">
        <v>40345.14</v>
      </c>
      <c r="F14" s="19"/>
      <c r="G14" s="159">
        <v>43383</v>
      </c>
      <c r="H14" s="26">
        <v>0</v>
      </c>
      <c r="I14" s="61"/>
      <c r="J14" s="40" t="s">
        <v>92</v>
      </c>
      <c r="K14" s="29">
        <v>0</v>
      </c>
      <c r="L14" s="22">
        <v>40345</v>
      </c>
      <c r="M14" s="33"/>
    </row>
    <row r="15" spans="1:13" ht="16.5" thickBot="1" x14ac:dyDescent="0.3">
      <c r="A15" s="23"/>
      <c r="B15" s="17">
        <v>0</v>
      </c>
      <c r="C15" s="36"/>
      <c r="D15" s="107">
        <v>43384</v>
      </c>
      <c r="E15" s="24">
        <v>62023.28</v>
      </c>
      <c r="F15" s="19"/>
      <c r="G15" s="159">
        <v>43384</v>
      </c>
      <c r="H15" s="26">
        <v>0</v>
      </c>
      <c r="I15" s="27"/>
      <c r="J15" s="217"/>
      <c r="K15" s="29">
        <v>0</v>
      </c>
      <c r="L15" s="223">
        <f>30000+20000</f>
        <v>50000</v>
      </c>
      <c r="M15" s="225" t="s">
        <v>281</v>
      </c>
    </row>
    <row r="16" spans="1:13" ht="16.5" thickBot="1" x14ac:dyDescent="0.3">
      <c r="A16" s="23"/>
      <c r="B16" s="17">
        <v>0</v>
      </c>
      <c r="C16" s="36"/>
      <c r="D16" s="107">
        <v>43385</v>
      </c>
      <c r="E16" s="24">
        <v>57126.75</v>
      </c>
      <c r="F16" s="19"/>
      <c r="G16" s="159">
        <v>43385</v>
      </c>
      <c r="H16" s="26">
        <v>0</v>
      </c>
      <c r="I16" s="27"/>
      <c r="J16" s="42"/>
      <c r="K16" s="43">
        <v>0</v>
      </c>
      <c r="L16" s="223">
        <v>69150</v>
      </c>
      <c r="M16" s="226" t="s">
        <v>282</v>
      </c>
    </row>
    <row r="17" spans="1:13" ht="16.5" thickBot="1" x14ac:dyDescent="0.3">
      <c r="A17" s="23"/>
      <c r="B17" s="17">
        <v>0</v>
      </c>
      <c r="C17" s="36"/>
      <c r="D17" s="107">
        <v>43386</v>
      </c>
      <c r="E17" s="24">
        <v>76922.14</v>
      </c>
      <c r="F17" s="19"/>
      <c r="G17" s="159">
        <v>43386</v>
      </c>
      <c r="H17" s="26">
        <v>0</v>
      </c>
      <c r="I17" s="202"/>
      <c r="J17" s="203"/>
      <c r="K17" s="43">
        <v>0</v>
      </c>
      <c r="L17" s="22">
        <f>30000+46922</f>
        <v>76922</v>
      </c>
      <c r="M17" s="33"/>
    </row>
    <row r="18" spans="1:13" ht="16.5" thickBot="1" x14ac:dyDescent="0.3">
      <c r="A18" s="23"/>
      <c r="B18" s="17">
        <v>0</v>
      </c>
      <c r="C18" s="34"/>
      <c r="D18" s="107">
        <v>43387</v>
      </c>
      <c r="E18" s="24">
        <v>70044.160000000003</v>
      </c>
      <c r="F18" s="19"/>
      <c r="G18" s="159">
        <v>43387</v>
      </c>
      <c r="H18" s="26">
        <v>0</v>
      </c>
      <c r="I18" s="202"/>
      <c r="J18" s="203"/>
      <c r="K18" s="45">
        <v>0</v>
      </c>
      <c r="L18" s="22">
        <v>70044</v>
      </c>
      <c r="M18" s="33"/>
    </row>
    <row r="19" spans="1:13" ht="16.5" thickBot="1" x14ac:dyDescent="0.3">
      <c r="A19" s="23"/>
      <c r="B19" s="17">
        <v>0</v>
      </c>
      <c r="C19" s="36"/>
      <c r="D19" s="107">
        <v>43388</v>
      </c>
      <c r="E19" s="24">
        <v>64290.99</v>
      </c>
      <c r="F19" s="19"/>
      <c r="G19" s="159">
        <v>43388</v>
      </c>
      <c r="H19" s="26">
        <v>0</v>
      </c>
      <c r="I19" s="27"/>
      <c r="J19" s="46" t="s">
        <v>12</v>
      </c>
      <c r="K19" s="45">
        <v>0</v>
      </c>
      <c r="L19" s="22">
        <v>64291</v>
      </c>
      <c r="M19" s="47"/>
    </row>
    <row r="20" spans="1:13" ht="16.5" thickBot="1" x14ac:dyDescent="0.3">
      <c r="A20" s="23"/>
      <c r="B20" s="17">
        <v>0</v>
      </c>
      <c r="C20" s="48"/>
      <c r="D20" s="107">
        <v>43389</v>
      </c>
      <c r="E20" s="24">
        <v>38389.5</v>
      </c>
      <c r="F20" s="19"/>
      <c r="G20" s="159">
        <v>43389</v>
      </c>
      <c r="H20" s="26">
        <v>0</v>
      </c>
      <c r="I20" s="49"/>
      <c r="J20" s="50"/>
      <c r="K20" s="51" t="s">
        <v>151</v>
      </c>
      <c r="L20" s="22">
        <v>38389.5</v>
      </c>
      <c r="M20" s="47"/>
    </row>
    <row r="21" spans="1:13" ht="16.5" thickBot="1" x14ac:dyDescent="0.3">
      <c r="A21" s="23"/>
      <c r="B21" s="17">
        <v>0</v>
      </c>
      <c r="C21" s="48"/>
      <c r="D21" s="107">
        <v>43390</v>
      </c>
      <c r="E21" s="24">
        <v>40031.019999999997</v>
      </c>
      <c r="F21" s="19"/>
      <c r="G21" s="159">
        <v>43390</v>
      </c>
      <c r="H21" s="26">
        <v>0</v>
      </c>
      <c r="I21" s="33"/>
      <c r="J21" s="52"/>
      <c r="K21" s="51"/>
      <c r="L21" s="22">
        <v>40031</v>
      </c>
      <c r="M21" s="33"/>
    </row>
    <row r="22" spans="1:13" ht="16.5" thickBot="1" x14ac:dyDescent="0.3">
      <c r="A22" s="23"/>
      <c r="B22" s="17">
        <v>0</v>
      </c>
      <c r="C22" s="36"/>
      <c r="D22" s="107">
        <v>43391</v>
      </c>
      <c r="E22" s="24">
        <v>52018.94</v>
      </c>
      <c r="F22" s="19"/>
      <c r="G22" s="159">
        <v>43391</v>
      </c>
      <c r="H22" s="26">
        <v>0</v>
      </c>
      <c r="I22" s="49" t="s">
        <v>23</v>
      </c>
      <c r="J22" s="53"/>
      <c r="K22" s="51">
        <v>0</v>
      </c>
      <c r="L22" s="22">
        <f>25000+27019</f>
        <v>52019</v>
      </c>
      <c r="M22" s="47"/>
    </row>
    <row r="23" spans="1:13" ht="16.5" thickBot="1" x14ac:dyDescent="0.3">
      <c r="A23" s="23"/>
      <c r="B23" s="17">
        <v>0</v>
      </c>
      <c r="C23" s="36"/>
      <c r="D23" s="107">
        <v>43392</v>
      </c>
      <c r="E23" s="24">
        <v>47283.040000000001</v>
      </c>
      <c r="F23" s="19"/>
      <c r="G23" s="159">
        <v>43392</v>
      </c>
      <c r="H23" s="26">
        <v>30</v>
      </c>
      <c r="I23" s="27"/>
      <c r="J23" s="52"/>
      <c r="K23" s="51">
        <v>0</v>
      </c>
      <c r="L23" s="22">
        <v>47253</v>
      </c>
      <c r="M23" s="33"/>
    </row>
    <row r="24" spans="1:13" ht="16.5" thickBot="1" x14ac:dyDescent="0.3">
      <c r="A24" s="23"/>
      <c r="B24" s="17">
        <v>0</v>
      </c>
      <c r="C24" s="36"/>
      <c r="D24" s="107">
        <v>43393</v>
      </c>
      <c r="E24" s="24">
        <v>51710.55</v>
      </c>
      <c r="F24" s="19"/>
      <c r="G24" s="159">
        <v>43393</v>
      </c>
      <c r="H24" s="26">
        <v>0</v>
      </c>
      <c r="I24" s="27"/>
      <c r="J24" s="54" t="s">
        <v>15</v>
      </c>
      <c r="K24" s="51">
        <v>870</v>
      </c>
      <c r="L24" s="22">
        <f>20000+31710.5</f>
        <v>51710.5</v>
      </c>
      <c r="M24" s="33"/>
    </row>
    <row r="25" spans="1:13" ht="16.5" thickBot="1" x14ac:dyDescent="0.3">
      <c r="A25" s="23"/>
      <c r="B25" s="17">
        <v>0</v>
      </c>
      <c r="C25" s="48"/>
      <c r="D25" s="107">
        <v>43394</v>
      </c>
      <c r="E25" s="24">
        <v>57207.31</v>
      </c>
      <c r="F25" s="19"/>
      <c r="G25" s="159">
        <v>43394</v>
      </c>
      <c r="H25" s="26">
        <v>0</v>
      </c>
      <c r="I25" s="27"/>
      <c r="J25" s="55">
        <v>43375</v>
      </c>
      <c r="K25" s="51"/>
      <c r="L25" s="22">
        <v>57207</v>
      </c>
      <c r="M25" s="33"/>
    </row>
    <row r="26" spans="1:13" ht="16.5" thickBot="1" x14ac:dyDescent="0.3">
      <c r="A26" s="23"/>
      <c r="B26" s="17">
        <v>0</v>
      </c>
      <c r="C26" s="36"/>
      <c r="D26" s="107">
        <v>43395</v>
      </c>
      <c r="E26" s="24">
        <v>54136.45</v>
      </c>
      <c r="F26" s="19"/>
      <c r="G26" s="159">
        <v>43395</v>
      </c>
      <c r="H26" s="26">
        <v>0</v>
      </c>
      <c r="I26" s="27"/>
      <c r="J26" s="56" t="s">
        <v>16</v>
      </c>
      <c r="K26" s="27">
        <v>900</v>
      </c>
      <c r="L26" s="22">
        <f>35000+19136.5</f>
        <v>54136.5</v>
      </c>
      <c r="M26" s="33"/>
    </row>
    <row r="27" spans="1:13" ht="16.5" thickBot="1" x14ac:dyDescent="0.3">
      <c r="A27" s="23"/>
      <c r="B27" s="17">
        <v>0</v>
      </c>
      <c r="C27" s="36"/>
      <c r="D27" s="107">
        <v>43396</v>
      </c>
      <c r="E27" s="24">
        <v>45787.9</v>
      </c>
      <c r="F27" s="19"/>
      <c r="G27" s="159">
        <v>43396</v>
      </c>
      <c r="H27" s="26">
        <v>36</v>
      </c>
      <c r="I27" s="27"/>
      <c r="J27" s="116">
        <v>43381</v>
      </c>
      <c r="K27" s="27">
        <v>0</v>
      </c>
      <c r="L27" s="22">
        <v>45752</v>
      </c>
      <c r="M27" s="33"/>
    </row>
    <row r="28" spans="1:13" ht="16.5" thickBot="1" x14ac:dyDescent="0.3">
      <c r="A28" s="23"/>
      <c r="B28" s="17">
        <v>0</v>
      </c>
      <c r="C28" s="36"/>
      <c r="D28" s="107">
        <v>43397</v>
      </c>
      <c r="E28" s="24">
        <v>77236.210000000006</v>
      </c>
      <c r="F28" s="19"/>
      <c r="G28" s="159">
        <v>43397</v>
      </c>
      <c r="H28" s="26">
        <v>0</v>
      </c>
      <c r="I28" s="27"/>
      <c r="J28" s="57" t="s">
        <v>267</v>
      </c>
      <c r="K28" s="51">
        <v>0</v>
      </c>
      <c r="L28" s="22">
        <v>77236</v>
      </c>
      <c r="M28" s="33"/>
    </row>
    <row r="29" spans="1:13" ht="16.5" thickBot="1" x14ac:dyDescent="0.3">
      <c r="A29" s="23"/>
      <c r="B29" s="17">
        <v>0</v>
      </c>
      <c r="C29" s="36"/>
      <c r="D29" s="107">
        <v>43398</v>
      </c>
      <c r="E29" s="24">
        <v>62883.68</v>
      </c>
      <c r="F29" s="19"/>
      <c r="G29" s="159">
        <v>43398</v>
      </c>
      <c r="H29" s="26">
        <v>0</v>
      </c>
      <c r="I29" s="27" t="s">
        <v>23</v>
      </c>
      <c r="J29" s="55"/>
      <c r="K29" s="51">
        <v>0</v>
      </c>
      <c r="L29" s="22">
        <f>22884+40000</f>
        <v>62884</v>
      </c>
      <c r="M29" s="33"/>
    </row>
    <row r="30" spans="1:13" ht="16.5" thickBot="1" x14ac:dyDescent="0.3">
      <c r="A30" s="23"/>
      <c r="B30" s="17">
        <v>0</v>
      </c>
      <c r="C30" s="48"/>
      <c r="D30" s="107">
        <v>43399</v>
      </c>
      <c r="E30" s="24">
        <v>62297.760000000002</v>
      </c>
      <c r="F30" s="19"/>
      <c r="G30" s="159">
        <v>43399</v>
      </c>
      <c r="H30" s="26">
        <v>0</v>
      </c>
      <c r="I30" s="27"/>
      <c r="J30" s="60" t="s">
        <v>18</v>
      </c>
      <c r="K30" s="51">
        <v>0</v>
      </c>
      <c r="L30" s="22">
        <v>62298</v>
      </c>
      <c r="M30" s="33"/>
    </row>
    <row r="31" spans="1:13" ht="16.5" thickBot="1" x14ac:dyDescent="0.3">
      <c r="A31" s="23"/>
      <c r="B31" s="17">
        <v>0</v>
      </c>
      <c r="C31" s="48"/>
      <c r="D31" s="107">
        <v>43400</v>
      </c>
      <c r="E31" s="24">
        <v>87096.57</v>
      </c>
      <c r="F31" s="19"/>
      <c r="G31" s="159">
        <v>43400</v>
      </c>
      <c r="H31" s="26">
        <v>0</v>
      </c>
      <c r="I31" s="61"/>
      <c r="J31" s="62"/>
      <c r="K31" s="51">
        <v>0</v>
      </c>
      <c r="L31" s="22">
        <v>87096</v>
      </c>
      <c r="M31" s="33"/>
    </row>
    <row r="32" spans="1:13" ht="16.5" thickBot="1" x14ac:dyDescent="0.3">
      <c r="A32" s="23"/>
      <c r="B32" s="17">
        <v>0</v>
      </c>
      <c r="C32" s="34"/>
      <c r="D32" s="107">
        <v>43401</v>
      </c>
      <c r="E32" s="24">
        <v>90997.2</v>
      </c>
      <c r="F32" s="19"/>
      <c r="G32" s="159">
        <v>43401</v>
      </c>
      <c r="H32" s="26">
        <v>50</v>
      </c>
      <c r="I32" s="61"/>
      <c r="J32" s="60"/>
      <c r="K32" s="29">
        <v>0</v>
      </c>
      <c r="L32" s="22">
        <v>90947</v>
      </c>
      <c r="M32" s="33"/>
    </row>
    <row r="33" spans="1:13" ht="16.5" thickBot="1" x14ac:dyDescent="0.3">
      <c r="A33" s="23"/>
      <c r="B33" s="17">
        <v>0</v>
      </c>
      <c r="C33" s="34"/>
      <c r="D33" s="107">
        <v>43402</v>
      </c>
      <c r="E33" s="24">
        <v>62384.15</v>
      </c>
      <c r="F33" s="19"/>
      <c r="G33" s="159">
        <v>43402</v>
      </c>
      <c r="H33" s="26">
        <v>0</v>
      </c>
      <c r="I33" s="27"/>
      <c r="J33" s="63"/>
      <c r="K33" s="38"/>
      <c r="L33" s="22">
        <v>62384</v>
      </c>
      <c r="M33" s="33"/>
    </row>
    <row r="34" spans="1:13" ht="16.5" thickBot="1" x14ac:dyDescent="0.3">
      <c r="A34" s="23"/>
      <c r="B34" s="17">
        <v>0</v>
      </c>
      <c r="C34" s="48"/>
      <c r="D34" s="107">
        <v>43403</v>
      </c>
      <c r="E34" s="24">
        <v>30420.6</v>
      </c>
      <c r="F34" s="19"/>
      <c r="G34" s="159">
        <v>43403</v>
      </c>
      <c r="H34" s="26">
        <v>36</v>
      </c>
      <c r="I34" s="27"/>
      <c r="J34" s="63"/>
      <c r="K34" s="38"/>
      <c r="L34" s="22">
        <v>30384.5</v>
      </c>
      <c r="M34" s="33"/>
    </row>
    <row r="35" spans="1:13" ht="16.5" thickBot="1" x14ac:dyDescent="0.3">
      <c r="A35" s="23"/>
      <c r="B35" s="17">
        <v>0</v>
      </c>
      <c r="C35" s="18"/>
      <c r="D35" s="107">
        <v>43404</v>
      </c>
      <c r="E35" s="24">
        <v>81279.679999999993</v>
      </c>
      <c r="F35" s="19"/>
      <c r="G35" s="159">
        <v>43404</v>
      </c>
      <c r="H35" s="26">
        <v>0</v>
      </c>
      <c r="I35" s="27"/>
      <c r="J35" s="60"/>
      <c r="K35" s="29"/>
      <c r="L35" s="22">
        <v>81280</v>
      </c>
      <c r="M35" s="33"/>
    </row>
    <row r="36" spans="1:13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1859023.5</v>
      </c>
      <c r="M36" s="74"/>
    </row>
    <row r="37" spans="1:13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</row>
    <row r="38" spans="1:13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1812462.2</v>
      </c>
      <c r="G38" s="220" t="s">
        <v>19</v>
      </c>
      <c r="H38" s="88">
        <f>SUM(H5:H37)</f>
        <v>254</v>
      </c>
      <c r="I38" s="88"/>
      <c r="J38" s="89" t="s">
        <v>19</v>
      </c>
      <c r="K38" s="90">
        <f t="shared" ref="K38" si="0">SUM(K5:K37)</f>
        <v>74190.959999999992</v>
      </c>
      <c r="L38" s="9"/>
      <c r="M38" s="4"/>
    </row>
    <row r="39" spans="1:13" x14ac:dyDescent="0.25">
      <c r="A39" s="1"/>
      <c r="B39" s="5"/>
      <c r="E39" s="5"/>
      <c r="I39" s="5"/>
      <c r="L39" s="9"/>
      <c r="M39" s="4"/>
    </row>
    <row r="40" spans="1:13" ht="16.5" thickBot="1" x14ac:dyDescent="0.3">
      <c r="A40" s="1"/>
      <c r="B40" s="91">
        <v>0</v>
      </c>
      <c r="C40" s="92"/>
      <c r="D40" s="28"/>
      <c r="E40" s="71"/>
      <c r="G40" s="275" t="s">
        <v>20</v>
      </c>
      <c r="H40" s="276"/>
      <c r="I40" s="221"/>
      <c r="J40" s="277">
        <f>H38+K38</f>
        <v>74444.959999999992</v>
      </c>
      <c r="K40" s="278"/>
      <c r="L40" s="94"/>
      <c r="M40" s="95"/>
    </row>
    <row r="41" spans="1:13" ht="15.75" x14ac:dyDescent="0.25">
      <c r="A41" s="1"/>
      <c r="B41" s="179"/>
      <c r="C41" s="279" t="s">
        <v>21</v>
      </c>
      <c r="D41" s="279"/>
      <c r="E41" s="180">
        <f>E38-J40</f>
        <v>1738017.24</v>
      </c>
      <c r="F41" s="181"/>
      <c r="G41" s="181"/>
      <c r="H41" s="182"/>
      <c r="I41" s="182"/>
      <c r="J41" s="183"/>
      <c r="K41" s="184"/>
      <c r="L41" s="94"/>
      <c r="M41" s="95"/>
    </row>
    <row r="42" spans="1:13" x14ac:dyDescent="0.25">
      <c r="A42" s="1"/>
      <c r="B42" s="185"/>
      <c r="C42" s="92"/>
      <c r="D42" s="28" t="s">
        <v>22</v>
      </c>
      <c r="E42" s="51">
        <v>23932.799999999999</v>
      </c>
      <c r="F42" s="176"/>
      <c r="G42" s="176"/>
      <c r="H42" s="280" t="s">
        <v>26</v>
      </c>
      <c r="I42" s="280"/>
      <c r="J42" s="280">
        <f>E46</f>
        <v>147772.79</v>
      </c>
      <c r="K42" s="287"/>
      <c r="L42" s="94"/>
      <c r="M42" s="95"/>
    </row>
    <row r="43" spans="1:13" ht="15.75" thickBot="1" x14ac:dyDescent="0.3">
      <c r="A43" s="1"/>
      <c r="B43" s="185" t="s">
        <v>23</v>
      </c>
      <c r="C43" s="92" t="s">
        <v>24</v>
      </c>
      <c r="D43" s="28"/>
      <c r="E43" s="97">
        <v>-1847252.52</v>
      </c>
      <c r="F43" s="176"/>
      <c r="G43" s="176"/>
      <c r="H43" s="254" t="s">
        <v>1</v>
      </c>
      <c r="I43" s="254"/>
      <c r="J43" s="288">
        <f>-B4</f>
        <v>-226800.71</v>
      </c>
      <c r="K43" s="289"/>
      <c r="L43" s="94"/>
      <c r="M43" s="95"/>
    </row>
    <row r="44" spans="1:13" ht="20.25" thickTop="1" thickBot="1" x14ac:dyDescent="0.3">
      <c r="A44" s="1"/>
      <c r="B44" s="185"/>
      <c r="C44" s="92"/>
      <c r="D44" s="28" t="s">
        <v>25</v>
      </c>
      <c r="E44" s="51">
        <f>SUM(E41:E43)</f>
        <v>-85302.479999999981</v>
      </c>
      <c r="F44" s="176"/>
      <c r="G44" s="176"/>
      <c r="H44" s="294" t="s">
        <v>259</v>
      </c>
      <c r="I44" s="295"/>
      <c r="J44" s="296">
        <f>SUM(J41:K43)</f>
        <v>-79027.919999999984</v>
      </c>
      <c r="K44" s="297"/>
      <c r="L44" s="94"/>
      <c r="M44" s="95"/>
    </row>
    <row r="45" spans="1:13" ht="16.5" thickBot="1" x14ac:dyDescent="0.3">
      <c r="A45" s="1"/>
      <c r="B45" s="185"/>
      <c r="C45" s="11" t="s">
        <v>27</v>
      </c>
      <c r="D45" s="177"/>
      <c r="E45" s="100">
        <v>233075.27</v>
      </c>
      <c r="F45" s="176"/>
      <c r="G45" s="176"/>
      <c r="H45" s="71"/>
      <c r="I45" s="176"/>
      <c r="J45" s="281"/>
      <c r="K45" s="282"/>
      <c r="L45" s="94"/>
      <c r="M45" s="95"/>
    </row>
    <row r="46" spans="1:13" ht="19.5" thickBot="1" x14ac:dyDescent="0.3">
      <c r="A46" s="1"/>
      <c r="B46" s="186"/>
      <c r="C46" s="187"/>
      <c r="D46" s="187" t="s">
        <v>28</v>
      </c>
      <c r="E46" s="188">
        <f>E45+E44</f>
        <v>147772.79</v>
      </c>
      <c r="F46" s="189"/>
      <c r="G46" s="189"/>
      <c r="H46" s="190"/>
      <c r="I46" s="191"/>
      <c r="J46" s="283"/>
      <c r="K46" s="284"/>
      <c r="L46" s="94"/>
      <c r="M46" s="95"/>
    </row>
  </sheetData>
  <mergeCells count="17">
    <mergeCell ref="J46:K46"/>
    <mergeCell ref="H43:I43"/>
    <mergeCell ref="J43:K43"/>
    <mergeCell ref="H44:I44"/>
    <mergeCell ref="J44:K44"/>
    <mergeCell ref="J45:K45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31496062992125984" right="0.11811023622047245" top="0.15748031496062992" bottom="0" header="0.31496062992125984" footer="0.31496062992125984"/>
  <pageSetup scale="78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2" workbookViewId="0">
      <selection activeCell="D22" sqref="D2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52</v>
      </c>
      <c r="I2" s="265"/>
      <c r="J2" s="266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267"/>
      <c r="I3" s="268"/>
      <c r="J3" s="269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267"/>
      <c r="I4" s="268"/>
      <c r="J4" s="269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270"/>
      <c r="I5" s="271"/>
      <c r="J5" s="272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273" t="s">
        <v>53</v>
      </c>
      <c r="B44" s="274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8"/>
  <sheetViews>
    <sheetView topLeftCell="A13" workbookViewId="0">
      <selection activeCell="E35" sqref="E35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252</v>
      </c>
      <c r="I2" s="265"/>
      <c r="J2" s="266"/>
    </row>
    <row r="3" spans="1:10" x14ac:dyDescent="0.25">
      <c r="A3" s="124">
        <v>43374</v>
      </c>
      <c r="B3" s="125" t="s">
        <v>274</v>
      </c>
      <c r="C3" s="126">
        <v>87390</v>
      </c>
      <c r="D3" s="127"/>
      <c r="E3" s="126"/>
      <c r="F3" s="128">
        <f t="shared" ref="F3:F37" si="0">C3-E3</f>
        <v>87390</v>
      </c>
      <c r="H3" s="267"/>
      <c r="I3" s="268"/>
      <c r="J3" s="269"/>
    </row>
    <row r="4" spans="1:10" x14ac:dyDescent="0.25">
      <c r="A4" s="124">
        <v>43376</v>
      </c>
      <c r="B4" s="125" t="s">
        <v>275</v>
      </c>
      <c r="C4" s="126">
        <v>84685.4</v>
      </c>
      <c r="D4" s="127"/>
      <c r="E4" s="131"/>
      <c r="F4" s="132">
        <f t="shared" si="0"/>
        <v>84685.4</v>
      </c>
      <c r="H4" s="267"/>
      <c r="I4" s="268"/>
      <c r="J4" s="269"/>
    </row>
    <row r="5" spans="1:10" ht="15.75" thickBot="1" x14ac:dyDescent="0.3">
      <c r="A5" s="129">
        <v>43377</v>
      </c>
      <c r="B5" s="130" t="s">
        <v>276</v>
      </c>
      <c r="C5" s="131">
        <v>59595.9</v>
      </c>
      <c r="D5" s="127"/>
      <c r="E5" s="131"/>
      <c r="F5" s="132">
        <f t="shared" si="0"/>
        <v>59595.9</v>
      </c>
      <c r="H5" s="270"/>
      <c r="I5" s="271"/>
      <c r="J5" s="272"/>
    </row>
    <row r="6" spans="1:10" x14ac:dyDescent="0.25">
      <c r="A6" s="129">
        <v>43378</v>
      </c>
      <c r="B6" s="130" t="s">
        <v>277</v>
      </c>
      <c r="C6" s="131">
        <v>83066</v>
      </c>
      <c r="D6" s="127"/>
      <c r="E6" s="131"/>
      <c r="F6" s="133">
        <f t="shared" si="0"/>
        <v>83066</v>
      </c>
    </row>
    <row r="7" spans="1:10" x14ac:dyDescent="0.25">
      <c r="A7" s="129">
        <v>43379</v>
      </c>
      <c r="B7" s="130" t="s">
        <v>278</v>
      </c>
      <c r="C7" s="131">
        <v>83828.2</v>
      </c>
      <c r="D7" s="127"/>
      <c r="E7" s="131"/>
      <c r="F7" s="133">
        <f t="shared" si="0"/>
        <v>83828.2</v>
      </c>
    </row>
    <row r="8" spans="1:10" x14ac:dyDescent="0.25">
      <c r="A8" s="129">
        <v>43381</v>
      </c>
      <c r="B8" s="130" t="s">
        <v>279</v>
      </c>
      <c r="C8" s="131">
        <v>88539.199999999997</v>
      </c>
      <c r="D8" s="127"/>
      <c r="E8" s="131"/>
      <c r="F8" s="133">
        <f t="shared" si="0"/>
        <v>88539.199999999997</v>
      </c>
    </row>
    <row r="9" spans="1:10" x14ac:dyDescent="0.25">
      <c r="A9" s="129">
        <v>43382</v>
      </c>
      <c r="B9" s="130" t="s">
        <v>283</v>
      </c>
      <c r="C9" s="131">
        <v>87459.1</v>
      </c>
      <c r="D9" s="127"/>
      <c r="E9" s="131"/>
      <c r="F9" s="133">
        <f t="shared" si="0"/>
        <v>87459.1</v>
      </c>
    </row>
    <row r="10" spans="1:10" x14ac:dyDescent="0.25">
      <c r="A10" s="129">
        <v>43384</v>
      </c>
      <c r="B10" s="130" t="s">
        <v>284</v>
      </c>
      <c r="C10" s="131">
        <v>154116</v>
      </c>
      <c r="D10" s="127"/>
      <c r="E10" s="131"/>
      <c r="F10" s="133">
        <f t="shared" si="0"/>
        <v>154116</v>
      </c>
    </row>
    <row r="11" spans="1:10" x14ac:dyDescent="0.25">
      <c r="A11" s="129">
        <v>43385</v>
      </c>
      <c r="B11" s="192" t="s">
        <v>285</v>
      </c>
      <c r="C11" s="131">
        <v>18090</v>
      </c>
      <c r="D11" s="127"/>
      <c r="E11" s="131"/>
      <c r="F11" s="133">
        <f t="shared" si="0"/>
        <v>18090</v>
      </c>
    </row>
    <row r="12" spans="1:10" x14ac:dyDescent="0.25">
      <c r="A12" s="129">
        <v>43386</v>
      </c>
      <c r="B12" s="130" t="s">
        <v>286</v>
      </c>
      <c r="C12" s="131">
        <v>38789.199999999997</v>
      </c>
      <c r="D12" s="127"/>
      <c r="E12" s="131"/>
      <c r="F12" s="133">
        <f t="shared" si="0"/>
        <v>38789.199999999997</v>
      </c>
    </row>
    <row r="13" spans="1:10" x14ac:dyDescent="0.25">
      <c r="A13" s="134">
        <v>43386</v>
      </c>
      <c r="B13" s="135" t="s">
        <v>287</v>
      </c>
      <c r="C13" s="131">
        <v>35679.339999999997</v>
      </c>
      <c r="D13" s="127"/>
      <c r="E13" s="131"/>
      <c r="F13" s="133">
        <f t="shared" si="0"/>
        <v>35679.339999999997</v>
      </c>
    </row>
    <row r="14" spans="1:10" x14ac:dyDescent="0.25">
      <c r="A14" s="134">
        <v>43388</v>
      </c>
      <c r="B14" s="135" t="s">
        <v>288</v>
      </c>
      <c r="C14" s="131">
        <v>81357.5</v>
      </c>
      <c r="D14" s="127"/>
      <c r="E14" s="131"/>
      <c r="F14" s="133">
        <f t="shared" si="0"/>
        <v>81357.5</v>
      </c>
    </row>
    <row r="15" spans="1:10" x14ac:dyDescent="0.25">
      <c r="A15" s="134">
        <v>43389</v>
      </c>
      <c r="B15" s="135" t="s">
        <v>289</v>
      </c>
      <c r="C15" s="131">
        <v>73395.820000000007</v>
      </c>
      <c r="D15" s="127"/>
      <c r="E15" s="131"/>
      <c r="F15" s="133">
        <f t="shared" si="0"/>
        <v>73395.820000000007</v>
      </c>
    </row>
    <row r="16" spans="1:10" x14ac:dyDescent="0.25">
      <c r="A16" s="134">
        <v>43391</v>
      </c>
      <c r="B16" s="135" t="s">
        <v>290</v>
      </c>
      <c r="C16" s="131">
        <v>78802.399999999994</v>
      </c>
      <c r="D16" s="127"/>
      <c r="E16" s="131"/>
      <c r="F16" s="133">
        <f t="shared" si="0"/>
        <v>78802.399999999994</v>
      </c>
    </row>
    <row r="17" spans="1:6" x14ac:dyDescent="0.25">
      <c r="A17" s="134">
        <v>43392</v>
      </c>
      <c r="B17" s="135" t="s">
        <v>291</v>
      </c>
      <c r="C17" s="131">
        <v>38935</v>
      </c>
      <c r="D17" s="127"/>
      <c r="E17" s="131"/>
      <c r="F17" s="133">
        <f t="shared" si="0"/>
        <v>38935</v>
      </c>
    </row>
    <row r="18" spans="1:6" x14ac:dyDescent="0.25">
      <c r="A18" s="134">
        <v>43393</v>
      </c>
      <c r="B18" s="135" t="s">
        <v>292</v>
      </c>
      <c r="C18" s="131">
        <v>76659</v>
      </c>
      <c r="D18" s="127"/>
      <c r="E18" s="131"/>
      <c r="F18" s="133">
        <f t="shared" si="0"/>
        <v>76659</v>
      </c>
    </row>
    <row r="19" spans="1:6" x14ac:dyDescent="0.25">
      <c r="A19" s="134">
        <v>43395</v>
      </c>
      <c r="B19" s="135" t="s">
        <v>293</v>
      </c>
      <c r="C19" s="131">
        <v>41166.199999999997</v>
      </c>
      <c r="D19" s="127"/>
      <c r="E19" s="131"/>
      <c r="F19" s="133">
        <f t="shared" si="0"/>
        <v>41166.199999999997</v>
      </c>
    </row>
    <row r="20" spans="1:6" x14ac:dyDescent="0.25">
      <c r="A20" s="134">
        <v>43395</v>
      </c>
      <c r="B20" s="135" t="s">
        <v>294</v>
      </c>
      <c r="C20" s="131">
        <v>35191.4</v>
      </c>
      <c r="D20" s="127"/>
      <c r="E20" s="131"/>
      <c r="F20" s="133">
        <f t="shared" si="0"/>
        <v>35191.4</v>
      </c>
    </row>
    <row r="21" spans="1:6" x14ac:dyDescent="0.25">
      <c r="A21" s="134">
        <v>43396</v>
      </c>
      <c r="B21" s="135" t="s">
        <v>295</v>
      </c>
      <c r="C21" s="131">
        <v>44325</v>
      </c>
      <c r="D21" s="127"/>
      <c r="E21" s="131"/>
      <c r="F21" s="133">
        <f t="shared" si="0"/>
        <v>44325</v>
      </c>
    </row>
    <row r="22" spans="1:6" x14ac:dyDescent="0.25">
      <c r="A22" s="134">
        <v>43397</v>
      </c>
      <c r="B22" s="135" t="s">
        <v>296</v>
      </c>
      <c r="C22" s="131">
        <v>35026</v>
      </c>
      <c r="D22" s="127"/>
      <c r="E22" s="131"/>
      <c r="F22" s="133">
        <f t="shared" si="0"/>
        <v>35026</v>
      </c>
    </row>
    <row r="23" spans="1:6" x14ac:dyDescent="0.25">
      <c r="A23" s="134">
        <v>43397</v>
      </c>
      <c r="B23" s="135" t="s">
        <v>297</v>
      </c>
      <c r="C23" s="131">
        <v>29794</v>
      </c>
      <c r="D23" s="127"/>
      <c r="E23" s="131"/>
      <c r="F23" s="133">
        <f t="shared" si="0"/>
        <v>29794</v>
      </c>
    </row>
    <row r="24" spans="1:6" x14ac:dyDescent="0.25">
      <c r="A24" s="134">
        <v>43397</v>
      </c>
      <c r="B24" s="135" t="s">
        <v>298</v>
      </c>
      <c r="C24" s="131">
        <v>8336</v>
      </c>
      <c r="D24" s="127"/>
      <c r="E24" s="131"/>
      <c r="F24" s="133">
        <f t="shared" si="0"/>
        <v>8336</v>
      </c>
    </row>
    <row r="25" spans="1:6" x14ac:dyDescent="0.25">
      <c r="A25" s="134">
        <v>43398</v>
      </c>
      <c r="B25" s="135" t="s">
        <v>299</v>
      </c>
      <c r="C25" s="131">
        <v>40538.9</v>
      </c>
      <c r="D25" s="127"/>
      <c r="E25" s="131"/>
      <c r="F25" s="133">
        <f t="shared" si="0"/>
        <v>40538.9</v>
      </c>
    </row>
    <row r="26" spans="1:6" x14ac:dyDescent="0.25">
      <c r="A26" s="134">
        <v>43398</v>
      </c>
      <c r="B26" s="135" t="s">
        <v>300</v>
      </c>
      <c r="C26" s="131">
        <v>30875.4</v>
      </c>
      <c r="D26" s="127"/>
      <c r="E26" s="131"/>
      <c r="F26" s="133">
        <f t="shared" si="0"/>
        <v>30875.4</v>
      </c>
    </row>
    <row r="27" spans="1:6" x14ac:dyDescent="0.25">
      <c r="A27" s="134">
        <v>43398</v>
      </c>
      <c r="B27" s="135" t="s">
        <v>301</v>
      </c>
      <c r="C27" s="131">
        <v>22638.2</v>
      </c>
      <c r="D27" s="127"/>
      <c r="E27" s="131"/>
      <c r="F27" s="133">
        <f t="shared" si="0"/>
        <v>22638.2</v>
      </c>
    </row>
    <row r="28" spans="1:6" x14ac:dyDescent="0.25">
      <c r="A28" s="134">
        <v>43399</v>
      </c>
      <c r="B28" s="135" t="s">
        <v>302</v>
      </c>
      <c r="C28" s="131">
        <v>85592.5</v>
      </c>
      <c r="D28" s="127"/>
      <c r="E28" s="131"/>
      <c r="F28" s="133">
        <f t="shared" si="0"/>
        <v>85592.5</v>
      </c>
    </row>
    <row r="29" spans="1:6" x14ac:dyDescent="0.25">
      <c r="A29" s="134">
        <v>43400</v>
      </c>
      <c r="B29" s="135" t="s">
        <v>303</v>
      </c>
      <c r="C29" s="131">
        <v>74040.5</v>
      </c>
      <c r="D29" s="127"/>
      <c r="E29" s="131"/>
      <c r="F29" s="133">
        <f t="shared" si="0"/>
        <v>74040.5</v>
      </c>
    </row>
    <row r="30" spans="1:6" x14ac:dyDescent="0.25">
      <c r="A30" s="134">
        <v>43401</v>
      </c>
      <c r="B30" s="135" t="s">
        <v>304</v>
      </c>
      <c r="C30" s="131">
        <v>141263.56</v>
      </c>
      <c r="D30" s="127"/>
      <c r="E30" s="131"/>
      <c r="F30" s="133">
        <f t="shared" si="0"/>
        <v>141263.56</v>
      </c>
    </row>
    <row r="31" spans="1:6" x14ac:dyDescent="0.25">
      <c r="A31" s="134">
        <v>43403</v>
      </c>
      <c r="B31" s="135" t="s">
        <v>305</v>
      </c>
      <c r="C31" s="131">
        <v>114797.2</v>
      </c>
      <c r="D31" s="127"/>
      <c r="E31" s="131"/>
      <c r="F31" s="133">
        <f t="shared" si="0"/>
        <v>114797.2</v>
      </c>
    </row>
    <row r="32" spans="1:6" x14ac:dyDescent="0.25">
      <c r="A32" s="134">
        <v>43403</v>
      </c>
      <c r="B32" s="135" t="s">
        <v>306</v>
      </c>
      <c r="C32" s="131">
        <v>837</v>
      </c>
      <c r="D32" s="127"/>
      <c r="E32" s="131"/>
      <c r="F32" s="133">
        <f t="shared" si="0"/>
        <v>837</v>
      </c>
    </row>
    <row r="33" spans="1:6" x14ac:dyDescent="0.25">
      <c r="A33" s="134"/>
      <c r="B33" s="135"/>
      <c r="C33" s="131"/>
      <c r="D33" s="127"/>
      <c r="E33" s="131"/>
      <c r="F33" s="133">
        <f t="shared" si="0"/>
        <v>0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27557.4</v>
      </c>
      <c r="F37" s="145">
        <f t="shared" si="0"/>
        <v>-27557.4</v>
      </c>
    </row>
    <row r="38" spans="1:6" s="151" customFormat="1" ht="19.5" thickBot="1" x14ac:dyDescent="0.35">
      <c r="A38" s="149"/>
      <c r="B38" s="150"/>
      <c r="C38" s="146">
        <f>SUM(C3:C37)</f>
        <v>1874809.9199999995</v>
      </c>
      <c r="D38" s="146"/>
      <c r="E38" s="152">
        <f>SUM(E3:E37)</f>
        <v>27557.4</v>
      </c>
      <c r="F38" s="152">
        <f>SUM(F3:F37)</f>
        <v>1847252.5199999996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6"/>
  <sheetViews>
    <sheetView topLeftCell="C1" workbookViewId="0">
      <selection activeCell="H48" sqref="H48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9.5703125" style="15" customWidth="1"/>
  </cols>
  <sheetData>
    <row r="1" spans="1:13" ht="23.25" x14ac:dyDescent="0.35">
      <c r="A1" s="1"/>
      <c r="B1" s="235" t="s">
        <v>315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3" ht="15.75" thickBot="1" x14ac:dyDescent="0.3">
      <c r="A2" s="1"/>
      <c r="B2" s="5"/>
      <c r="D2" s="227"/>
      <c r="E2" s="8"/>
      <c r="L2" s="9"/>
      <c r="M2" s="4"/>
    </row>
    <row r="3" spans="1:13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3" ht="20.25" thickTop="1" thickBot="1" x14ac:dyDescent="0.35">
      <c r="A4" s="237"/>
      <c r="B4" s="12">
        <v>233075.27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</row>
    <row r="5" spans="1:13" ht="17.25" thickTop="1" thickBot="1" x14ac:dyDescent="0.3">
      <c r="A5" s="16"/>
      <c r="B5" s="17">
        <v>0</v>
      </c>
      <c r="C5" s="18"/>
      <c r="D5" s="107">
        <v>43405</v>
      </c>
      <c r="E5" s="157">
        <v>45813.2</v>
      </c>
      <c r="F5" s="158"/>
      <c r="G5" s="159">
        <v>43405</v>
      </c>
      <c r="H5" s="160">
        <v>0</v>
      </c>
      <c r="I5" s="20"/>
      <c r="J5" s="21"/>
      <c r="K5" s="21"/>
      <c r="L5" s="22">
        <v>54116</v>
      </c>
      <c r="M5" s="103"/>
    </row>
    <row r="6" spans="1:13" ht="16.5" thickBot="1" x14ac:dyDescent="0.3">
      <c r="A6" s="23"/>
      <c r="B6" s="17">
        <v>0</v>
      </c>
      <c r="C6" s="18"/>
      <c r="D6" s="107">
        <v>43406</v>
      </c>
      <c r="E6" s="157">
        <v>26487.8</v>
      </c>
      <c r="F6" s="25"/>
      <c r="G6" s="159">
        <v>43406</v>
      </c>
      <c r="H6" s="26">
        <v>0</v>
      </c>
      <c r="I6" s="27"/>
      <c r="J6" s="28" t="s">
        <v>8</v>
      </c>
      <c r="K6" s="29">
        <v>549</v>
      </c>
      <c r="L6" s="22">
        <v>31600</v>
      </c>
      <c r="M6" s="103"/>
    </row>
    <row r="7" spans="1:13" ht="16.5" thickBot="1" x14ac:dyDescent="0.3">
      <c r="A7" s="23"/>
      <c r="B7" s="17">
        <v>0</v>
      </c>
      <c r="C7" s="18"/>
      <c r="D7" s="107">
        <v>43407</v>
      </c>
      <c r="E7" s="157">
        <v>65841.149999999994</v>
      </c>
      <c r="F7" s="19"/>
      <c r="G7" s="159">
        <v>43407</v>
      </c>
      <c r="H7" s="26">
        <v>0</v>
      </c>
      <c r="I7" s="232">
        <v>43403</v>
      </c>
      <c r="J7" s="30" t="s">
        <v>9</v>
      </c>
      <c r="K7" s="31">
        <v>9223.5</v>
      </c>
      <c r="L7" s="22">
        <f>20000+50000+406</f>
        <v>70406</v>
      </c>
      <c r="M7" s="33"/>
    </row>
    <row r="8" spans="1:13" ht="16.5" thickBot="1" x14ac:dyDescent="0.3">
      <c r="A8" s="23"/>
      <c r="B8" s="17">
        <v>0</v>
      </c>
      <c r="C8" s="34"/>
      <c r="D8" s="107">
        <v>43408</v>
      </c>
      <c r="E8" s="157">
        <v>76199.5</v>
      </c>
      <c r="F8" s="19"/>
      <c r="G8" s="159">
        <v>43408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76200</v>
      </c>
      <c r="M8" s="33"/>
    </row>
    <row r="9" spans="1:13" ht="16.5" thickBot="1" x14ac:dyDescent="0.3">
      <c r="A9" s="23"/>
      <c r="B9" s="17">
        <v>0</v>
      </c>
      <c r="C9" s="36"/>
      <c r="D9" s="107">
        <v>43409</v>
      </c>
      <c r="E9" s="157">
        <v>51754.98</v>
      </c>
      <c r="F9" s="19"/>
      <c r="G9" s="159">
        <v>43409</v>
      </c>
      <c r="H9" s="26">
        <v>0</v>
      </c>
      <c r="I9" s="210" t="s">
        <v>327</v>
      </c>
      <c r="J9" s="28" t="s">
        <v>316</v>
      </c>
      <c r="K9" s="38">
        <v>8058.81</v>
      </c>
      <c r="L9" s="22">
        <v>54065</v>
      </c>
      <c r="M9" s="33"/>
    </row>
    <row r="10" spans="1:13" ht="16.5" thickBot="1" x14ac:dyDescent="0.3">
      <c r="A10" s="23"/>
      <c r="B10" s="17">
        <v>0</v>
      </c>
      <c r="C10" s="34"/>
      <c r="D10" s="107">
        <v>43410</v>
      </c>
      <c r="E10" s="157">
        <v>28168.65</v>
      </c>
      <c r="F10" s="19"/>
      <c r="G10" s="159">
        <v>43410</v>
      </c>
      <c r="H10" s="26">
        <v>0</v>
      </c>
      <c r="I10" s="209" t="s">
        <v>328</v>
      </c>
      <c r="J10" s="28" t="s">
        <v>317</v>
      </c>
      <c r="K10" s="38">
        <v>7369.83</v>
      </c>
      <c r="L10" s="22">
        <v>28169</v>
      </c>
      <c r="M10" s="230"/>
    </row>
    <row r="11" spans="1:13" ht="16.5" thickBot="1" x14ac:dyDescent="0.3">
      <c r="A11" s="23"/>
      <c r="B11" s="17">
        <v>0</v>
      </c>
      <c r="C11" s="34"/>
      <c r="D11" s="107">
        <v>43411</v>
      </c>
      <c r="E11" s="157">
        <v>55796.59</v>
      </c>
      <c r="F11" s="19"/>
      <c r="G11" s="159">
        <v>43411</v>
      </c>
      <c r="H11" s="26">
        <v>0</v>
      </c>
      <c r="I11" s="37" t="s">
        <v>329</v>
      </c>
      <c r="J11" s="28" t="s">
        <v>318</v>
      </c>
      <c r="K11" s="38">
        <v>9150.08</v>
      </c>
      <c r="L11" s="22">
        <v>59440</v>
      </c>
      <c r="M11" s="33"/>
    </row>
    <row r="12" spans="1:13" ht="16.5" thickBot="1" x14ac:dyDescent="0.3">
      <c r="A12" s="23"/>
      <c r="B12" s="17">
        <v>0</v>
      </c>
      <c r="C12" s="34"/>
      <c r="D12" s="107">
        <v>43412</v>
      </c>
      <c r="E12" s="157">
        <v>56033.03</v>
      </c>
      <c r="F12" s="19"/>
      <c r="G12" s="159">
        <v>43412</v>
      </c>
      <c r="H12" s="26">
        <v>36</v>
      </c>
      <c r="I12" s="37" t="s">
        <v>330</v>
      </c>
      <c r="J12" s="28" t="s">
        <v>319</v>
      </c>
      <c r="K12" s="38">
        <v>10064.370000000001</v>
      </c>
      <c r="L12" s="22">
        <v>55997</v>
      </c>
      <c r="M12" s="229"/>
    </row>
    <row r="13" spans="1:13" ht="16.5" thickBot="1" x14ac:dyDescent="0.3">
      <c r="A13" s="23"/>
      <c r="B13" s="17">
        <v>0</v>
      </c>
      <c r="C13" s="34"/>
      <c r="D13" s="107">
        <v>43413</v>
      </c>
      <c r="E13" s="157">
        <v>88407.67</v>
      </c>
      <c r="F13" s="19"/>
      <c r="G13" s="159">
        <v>43413</v>
      </c>
      <c r="H13" s="26">
        <v>60</v>
      </c>
      <c r="I13" s="37"/>
      <c r="J13" s="28" t="s">
        <v>158</v>
      </c>
      <c r="K13" s="29">
        <v>0</v>
      </c>
      <c r="L13" s="22">
        <v>87448</v>
      </c>
      <c r="M13" s="33"/>
    </row>
    <row r="14" spans="1:13" ht="16.5" thickBot="1" x14ac:dyDescent="0.3">
      <c r="A14" s="23"/>
      <c r="B14" s="17">
        <v>0</v>
      </c>
      <c r="C14" s="36"/>
      <c r="D14" s="107">
        <v>43414</v>
      </c>
      <c r="E14" s="157">
        <v>73034.880000000005</v>
      </c>
      <c r="F14" s="19"/>
      <c r="G14" s="159">
        <v>43414</v>
      </c>
      <c r="H14" s="26">
        <v>0</v>
      </c>
      <c r="I14" s="61"/>
      <c r="J14" s="40" t="s">
        <v>92</v>
      </c>
      <c r="K14" s="29">
        <v>0</v>
      </c>
      <c r="L14" s="22">
        <f>40000+33035</f>
        <v>73035</v>
      </c>
      <c r="M14" s="33"/>
    </row>
    <row r="15" spans="1:13" ht="16.5" thickBot="1" x14ac:dyDescent="0.3">
      <c r="A15" s="23"/>
      <c r="B15" s="17">
        <v>0</v>
      </c>
      <c r="C15" s="36"/>
      <c r="D15" s="107">
        <v>43415</v>
      </c>
      <c r="E15" s="157">
        <v>72894.460000000006</v>
      </c>
      <c r="F15" s="19"/>
      <c r="G15" s="159">
        <v>43415</v>
      </c>
      <c r="H15" s="26">
        <v>0</v>
      </c>
      <c r="I15" s="27"/>
      <c r="J15" s="217"/>
      <c r="K15" s="29">
        <v>0</v>
      </c>
      <c r="L15" s="22">
        <v>72894.5</v>
      </c>
      <c r="M15" s="33"/>
    </row>
    <row r="16" spans="1:13" ht="16.5" thickBot="1" x14ac:dyDescent="0.3">
      <c r="A16" s="23"/>
      <c r="B16" s="17">
        <v>0</v>
      </c>
      <c r="C16" s="36"/>
      <c r="D16" s="107">
        <v>43416</v>
      </c>
      <c r="E16" s="157">
        <v>62866.46</v>
      </c>
      <c r="F16" s="19"/>
      <c r="G16" s="159">
        <v>43416</v>
      </c>
      <c r="H16" s="26">
        <v>0</v>
      </c>
      <c r="I16" s="27"/>
      <c r="J16" s="42"/>
      <c r="K16" s="43">
        <v>0</v>
      </c>
      <c r="L16" s="22">
        <v>62866.5</v>
      </c>
      <c r="M16" s="33"/>
    </row>
    <row r="17" spans="1:13" ht="16.5" thickBot="1" x14ac:dyDescent="0.3">
      <c r="A17" s="23"/>
      <c r="B17" s="17">
        <v>0</v>
      </c>
      <c r="C17" s="36"/>
      <c r="D17" s="107">
        <v>43417</v>
      </c>
      <c r="E17" s="157">
        <v>40727.980000000003</v>
      </c>
      <c r="F17" s="19"/>
      <c r="G17" s="159">
        <v>43417</v>
      </c>
      <c r="H17" s="26">
        <v>0</v>
      </c>
      <c r="I17" s="202"/>
      <c r="J17" s="203"/>
      <c r="K17" s="43">
        <v>0</v>
      </c>
      <c r="L17" s="22">
        <f>25000+15728</f>
        <v>40728</v>
      </c>
      <c r="M17" s="33"/>
    </row>
    <row r="18" spans="1:13" ht="16.5" thickBot="1" x14ac:dyDescent="0.3">
      <c r="A18" s="23"/>
      <c r="B18" s="17">
        <v>0</v>
      </c>
      <c r="C18" s="34"/>
      <c r="D18" s="107">
        <v>43418</v>
      </c>
      <c r="E18" s="157">
        <v>47208.05</v>
      </c>
      <c r="F18" s="19"/>
      <c r="G18" s="159">
        <v>43418</v>
      </c>
      <c r="H18" s="26">
        <v>0</v>
      </c>
      <c r="I18" s="202"/>
      <c r="J18" s="203"/>
      <c r="K18" s="45">
        <v>0</v>
      </c>
      <c r="L18" s="22">
        <v>47208</v>
      </c>
      <c r="M18" s="33"/>
    </row>
    <row r="19" spans="1:13" ht="16.5" thickBot="1" x14ac:dyDescent="0.3">
      <c r="A19" s="23"/>
      <c r="B19" s="17">
        <v>0</v>
      </c>
      <c r="C19" s="36"/>
      <c r="D19" s="107">
        <v>43419</v>
      </c>
      <c r="E19" s="157">
        <v>50230.6</v>
      </c>
      <c r="F19" s="19"/>
      <c r="G19" s="159">
        <v>43419</v>
      </c>
      <c r="H19" s="26">
        <v>0</v>
      </c>
      <c r="I19" s="27"/>
      <c r="J19" s="46" t="s">
        <v>12</v>
      </c>
      <c r="K19" s="45">
        <v>0</v>
      </c>
      <c r="L19" s="22">
        <v>50231</v>
      </c>
      <c r="M19" s="47"/>
    </row>
    <row r="20" spans="1:13" ht="16.5" thickBot="1" x14ac:dyDescent="0.3">
      <c r="A20" s="23"/>
      <c r="B20" s="17">
        <v>0</v>
      </c>
      <c r="C20" s="48"/>
      <c r="D20" s="107">
        <v>43420</v>
      </c>
      <c r="E20" s="157">
        <v>68391.649999999994</v>
      </c>
      <c r="F20" s="19"/>
      <c r="G20" s="159">
        <v>43420</v>
      </c>
      <c r="H20" s="26">
        <v>0</v>
      </c>
      <c r="I20" s="49"/>
      <c r="J20" s="50"/>
      <c r="K20" s="51" t="s">
        <v>151</v>
      </c>
      <c r="L20" s="22">
        <f>30000+38392</f>
        <v>68392</v>
      </c>
      <c r="M20" s="47"/>
    </row>
    <row r="21" spans="1:13" ht="16.5" thickBot="1" x14ac:dyDescent="0.3">
      <c r="A21" s="23"/>
      <c r="B21" s="17">
        <v>0</v>
      </c>
      <c r="C21" s="48"/>
      <c r="D21" s="107">
        <v>43421</v>
      </c>
      <c r="E21" s="157">
        <v>91750.54</v>
      </c>
      <c r="F21" s="19"/>
      <c r="G21" s="159">
        <v>43421</v>
      </c>
      <c r="H21" s="26">
        <v>20</v>
      </c>
      <c r="I21" s="33"/>
      <c r="J21" s="52"/>
      <c r="K21" s="51"/>
      <c r="L21" s="22">
        <f>61730.5+30000</f>
        <v>91730.5</v>
      </c>
      <c r="M21" s="33"/>
    </row>
    <row r="22" spans="1:13" ht="16.5" thickBot="1" x14ac:dyDescent="0.3">
      <c r="A22" s="23"/>
      <c r="B22" s="17">
        <v>0</v>
      </c>
      <c r="C22" s="36"/>
      <c r="D22" s="107">
        <v>43422</v>
      </c>
      <c r="E22" s="157">
        <v>67663.86</v>
      </c>
      <c r="F22" s="19"/>
      <c r="G22" s="159">
        <v>43422</v>
      </c>
      <c r="H22" s="26">
        <v>0</v>
      </c>
      <c r="I22" s="49" t="s">
        <v>23</v>
      </c>
      <c r="J22" s="53"/>
      <c r="K22" s="51">
        <v>0</v>
      </c>
      <c r="L22" s="22">
        <v>67664</v>
      </c>
      <c r="M22" s="47"/>
    </row>
    <row r="23" spans="1:13" ht="16.5" thickBot="1" x14ac:dyDescent="0.3">
      <c r="A23" s="23"/>
      <c r="B23" s="17">
        <v>0</v>
      </c>
      <c r="C23" s="36"/>
      <c r="D23" s="107">
        <v>43423</v>
      </c>
      <c r="E23" s="157">
        <v>53916.25</v>
      </c>
      <c r="F23" s="19"/>
      <c r="G23" s="159">
        <v>43423</v>
      </c>
      <c r="H23" s="26">
        <v>0</v>
      </c>
      <c r="I23" s="27"/>
      <c r="J23" s="52"/>
      <c r="K23" s="51">
        <v>0</v>
      </c>
      <c r="L23" s="22">
        <v>53916</v>
      </c>
      <c r="M23" s="33"/>
    </row>
    <row r="24" spans="1:13" ht="16.5" thickBot="1" x14ac:dyDescent="0.3">
      <c r="A24" s="23"/>
      <c r="B24" s="17">
        <v>0</v>
      </c>
      <c r="C24" s="36"/>
      <c r="D24" s="107">
        <v>43424</v>
      </c>
      <c r="E24" s="157">
        <v>42367.360000000001</v>
      </c>
      <c r="F24" s="19"/>
      <c r="G24" s="159">
        <v>43424</v>
      </c>
      <c r="H24" s="26">
        <v>36</v>
      </c>
      <c r="I24" s="27"/>
      <c r="J24" s="54" t="s">
        <v>15</v>
      </c>
      <c r="K24" s="51">
        <v>0</v>
      </c>
      <c r="L24" s="22">
        <f>20000+22331.5</f>
        <v>42331.5</v>
      </c>
      <c r="M24" s="33"/>
    </row>
    <row r="25" spans="1:13" ht="16.5" thickBot="1" x14ac:dyDescent="0.3">
      <c r="A25" s="23"/>
      <c r="B25" s="17">
        <v>0</v>
      </c>
      <c r="C25" s="48"/>
      <c r="D25" s="107">
        <v>43425</v>
      </c>
      <c r="E25" s="157">
        <v>52475.48</v>
      </c>
      <c r="F25" s="19"/>
      <c r="G25" s="159">
        <v>43425</v>
      </c>
      <c r="H25" s="26">
        <v>0</v>
      </c>
      <c r="I25" s="27"/>
      <c r="J25" s="55"/>
      <c r="K25" s="51"/>
      <c r="L25" s="22">
        <v>52475.5</v>
      </c>
      <c r="M25" s="33"/>
    </row>
    <row r="26" spans="1:13" ht="16.5" thickBot="1" x14ac:dyDescent="0.3">
      <c r="A26" s="23"/>
      <c r="B26" s="17">
        <v>0</v>
      </c>
      <c r="C26" s="36"/>
      <c r="D26" s="107">
        <v>43426</v>
      </c>
      <c r="E26" s="157">
        <v>78511.820000000007</v>
      </c>
      <c r="F26" s="19"/>
      <c r="G26" s="159">
        <v>43426</v>
      </c>
      <c r="H26" s="26">
        <v>0</v>
      </c>
      <c r="I26" s="27"/>
      <c r="J26" s="56" t="s">
        <v>16</v>
      </c>
      <c r="K26" s="27">
        <v>900</v>
      </c>
      <c r="L26" s="22">
        <f>43512+35000</f>
        <v>78512</v>
      </c>
      <c r="M26" s="33"/>
    </row>
    <row r="27" spans="1:13" ht="16.5" thickBot="1" x14ac:dyDescent="0.3">
      <c r="A27" s="23"/>
      <c r="B27" s="17">
        <v>0</v>
      </c>
      <c r="C27" s="36"/>
      <c r="D27" s="107">
        <v>43427</v>
      </c>
      <c r="E27" s="157">
        <v>81559.72</v>
      </c>
      <c r="F27" s="19"/>
      <c r="G27" s="159">
        <v>43427</v>
      </c>
      <c r="H27" s="26">
        <v>0</v>
      </c>
      <c r="I27" s="27"/>
      <c r="J27" s="116">
        <v>43413</v>
      </c>
      <c r="K27" s="27">
        <v>0</v>
      </c>
      <c r="L27" s="22">
        <v>81560</v>
      </c>
      <c r="M27" s="33"/>
    </row>
    <row r="28" spans="1:13" ht="16.5" thickBot="1" x14ac:dyDescent="0.3">
      <c r="A28" s="23"/>
      <c r="B28" s="17">
        <v>0</v>
      </c>
      <c r="C28" s="36"/>
      <c r="D28" s="107">
        <v>43428</v>
      </c>
      <c r="E28" s="157">
        <v>74113.440000000002</v>
      </c>
      <c r="F28" s="19"/>
      <c r="G28" s="159">
        <v>43428</v>
      </c>
      <c r="H28" s="26">
        <v>0</v>
      </c>
      <c r="I28" s="27"/>
      <c r="J28" s="57" t="s">
        <v>267</v>
      </c>
      <c r="K28" s="51">
        <v>0</v>
      </c>
      <c r="L28" s="22">
        <f>34113.5+40000</f>
        <v>74113.5</v>
      </c>
      <c r="M28" s="33"/>
    </row>
    <row r="29" spans="1:13" ht="16.5" thickBot="1" x14ac:dyDescent="0.3">
      <c r="A29" s="23"/>
      <c r="B29" s="17">
        <v>0</v>
      </c>
      <c r="C29" s="36"/>
      <c r="D29" s="107">
        <v>43429</v>
      </c>
      <c r="E29" s="157">
        <v>65220.57</v>
      </c>
      <c r="F29" s="19"/>
      <c r="G29" s="159">
        <v>43429</v>
      </c>
      <c r="H29" s="26">
        <v>0</v>
      </c>
      <c r="I29" s="27" t="s">
        <v>23</v>
      </c>
      <c r="J29" s="55"/>
      <c r="K29" s="51">
        <v>0</v>
      </c>
      <c r="L29" s="22">
        <v>65220</v>
      </c>
      <c r="M29" s="33"/>
    </row>
    <row r="30" spans="1:13" ht="16.5" thickBot="1" x14ac:dyDescent="0.3">
      <c r="A30" s="23"/>
      <c r="B30" s="17">
        <v>0</v>
      </c>
      <c r="C30" s="48"/>
      <c r="D30" s="107">
        <v>43430</v>
      </c>
      <c r="E30" s="157">
        <v>67932.679999999993</v>
      </c>
      <c r="F30" s="19"/>
      <c r="G30" s="159">
        <v>43430</v>
      </c>
      <c r="H30" s="26">
        <v>0</v>
      </c>
      <c r="I30" s="27"/>
      <c r="J30" s="60" t="s">
        <v>18</v>
      </c>
      <c r="K30" s="51">
        <v>0</v>
      </c>
      <c r="L30" s="22">
        <f>2933+30000+35000</f>
        <v>67933</v>
      </c>
      <c r="M30" s="33"/>
    </row>
    <row r="31" spans="1:13" ht="16.5" thickBot="1" x14ac:dyDescent="0.3">
      <c r="A31" s="23"/>
      <c r="B31" s="17">
        <v>0</v>
      </c>
      <c r="C31" s="48"/>
      <c r="D31" s="107">
        <v>43431</v>
      </c>
      <c r="E31" s="157">
        <v>40193.9</v>
      </c>
      <c r="F31" s="19"/>
      <c r="G31" s="159">
        <v>43431</v>
      </c>
      <c r="H31" s="26">
        <v>0</v>
      </c>
      <c r="I31" s="61"/>
      <c r="J31" s="62"/>
      <c r="K31" s="51">
        <v>0</v>
      </c>
      <c r="L31" s="22">
        <v>40194</v>
      </c>
      <c r="M31" s="33"/>
    </row>
    <row r="32" spans="1:13" ht="16.5" thickBot="1" x14ac:dyDescent="0.3">
      <c r="A32" s="23"/>
      <c r="B32" s="17">
        <v>0</v>
      </c>
      <c r="C32" s="34"/>
      <c r="D32" s="107">
        <v>43432</v>
      </c>
      <c r="E32" s="157">
        <v>45287.69</v>
      </c>
      <c r="F32" s="19"/>
      <c r="G32" s="159">
        <v>43432</v>
      </c>
      <c r="H32" s="26">
        <v>350</v>
      </c>
      <c r="I32" s="61"/>
      <c r="J32" s="60"/>
      <c r="K32" s="29">
        <v>0</v>
      </c>
      <c r="L32" s="22">
        <v>44938</v>
      </c>
      <c r="M32" s="33"/>
    </row>
    <row r="33" spans="1:13" ht="16.5" thickBot="1" x14ac:dyDescent="0.3">
      <c r="A33" s="23"/>
      <c r="B33" s="17">
        <v>0</v>
      </c>
      <c r="C33" s="34"/>
      <c r="D33" s="107">
        <v>43433</v>
      </c>
      <c r="E33" s="157">
        <v>44497.91</v>
      </c>
      <c r="F33" s="19"/>
      <c r="G33" s="159">
        <v>43433</v>
      </c>
      <c r="H33" s="26">
        <v>0</v>
      </c>
      <c r="I33" s="27"/>
      <c r="J33" s="63"/>
      <c r="K33" s="38"/>
      <c r="L33" s="22">
        <f>19498+25000</f>
        <v>44498</v>
      </c>
      <c r="M33" s="33"/>
    </row>
    <row r="34" spans="1:13" ht="16.5" thickBot="1" x14ac:dyDescent="0.3">
      <c r="A34" s="23"/>
      <c r="B34" s="17">
        <v>0</v>
      </c>
      <c r="C34" s="48"/>
      <c r="D34" s="107">
        <v>43434</v>
      </c>
      <c r="E34" s="157">
        <v>84080.71</v>
      </c>
      <c r="F34" s="19"/>
      <c r="G34" s="159">
        <v>43434</v>
      </c>
      <c r="H34" s="26">
        <v>36</v>
      </c>
      <c r="I34" s="27"/>
      <c r="J34" s="63"/>
      <c r="K34" s="38"/>
      <c r="L34" s="22">
        <v>84045</v>
      </c>
      <c r="M34" s="33"/>
    </row>
    <row r="35" spans="1:13" ht="16.5" thickBot="1" x14ac:dyDescent="0.3">
      <c r="A35" s="23"/>
      <c r="B35" s="17">
        <v>0</v>
      </c>
      <c r="C35" s="18"/>
      <c r="D35" s="107"/>
      <c r="E35" s="157">
        <v>0</v>
      </c>
      <c r="F35" s="19"/>
      <c r="G35" s="159"/>
      <c r="H35" s="26">
        <v>0</v>
      </c>
      <c r="I35" s="27"/>
      <c r="J35" s="60"/>
      <c r="K35" s="29"/>
      <c r="L35" s="22">
        <v>0</v>
      </c>
      <c r="M35" s="33"/>
    </row>
    <row r="36" spans="1:13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1821927</v>
      </c>
      <c r="M36" s="74"/>
    </row>
    <row r="37" spans="1:13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</row>
    <row r="38" spans="1:13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1799428.5799999998</v>
      </c>
      <c r="G38" s="227" t="s">
        <v>19</v>
      </c>
      <c r="H38" s="88">
        <f>SUM(H5:H37)</f>
        <v>538</v>
      </c>
      <c r="I38" s="88"/>
      <c r="J38" s="89" t="s">
        <v>19</v>
      </c>
      <c r="K38" s="90">
        <f t="shared" ref="K38" si="0">SUM(K5:K37)</f>
        <v>74065.59</v>
      </c>
      <c r="L38" s="9"/>
      <c r="M38" s="4"/>
    </row>
    <row r="39" spans="1:13" x14ac:dyDescent="0.25">
      <c r="A39" s="1"/>
      <c r="B39" s="5"/>
      <c r="E39" s="5"/>
      <c r="I39" s="5"/>
      <c r="L39" s="9"/>
      <c r="M39" s="4"/>
    </row>
    <row r="40" spans="1:13" ht="16.5" thickBot="1" x14ac:dyDescent="0.3">
      <c r="A40" s="1"/>
      <c r="B40" s="91">
        <v>0</v>
      </c>
      <c r="C40" s="92"/>
      <c r="D40" s="28"/>
      <c r="E40" s="71"/>
      <c r="G40" s="275" t="s">
        <v>20</v>
      </c>
      <c r="H40" s="276"/>
      <c r="I40" s="228"/>
      <c r="J40" s="277">
        <f>H38+K38</f>
        <v>74603.59</v>
      </c>
      <c r="K40" s="278"/>
      <c r="L40" s="94"/>
      <c r="M40" s="95"/>
    </row>
    <row r="41" spans="1:13" ht="15.75" x14ac:dyDescent="0.25">
      <c r="A41" s="1"/>
      <c r="B41" s="179"/>
      <c r="C41" s="279" t="s">
        <v>21</v>
      </c>
      <c r="D41" s="279"/>
      <c r="E41" s="180">
        <f>E38-J40</f>
        <v>1724824.9899999998</v>
      </c>
      <c r="F41" s="181"/>
      <c r="G41" s="181"/>
      <c r="H41" s="182"/>
      <c r="I41" s="182"/>
      <c r="J41" s="183"/>
      <c r="K41" s="184"/>
      <c r="L41" s="94"/>
      <c r="M41" s="95"/>
    </row>
    <row r="42" spans="1:13" x14ac:dyDescent="0.25">
      <c r="A42" s="1"/>
      <c r="B42" s="185"/>
      <c r="C42" s="92"/>
      <c r="D42" s="28" t="s">
        <v>22</v>
      </c>
      <c r="E42" s="51">
        <v>29629.14</v>
      </c>
      <c r="F42" s="176"/>
      <c r="G42" s="176"/>
      <c r="H42" s="280" t="s">
        <v>26</v>
      </c>
      <c r="I42" s="280"/>
      <c r="J42" s="280">
        <f>E46</f>
        <v>308472.15999999963</v>
      </c>
      <c r="K42" s="287"/>
      <c r="L42" s="94"/>
      <c r="M42" s="95"/>
    </row>
    <row r="43" spans="1:13" ht="15.75" thickBot="1" x14ac:dyDescent="0.3">
      <c r="A43" s="1"/>
      <c r="B43" s="185" t="s">
        <v>23</v>
      </c>
      <c r="C43" s="92" t="s">
        <v>24</v>
      </c>
      <c r="D43" s="28"/>
      <c r="E43" s="97">
        <v>-1671160.52</v>
      </c>
      <c r="F43" s="176"/>
      <c r="G43" s="176"/>
      <c r="H43" s="254" t="s">
        <v>1</v>
      </c>
      <c r="I43" s="254"/>
      <c r="J43" s="288">
        <f>-B4</f>
        <v>-233075.27</v>
      </c>
      <c r="K43" s="289"/>
      <c r="L43" s="94"/>
      <c r="M43" s="95"/>
    </row>
    <row r="44" spans="1:13" ht="20.25" thickTop="1" thickBot="1" x14ac:dyDescent="0.3">
      <c r="A44" s="1"/>
      <c r="B44" s="185"/>
      <c r="C44" s="92"/>
      <c r="D44" s="28" t="s">
        <v>25</v>
      </c>
      <c r="E44" s="51">
        <f>SUM(E41:E43)</f>
        <v>83293.609999999637</v>
      </c>
      <c r="F44" s="176"/>
      <c r="G44" s="176"/>
      <c r="H44" s="257" t="s">
        <v>331</v>
      </c>
      <c r="I44" s="258"/>
      <c r="J44" s="259">
        <f>SUM(J41:K43)</f>
        <v>75396.889999999636</v>
      </c>
      <c r="K44" s="260"/>
      <c r="L44" s="94"/>
      <c r="M44" s="95"/>
    </row>
    <row r="45" spans="1:13" ht="16.5" thickBot="1" x14ac:dyDescent="0.3">
      <c r="A45" s="1"/>
      <c r="B45" s="185"/>
      <c r="C45" s="11" t="s">
        <v>27</v>
      </c>
      <c r="D45" s="177"/>
      <c r="E45" s="100">
        <v>225178.55</v>
      </c>
      <c r="F45" s="176"/>
      <c r="G45" s="176"/>
      <c r="H45" s="71"/>
      <c r="I45" s="176"/>
      <c r="J45" s="281"/>
      <c r="K45" s="282"/>
      <c r="L45" s="94"/>
      <c r="M45" s="95"/>
    </row>
    <row r="46" spans="1:13" ht="19.5" thickBot="1" x14ac:dyDescent="0.3">
      <c r="A46" s="1"/>
      <c r="B46" s="186"/>
      <c r="C46" s="187"/>
      <c r="D46" s="187" t="s">
        <v>28</v>
      </c>
      <c r="E46" s="188">
        <f>E45+E44</f>
        <v>308472.15999999963</v>
      </c>
      <c r="F46" s="189"/>
      <c r="G46" s="189"/>
      <c r="H46" s="190"/>
      <c r="I46" s="191"/>
      <c r="J46" s="283"/>
      <c r="K46" s="284"/>
      <c r="L46" s="94"/>
      <c r="M46" s="95"/>
    </row>
  </sheetData>
  <mergeCells count="17">
    <mergeCell ref="B1:J1"/>
    <mergeCell ref="A3:A4"/>
    <mergeCell ref="D3:F3"/>
    <mergeCell ref="G3:H3"/>
    <mergeCell ref="D4:E4"/>
    <mergeCell ref="H4:K4"/>
    <mergeCell ref="C41:D41"/>
    <mergeCell ref="H42:I42"/>
    <mergeCell ref="J42:K42"/>
    <mergeCell ref="H43:I43"/>
    <mergeCell ref="J43:K43"/>
    <mergeCell ref="H44:I44"/>
    <mergeCell ref="J44:K44"/>
    <mergeCell ref="J45:K45"/>
    <mergeCell ref="J46:K46"/>
    <mergeCell ref="G40:H40"/>
    <mergeCell ref="J40:K40"/>
  </mergeCells>
  <pageMargins left="0.31496062992125984" right="0.11811023622047245" top="0.35433070866141736" bottom="0" header="0.31496062992125984" footer="0.31496062992125984"/>
  <pageSetup scale="75" orientation="landscape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8"/>
  <sheetViews>
    <sheetView topLeftCell="A10" workbookViewId="0">
      <selection activeCell="B30" sqref="B30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252</v>
      </c>
      <c r="I2" s="265"/>
      <c r="J2" s="266"/>
    </row>
    <row r="3" spans="1:10" x14ac:dyDescent="0.25">
      <c r="A3" s="124">
        <v>43405</v>
      </c>
      <c r="B3" s="125">
        <v>880</v>
      </c>
      <c r="C3" s="126">
        <v>7946.2</v>
      </c>
      <c r="D3" s="127"/>
      <c r="E3" s="126"/>
      <c r="F3" s="128">
        <f t="shared" ref="F3:F37" si="0">C3-E3</f>
        <v>7946.2</v>
      </c>
      <c r="H3" s="267"/>
      <c r="I3" s="268"/>
      <c r="J3" s="269"/>
    </row>
    <row r="4" spans="1:10" x14ac:dyDescent="0.25">
      <c r="A4" s="124">
        <v>43406</v>
      </c>
      <c r="B4" s="125">
        <v>884</v>
      </c>
      <c r="C4" s="126">
        <v>12107</v>
      </c>
      <c r="D4" s="127"/>
      <c r="E4" s="131"/>
      <c r="F4" s="132">
        <f t="shared" si="0"/>
        <v>12107</v>
      </c>
      <c r="H4" s="267"/>
      <c r="I4" s="268"/>
      <c r="J4" s="269"/>
    </row>
    <row r="5" spans="1:10" ht="15.75" thickBot="1" x14ac:dyDescent="0.3">
      <c r="A5" s="129">
        <v>43408</v>
      </c>
      <c r="B5" s="130">
        <v>892</v>
      </c>
      <c r="C5" s="131">
        <v>0</v>
      </c>
      <c r="D5" s="231" t="s">
        <v>320</v>
      </c>
      <c r="E5" s="131"/>
      <c r="F5" s="132">
        <f t="shared" si="0"/>
        <v>0</v>
      </c>
      <c r="H5" s="270"/>
      <c r="I5" s="271"/>
      <c r="J5" s="272"/>
    </row>
    <row r="6" spans="1:10" x14ac:dyDescent="0.25">
      <c r="A6" s="129">
        <v>43408</v>
      </c>
      <c r="B6" s="130">
        <v>893</v>
      </c>
      <c r="C6" s="131">
        <v>114173.8</v>
      </c>
      <c r="D6" s="127"/>
      <c r="E6" s="131"/>
      <c r="F6" s="133">
        <f t="shared" si="0"/>
        <v>114173.8</v>
      </c>
    </row>
    <row r="7" spans="1:10" x14ac:dyDescent="0.25">
      <c r="A7" s="129">
        <v>43409</v>
      </c>
      <c r="B7" s="130">
        <v>899</v>
      </c>
      <c r="C7" s="131">
        <v>45860.32</v>
      </c>
      <c r="D7" s="127"/>
      <c r="E7" s="131"/>
      <c r="F7" s="133">
        <f t="shared" si="0"/>
        <v>45860.32</v>
      </c>
    </row>
    <row r="8" spans="1:10" x14ac:dyDescent="0.25">
      <c r="A8" s="129">
        <v>43412</v>
      </c>
      <c r="B8" s="130">
        <v>918</v>
      </c>
      <c r="C8" s="131">
        <v>135464.79999999999</v>
      </c>
      <c r="D8" s="127"/>
      <c r="E8" s="131"/>
      <c r="F8" s="133">
        <f t="shared" si="0"/>
        <v>135464.79999999999</v>
      </c>
    </row>
    <row r="9" spans="1:10" x14ac:dyDescent="0.25">
      <c r="A9" s="129">
        <v>43412</v>
      </c>
      <c r="B9" s="130">
        <v>922</v>
      </c>
      <c r="C9" s="131">
        <v>29817</v>
      </c>
      <c r="D9" s="127"/>
      <c r="E9" s="131"/>
      <c r="F9" s="133">
        <f t="shared" si="0"/>
        <v>29817</v>
      </c>
    </row>
    <row r="10" spans="1:10" x14ac:dyDescent="0.25">
      <c r="A10" s="129">
        <v>43413</v>
      </c>
      <c r="B10" s="130">
        <v>925</v>
      </c>
      <c r="C10" s="131">
        <v>96678.88</v>
      </c>
      <c r="D10" s="127"/>
      <c r="E10" s="131"/>
      <c r="F10" s="133">
        <f t="shared" si="0"/>
        <v>96678.88</v>
      </c>
    </row>
    <row r="11" spans="1:10" x14ac:dyDescent="0.25">
      <c r="A11" s="129">
        <v>43414</v>
      </c>
      <c r="B11" s="192">
        <v>927</v>
      </c>
      <c r="C11" s="131">
        <v>3150</v>
      </c>
      <c r="D11" s="127"/>
      <c r="E11" s="131"/>
      <c r="F11" s="133">
        <f t="shared" si="0"/>
        <v>3150</v>
      </c>
    </row>
    <row r="12" spans="1:10" x14ac:dyDescent="0.25">
      <c r="A12" s="129">
        <v>43415</v>
      </c>
      <c r="B12" s="130">
        <v>933</v>
      </c>
      <c r="C12" s="131">
        <v>117319</v>
      </c>
      <c r="D12" s="127"/>
      <c r="E12" s="131"/>
      <c r="F12" s="133">
        <f t="shared" si="0"/>
        <v>117319</v>
      </c>
    </row>
    <row r="13" spans="1:10" x14ac:dyDescent="0.25">
      <c r="A13" s="134">
        <v>43417</v>
      </c>
      <c r="B13" s="135">
        <v>947</v>
      </c>
      <c r="C13" s="131">
        <v>113586.46</v>
      </c>
      <c r="D13" s="127"/>
      <c r="E13" s="131"/>
      <c r="F13" s="133">
        <f t="shared" si="0"/>
        <v>113586.46</v>
      </c>
    </row>
    <row r="14" spans="1:10" x14ac:dyDescent="0.25">
      <c r="A14" s="134">
        <v>43418</v>
      </c>
      <c r="B14" s="135">
        <v>948</v>
      </c>
      <c r="C14" s="131">
        <v>1625</v>
      </c>
      <c r="D14" s="127"/>
      <c r="E14" s="131"/>
      <c r="F14" s="133">
        <f t="shared" si="0"/>
        <v>1625</v>
      </c>
    </row>
    <row r="15" spans="1:10" x14ac:dyDescent="0.25">
      <c r="A15" s="134">
        <v>43419</v>
      </c>
      <c r="B15" s="135">
        <v>950</v>
      </c>
      <c r="C15" s="131">
        <v>70323</v>
      </c>
      <c r="D15" s="127"/>
      <c r="E15" s="131"/>
      <c r="F15" s="133">
        <f t="shared" si="0"/>
        <v>70323</v>
      </c>
    </row>
    <row r="16" spans="1:10" x14ac:dyDescent="0.25">
      <c r="A16" s="134">
        <v>43419</v>
      </c>
      <c r="B16" s="135">
        <v>956</v>
      </c>
      <c r="C16" s="131">
        <v>112037.38</v>
      </c>
      <c r="D16" s="127"/>
      <c r="E16" s="131"/>
      <c r="F16" s="133">
        <f t="shared" si="0"/>
        <v>112037.38</v>
      </c>
    </row>
    <row r="17" spans="1:6" x14ac:dyDescent="0.25">
      <c r="A17" s="134">
        <v>43420</v>
      </c>
      <c r="B17" s="135">
        <v>959</v>
      </c>
      <c r="C17" s="131">
        <v>4632</v>
      </c>
      <c r="D17" s="127"/>
      <c r="E17" s="131"/>
      <c r="F17" s="133">
        <f t="shared" si="0"/>
        <v>4632</v>
      </c>
    </row>
    <row r="18" spans="1:6" x14ac:dyDescent="0.25">
      <c r="A18" s="134">
        <v>43421</v>
      </c>
      <c r="B18" s="135">
        <v>968</v>
      </c>
      <c r="C18" s="131">
        <v>74709.78</v>
      </c>
      <c r="D18" s="127"/>
      <c r="E18" s="131"/>
      <c r="F18" s="133">
        <f t="shared" si="0"/>
        <v>74709.78</v>
      </c>
    </row>
    <row r="19" spans="1:6" x14ac:dyDescent="0.25">
      <c r="A19" s="134">
        <v>43423</v>
      </c>
      <c r="B19" s="135">
        <v>978</v>
      </c>
      <c r="C19" s="131">
        <v>70318</v>
      </c>
      <c r="D19" s="127"/>
      <c r="E19" s="131"/>
      <c r="F19" s="133">
        <f t="shared" si="0"/>
        <v>70318</v>
      </c>
    </row>
    <row r="20" spans="1:6" x14ac:dyDescent="0.25">
      <c r="A20" s="134">
        <v>43425</v>
      </c>
      <c r="B20" s="135">
        <v>983</v>
      </c>
      <c r="C20" s="131">
        <v>71897.86</v>
      </c>
      <c r="D20" s="127"/>
      <c r="E20" s="131"/>
      <c r="F20" s="133">
        <f t="shared" si="0"/>
        <v>71897.86</v>
      </c>
    </row>
    <row r="21" spans="1:6" x14ac:dyDescent="0.25">
      <c r="A21" s="134">
        <v>43425</v>
      </c>
      <c r="B21" s="135">
        <v>987</v>
      </c>
      <c r="C21" s="131">
        <v>33050.519999999997</v>
      </c>
      <c r="D21" s="127"/>
      <c r="E21" s="131"/>
      <c r="F21" s="133">
        <f t="shared" si="0"/>
        <v>33050.519999999997</v>
      </c>
    </row>
    <row r="22" spans="1:6" x14ac:dyDescent="0.25">
      <c r="A22" s="134">
        <v>43426</v>
      </c>
      <c r="B22" s="135">
        <v>990</v>
      </c>
      <c r="C22" s="131">
        <v>85184.58</v>
      </c>
      <c r="D22" s="127"/>
      <c r="E22" s="131"/>
      <c r="F22" s="133">
        <f t="shared" si="0"/>
        <v>85184.58</v>
      </c>
    </row>
    <row r="23" spans="1:6" x14ac:dyDescent="0.25">
      <c r="A23" s="134">
        <v>43427</v>
      </c>
      <c r="B23" s="135">
        <v>998</v>
      </c>
      <c r="C23" s="131">
        <v>45238.6</v>
      </c>
      <c r="D23" s="127"/>
      <c r="E23" s="131"/>
      <c r="F23" s="133">
        <f t="shared" si="0"/>
        <v>45238.6</v>
      </c>
    </row>
    <row r="24" spans="1:6" x14ac:dyDescent="0.25">
      <c r="A24" s="134">
        <v>43427</v>
      </c>
      <c r="B24" s="135">
        <v>999</v>
      </c>
      <c r="C24" s="131">
        <v>63896.4</v>
      </c>
      <c r="D24" s="127"/>
      <c r="E24" s="131"/>
      <c r="F24" s="133">
        <f t="shared" si="0"/>
        <v>63896.4</v>
      </c>
    </row>
    <row r="25" spans="1:6" x14ac:dyDescent="0.25">
      <c r="A25" s="134">
        <v>43428</v>
      </c>
      <c r="B25" s="135" t="s">
        <v>321</v>
      </c>
      <c r="C25" s="131">
        <v>33984</v>
      </c>
      <c r="D25" s="127"/>
      <c r="E25" s="131"/>
      <c r="F25" s="133">
        <f t="shared" si="0"/>
        <v>33984</v>
      </c>
    </row>
    <row r="26" spans="1:6" x14ac:dyDescent="0.25">
      <c r="A26" s="134">
        <v>43429</v>
      </c>
      <c r="B26" s="135" t="s">
        <v>322</v>
      </c>
      <c r="C26" s="131">
        <v>4800</v>
      </c>
      <c r="D26" s="127"/>
      <c r="E26" s="131"/>
      <c r="F26" s="133">
        <f t="shared" si="0"/>
        <v>4800</v>
      </c>
    </row>
    <row r="27" spans="1:6" x14ac:dyDescent="0.25">
      <c r="A27" s="134">
        <v>43430</v>
      </c>
      <c r="B27" s="135" t="s">
        <v>323</v>
      </c>
      <c r="C27" s="131">
        <v>74756.800000000003</v>
      </c>
      <c r="D27" s="127"/>
      <c r="E27" s="131"/>
      <c r="F27" s="133">
        <f t="shared" si="0"/>
        <v>74756.800000000003</v>
      </c>
    </row>
    <row r="28" spans="1:6" x14ac:dyDescent="0.25">
      <c r="A28" s="134">
        <v>43432</v>
      </c>
      <c r="B28" s="135" t="s">
        <v>324</v>
      </c>
      <c r="C28" s="131">
        <v>154116</v>
      </c>
      <c r="D28" s="127"/>
      <c r="E28" s="131"/>
      <c r="F28" s="133">
        <f t="shared" si="0"/>
        <v>154116</v>
      </c>
    </row>
    <row r="29" spans="1:6" x14ac:dyDescent="0.25">
      <c r="A29" s="134">
        <v>43433</v>
      </c>
      <c r="B29" s="135" t="s">
        <v>325</v>
      </c>
      <c r="C29" s="131">
        <v>17681</v>
      </c>
      <c r="D29" s="127"/>
      <c r="E29" s="131"/>
      <c r="F29" s="133">
        <f t="shared" si="0"/>
        <v>17681</v>
      </c>
    </row>
    <row r="30" spans="1:6" x14ac:dyDescent="0.25">
      <c r="A30" s="134">
        <v>43434</v>
      </c>
      <c r="B30" s="135" t="s">
        <v>326</v>
      </c>
      <c r="C30" s="131">
        <v>107415.64</v>
      </c>
      <c r="D30" s="127"/>
      <c r="E30" s="131"/>
      <c r="F30" s="133">
        <f t="shared" si="0"/>
        <v>107415.64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x14ac:dyDescent="0.25">
      <c r="A33" s="134"/>
      <c r="B33" s="135"/>
      <c r="C33" s="131"/>
      <c r="D33" s="127"/>
      <c r="E33" s="131"/>
      <c r="F33" s="133">
        <f t="shared" si="0"/>
        <v>0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30609.5</v>
      </c>
      <c r="F37" s="145">
        <f t="shared" si="0"/>
        <v>-30609.5</v>
      </c>
    </row>
    <row r="38" spans="1:6" s="151" customFormat="1" ht="19.5" thickBot="1" x14ac:dyDescent="0.35">
      <c r="A38" s="149"/>
      <c r="B38" s="150"/>
      <c r="C38" s="146">
        <f>SUM(C3:C37)</f>
        <v>1701770.02</v>
      </c>
      <c r="D38" s="146"/>
      <c r="E38" s="152">
        <f>SUM(E3:E37)</f>
        <v>30609.5</v>
      </c>
      <c r="F38" s="152">
        <f>SUM(F3:F37)</f>
        <v>1671160.52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M50"/>
  <sheetViews>
    <sheetView tabSelected="1" topLeftCell="C13" workbookViewId="0">
      <selection activeCell="M31" sqref="M3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5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9.5703125" style="15" customWidth="1"/>
  </cols>
  <sheetData>
    <row r="1" spans="1:13" ht="23.25" x14ac:dyDescent="0.35">
      <c r="A1" s="1"/>
      <c r="B1" s="235" t="s">
        <v>332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3" ht="15.75" thickBot="1" x14ac:dyDescent="0.3">
      <c r="A2" s="1"/>
      <c r="B2" s="5"/>
      <c r="D2" s="233"/>
      <c r="E2" s="8"/>
      <c r="L2" s="9"/>
      <c r="M2" s="4"/>
    </row>
    <row r="3" spans="1:13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3" ht="20.25" thickTop="1" thickBot="1" x14ac:dyDescent="0.35">
      <c r="A4" s="237"/>
      <c r="B4" s="12">
        <v>225178.55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</row>
    <row r="5" spans="1:13" ht="17.25" thickTop="1" thickBot="1" x14ac:dyDescent="0.3">
      <c r="A5" s="16"/>
      <c r="B5" s="17">
        <v>0</v>
      </c>
      <c r="C5" s="18"/>
      <c r="D5" s="107">
        <v>43435</v>
      </c>
      <c r="E5" s="157">
        <v>47476.89</v>
      </c>
      <c r="F5" s="158"/>
      <c r="G5" s="159">
        <v>43435</v>
      </c>
      <c r="H5" s="160">
        <v>40</v>
      </c>
      <c r="I5" s="20"/>
      <c r="J5" s="21"/>
      <c r="K5" s="21"/>
      <c r="L5" s="22">
        <f>44288.5+25000</f>
        <v>69288.5</v>
      </c>
      <c r="M5" s="103"/>
    </row>
    <row r="6" spans="1:13" ht="16.5" thickBot="1" x14ac:dyDescent="0.3">
      <c r="A6" s="23"/>
      <c r="B6" s="17">
        <v>0</v>
      </c>
      <c r="C6" s="18"/>
      <c r="D6" s="107">
        <v>43436</v>
      </c>
      <c r="E6" s="157">
        <v>74308.649999999994</v>
      </c>
      <c r="F6" s="25"/>
      <c r="G6" s="159">
        <v>43436</v>
      </c>
      <c r="H6" s="26">
        <v>0</v>
      </c>
      <c r="I6" s="27"/>
      <c r="J6" s="28" t="s">
        <v>8</v>
      </c>
      <c r="K6" s="29">
        <v>549</v>
      </c>
      <c r="L6" s="22">
        <v>82086</v>
      </c>
      <c r="M6" s="103"/>
    </row>
    <row r="7" spans="1:13" ht="16.5" thickBot="1" x14ac:dyDescent="0.3">
      <c r="A7" s="23"/>
      <c r="B7" s="17">
        <v>0</v>
      </c>
      <c r="C7" s="18"/>
      <c r="D7" s="107">
        <v>43437</v>
      </c>
      <c r="E7" s="157">
        <v>94377.45</v>
      </c>
      <c r="F7" s="19"/>
      <c r="G7" s="159">
        <v>43437</v>
      </c>
      <c r="H7" s="26">
        <v>0</v>
      </c>
      <c r="I7" s="232">
        <v>43819</v>
      </c>
      <c r="J7" s="30" t="s">
        <v>9</v>
      </c>
      <c r="K7" s="31">
        <v>8629.5</v>
      </c>
      <c r="L7" s="22">
        <v>94377.5</v>
      </c>
      <c r="M7" s="33"/>
    </row>
    <row r="8" spans="1:13" ht="16.5" thickBot="1" x14ac:dyDescent="0.3">
      <c r="A8" s="23"/>
      <c r="B8" s="17">
        <v>0</v>
      </c>
      <c r="C8" s="34"/>
      <c r="D8" s="107">
        <v>43438</v>
      </c>
      <c r="E8" s="157">
        <v>46156.480000000003</v>
      </c>
      <c r="F8" s="19"/>
      <c r="G8" s="159">
        <v>43438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45286.5</v>
      </c>
      <c r="M8" s="33"/>
    </row>
    <row r="9" spans="1:13" ht="16.5" thickBot="1" x14ac:dyDescent="0.3">
      <c r="A9" s="23"/>
      <c r="B9" s="17">
        <v>0</v>
      </c>
      <c r="C9" s="36"/>
      <c r="D9" s="107">
        <v>43439</v>
      </c>
      <c r="E9" s="157">
        <v>58170.16</v>
      </c>
      <c r="F9" s="19"/>
      <c r="G9" s="159">
        <v>43439</v>
      </c>
      <c r="H9" s="26">
        <v>0</v>
      </c>
      <c r="I9" s="210" t="s">
        <v>373</v>
      </c>
      <c r="J9" s="28" t="s">
        <v>333</v>
      </c>
      <c r="K9" s="38">
        <v>10292.94</v>
      </c>
      <c r="L9" s="22">
        <f>25000+33170</f>
        <v>58170</v>
      </c>
      <c r="M9" s="33"/>
    </row>
    <row r="10" spans="1:13" ht="16.5" thickBot="1" x14ac:dyDescent="0.3">
      <c r="A10" s="23"/>
      <c r="B10" s="17">
        <v>0</v>
      </c>
      <c r="C10" s="34"/>
      <c r="D10" s="107">
        <v>43440</v>
      </c>
      <c r="E10" s="157">
        <v>45096.47</v>
      </c>
      <c r="F10" s="19"/>
      <c r="G10" s="159">
        <v>43440</v>
      </c>
      <c r="H10" s="26">
        <v>0</v>
      </c>
      <c r="I10" s="209" t="s">
        <v>374</v>
      </c>
      <c r="J10" s="28" t="s">
        <v>334</v>
      </c>
      <c r="K10" s="38">
        <v>9150.08</v>
      </c>
      <c r="L10" s="22">
        <v>45096.5</v>
      </c>
      <c r="M10" s="230"/>
    </row>
    <row r="11" spans="1:13" ht="16.5" thickBot="1" x14ac:dyDescent="0.3">
      <c r="A11" s="23"/>
      <c r="B11" s="17">
        <v>0</v>
      </c>
      <c r="C11" s="34"/>
      <c r="D11" s="107">
        <v>43441</v>
      </c>
      <c r="E11" s="157">
        <v>71304.100000000006</v>
      </c>
      <c r="F11" s="19"/>
      <c r="G11" s="159">
        <v>43441</v>
      </c>
      <c r="H11" s="26">
        <v>0</v>
      </c>
      <c r="I11" s="37" t="s">
        <v>375</v>
      </c>
      <c r="J11" s="28" t="s">
        <v>335</v>
      </c>
      <c r="K11" s="38">
        <v>10035.790000000001</v>
      </c>
      <c r="L11" s="22">
        <f>51304+20000</f>
        <v>71304</v>
      </c>
      <c r="M11" s="33"/>
    </row>
    <row r="12" spans="1:13" ht="16.5" thickBot="1" x14ac:dyDescent="0.3">
      <c r="A12" s="23"/>
      <c r="B12" s="17">
        <v>0</v>
      </c>
      <c r="C12" s="34"/>
      <c r="D12" s="107">
        <v>43442</v>
      </c>
      <c r="E12" s="157">
        <v>76485.72</v>
      </c>
      <c r="F12" s="19"/>
      <c r="G12" s="159">
        <v>43442</v>
      </c>
      <c r="H12" s="26">
        <v>0</v>
      </c>
      <c r="I12" s="37" t="s">
        <v>376</v>
      </c>
      <c r="J12" s="28" t="s">
        <v>336</v>
      </c>
      <c r="K12" s="38">
        <v>10035.790000000001</v>
      </c>
      <c r="L12" s="22">
        <f>40000+36486</f>
        <v>76486</v>
      </c>
      <c r="M12" s="229"/>
    </row>
    <row r="13" spans="1:13" ht="16.5" thickBot="1" x14ac:dyDescent="0.3">
      <c r="A13" s="23"/>
      <c r="B13" s="17">
        <v>0</v>
      </c>
      <c r="C13" s="34"/>
      <c r="D13" s="107">
        <v>43443</v>
      </c>
      <c r="E13" s="157">
        <v>99718.84</v>
      </c>
      <c r="F13" s="19"/>
      <c r="G13" s="159">
        <v>43443</v>
      </c>
      <c r="H13" s="26">
        <v>0</v>
      </c>
      <c r="I13" s="37" t="s">
        <v>377</v>
      </c>
      <c r="J13" s="28" t="s">
        <v>378</v>
      </c>
      <c r="K13" s="29">
        <v>10292.94</v>
      </c>
      <c r="L13" s="22">
        <v>99719</v>
      </c>
      <c r="M13" s="33"/>
    </row>
    <row r="14" spans="1:13" ht="16.5" thickBot="1" x14ac:dyDescent="0.3">
      <c r="A14" s="23"/>
      <c r="B14" s="17">
        <v>0</v>
      </c>
      <c r="C14" s="36"/>
      <c r="D14" s="107">
        <v>43444</v>
      </c>
      <c r="E14" s="157">
        <v>79378.5</v>
      </c>
      <c r="F14" s="19"/>
      <c r="G14" s="159">
        <v>43444</v>
      </c>
      <c r="H14" s="26">
        <v>0</v>
      </c>
      <c r="I14" s="61"/>
      <c r="J14" s="40" t="s">
        <v>92</v>
      </c>
      <c r="K14" s="29">
        <v>0</v>
      </c>
      <c r="L14" s="22">
        <f>45000+34378.5</f>
        <v>79378.5</v>
      </c>
      <c r="M14" s="33"/>
    </row>
    <row r="15" spans="1:13" ht="16.5" thickBot="1" x14ac:dyDescent="0.3">
      <c r="A15" s="23"/>
      <c r="B15" s="17">
        <v>0</v>
      </c>
      <c r="C15" s="36"/>
      <c r="D15" s="107">
        <v>43445</v>
      </c>
      <c r="E15" s="157">
        <v>46366.47</v>
      </c>
      <c r="F15" s="19"/>
      <c r="G15" s="159">
        <v>43445</v>
      </c>
      <c r="H15" s="26">
        <v>665</v>
      </c>
      <c r="I15" s="27"/>
      <c r="J15" s="217"/>
      <c r="K15" s="29">
        <v>0</v>
      </c>
      <c r="L15" s="22">
        <v>45701</v>
      </c>
      <c r="M15" s="33"/>
    </row>
    <row r="16" spans="1:13" ht="16.5" thickBot="1" x14ac:dyDescent="0.3">
      <c r="A16" s="23"/>
      <c r="B16" s="17">
        <v>0</v>
      </c>
      <c r="C16" s="36"/>
      <c r="D16" s="107">
        <v>43446</v>
      </c>
      <c r="E16" s="157">
        <v>71185.55</v>
      </c>
      <c r="F16" s="19"/>
      <c r="G16" s="159">
        <v>43446</v>
      </c>
      <c r="H16" s="26">
        <v>0</v>
      </c>
      <c r="I16" s="27"/>
      <c r="J16" s="42"/>
      <c r="K16" s="43">
        <v>0</v>
      </c>
      <c r="L16" s="22">
        <v>71185.5</v>
      </c>
      <c r="M16" s="33"/>
    </row>
    <row r="17" spans="1:13" ht="16.5" thickBot="1" x14ac:dyDescent="0.3">
      <c r="A17" s="23"/>
      <c r="B17" s="17">
        <v>0</v>
      </c>
      <c r="C17" s="36"/>
      <c r="D17" s="107">
        <v>43447</v>
      </c>
      <c r="E17" s="157">
        <v>83776.399999999994</v>
      </c>
      <c r="F17" s="19"/>
      <c r="G17" s="159">
        <v>43447</v>
      </c>
      <c r="H17" s="26">
        <v>0</v>
      </c>
      <c r="I17" s="202"/>
      <c r="J17" s="203"/>
      <c r="K17" s="43">
        <v>0</v>
      </c>
      <c r="L17" s="22">
        <v>83776.5</v>
      </c>
      <c r="M17" s="33"/>
    </row>
    <row r="18" spans="1:13" ht="16.5" thickBot="1" x14ac:dyDescent="0.3">
      <c r="A18" s="23"/>
      <c r="B18" s="17">
        <v>0</v>
      </c>
      <c r="C18" s="34"/>
      <c r="D18" s="107">
        <v>43448</v>
      </c>
      <c r="E18" s="157">
        <v>75796.820000000007</v>
      </c>
      <c r="F18" s="19"/>
      <c r="G18" s="159">
        <v>43448</v>
      </c>
      <c r="H18" s="26">
        <v>40</v>
      </c>
      <c r="I18" s="202"/>
      <c r="J18" s="203"/>
      <c r="K18" s="45">
        <v>0</v>
      </c>
      <c r="L18" s="22">
        <v>75557</v>
      </c>
      <c r="M18" s="33"/>
    </row>
    <row r="19" spans="1:13" ht="16.5" thickBot="1" x14ac:dyDescent="0.3">
      <c r="A19" s="23"/>
      <c r="B19" s="17">
        <v>0</v>
      </c>
      <c r="C19" s="36"/>
      <c r="D19" s="107">
        <v>43449</v>
      </c>
      <c r="E19" s="157">
        <v>129594.36</v>
      </c>
      <c r="F19" s="19"/>
      <c r="G19" s="159">
        <v>43449</v>
      </c>
      <c r="H19" s="26">
        <v>36</v>
      </c>
      <c r="I19" s="27"/>
      <c r="J19" s="46" t="s">
        <v>12</v>
      </c>
      <c r="K19" s="45">
        <v>0</v>
      </c>
      <c r="L19" s="22">
        <f>60000+69558</f>
        <v>129558</v>
      </c>
      <c r="M19" s="47"/>
    </row>
    <row r="20" spans="1:13" ht="16.5" thickBot="1" x14ac:dyDescent="0.3">
      <c r="A20" s="23"/>
      <c r="B20" s="17">
        <v>0</v>
      </c>
      <c r="C20" s="48"/>
      <c r="D20" s="107">
        <v>43450</v>
      </c>
      <c r="E20" s="157">
        <v>113674.32</v>
      </c>
      <c r="F20" s="19"/>
      <c r="G20" s="159">
        <v>43450</v>
      </c>
      <c r="H20" s="26">
        <v>0</v>
      </c>
      <c r="I20" s="49"/>
      <c r="J20" s="50"/>
      <c r="K20" s="51" t="s">
        <v>151</v>
      </c>
      <c r="L20" s="22">
        <f>90000+23674.5</f>
        <v>113674.5</v>
      </c>
      <c r="M20" s="47"/>
    </row>
    <row r="21" spans="1:13" ht="16.5" thickBot="1" x14ac:dyDescent="0.3">
      <c r="A21" s="23"/>
      <c r="B21" s="17">
        <v>0</v>
      </c>
      <c r="C21" s="48"/>
      <c r="D21" s="107">
        <v>43451</v>
      </c>
      <c r="E21" s="157">
        <v>68371.009999999995</v>
      </c>
      <c r="F21" s="19"/>
      <c r="G21" s="159">
        <v>43451</v>
      </c>
      <c r="H21" s="26">
        <v>15</v>
      </c>
      <c r="I21" s="33"/>
      <c r="J21" s="52"/>
      <c r="K21" s="51"/>
      <c r="L21" s="22">
        <f>40000+28356</f>
        <v>68356</v>
      </c>
      <c r="M21" s="33"/>
    </row>
    <row r="22" spans="1:13" ht="16.5" thickBot="1" x14ac:dyDescent="0.3">
      <c r="A22" s="23"/>
      <c r="B22" s="17">
        <v>0</v>
      </c>
      <c r="C22" s="36"/>
      <c r="D22" s="107">
        <v>43452</v>
      </c>
      <c r="E22" s="157">
        <v>78605.38</v>
      </c>
      <c r="F22" s="19"/>
      <c r="G22" s="159">
        <v>43452</v>
      </c>
      <c r="H22" s="26">
        <v>0</v>
      </c>
      <c r="I22" s="49" t="s">
        <v>23</v>
      </c>
      <c r="J22" s="53"/>
      <c r="K22" s="51">
        <v>0</v>
      </c>
      <c r="L22" s="22">
        <v>78605</v>
      </c>
      <c r="M22" s="47"/>
    </row>
    <row r="23" spans="1:13" ht="16.5" thickBot="1" x14ac:dyDescent="0.3">
      <c r="A23" s="23"/>
      <c r="B23" s="17">
        <v>0</v>
      </c>
      <c r="C23" s="36"/>
      <c r="D23" s="107">
        <v>43453</v>
      </c>
      <c r="E23" s="157">
        <v>98437.05</v>
      </c>
      <c r="F23" s="19"/>
      <c r="G23" s="159">
        <v>43453</v>
      </c>
      <c r="H23" s="26">
        <v>0</v>
      </c>
      <c r="I23" s="27"/>
      <c r="J23" s="52"/>
      <c r="K23" s="51">
        <v>0</v>
      </c>
      <c r="L23" s="22">
        <f>55000+43437</f>
        <v>98437</v>
      </c>
      <c r="M23" s="33"/>
    </row>
    <row r="24" spans="1:13" ht="16.5" thickBot="1" x14ac:dyDescent="0.3">
      <c r="A24" s="23"/>
      <c r="B24" s="17">
        <v>0</v>
      </c>
      <c r="C24" s="36"/>
      <c r="D24" s="107">
        <v>43454</v>
      </c>
      <c r="E24" s="157">
        <v>67692.19</v>
      </c>
      <c r="F24" s="19"/>
      <c r="G24" s="159">
        <v>43454</v>
      </c>
      <c r="H24" s="26">
        <v>0</v>
      </c>
      <c r="I24" s="27"/>
      <c r="J24" s="54" t="s">
        <v>15</v>
      </c>
      <c r="K24" s="51">
        <v>870</v>
      </c>
      <c r="L24" s="22">
        <v>67692</v>
      </c>
      <c r="M24" s="33"/>
    </row>
    <row r="25" spans="1:13" ht="16.5" thickBot="1" x14ac:dyDescent="0.3">
      <c r="A25" s="23"/>
      <c r="B25" s="17">
        <v>0</v>
      </c>
      <c r="C25" s="48"/>
      <c r="D25" s="107">
        <v>43455</v>
      </c>
      <c r="E25" s="157">
        <v>121646.59</v>
      </c>
      <c r="F25" s="19"/>
      <c r="G25" s="159">
        <v>43455</v>
      </c>
      <c r="H25" s="26">
        <v>0</v>
      </c>
      <c r="I25" s="27"/>
      <c r="J25" s="55">
        <v>43438</v>
      </c>
      <c r="K25" s="51"/>
      <c r="L25" s="22">
        <v>120660.5</v>
      </c>
      <c r="M25" s="33"/>
    </row>
    <row r="26" spans="1:13" ht="16.5" thickBot="1" x14ac:dyDescent="0.3">
      <c r="A26" s="23"/>
      <c r="B26" s="17">
        <v>0</v>
      </c>
      <c r="C26" s="36"/>
      <c r="D26" s="107">
        <v>43456</v>
      </c>
      <c r="E26" s="157">
        <v>160524.70000000001</v>
      </c>
      <c r="F26" s="19"/>
      <c r="G26" s="159">
        <v>43456</v>
      </c>
      <c r="H26" s="26">
        <v>0</v>
      </c>
      <c r="I26" s="27"/>
      <c r="J26" s="56" t="s">
        <v>16</v>
      </c>
      <c r="K26" s="27">
        <v>0</v>
      </c>
      <c r="L26" s="22">
        <f>80000+10525+40000+25000+5000</f>
        <v>160525</v>
      </c>
      <c r="M26" s="33"/>
    </row>
    <row r="27" spans="1:13" ht="16.5" thickBot="1" x14ac:dyDescent="0.3">
      <c r="A27" s="23"/>
      <c r="B27" s="17">
        <v>0</v>
      </c>
      <c r="C27" s="36"/>
      <c r="D27" s="107">
        <v>43457</v>
      </c>
      <c r="E27" s="157">
        <v>183560.83</v>
      </c>
      <c r="F27" s="19"/>
      <c r="G27" s="159">
        <v>43457</v>
      </c>
      <c r="H27" s="26">
        <v>0</v>
      </c>
      <c r="I27" s="27"/>
      <c r="J27" s="116"/>
      <c r="K27" s="27">
        <v>0</v>
      </c>
      <c r="L27" s="22">
        <f>30000+35000+30000+25000+25000+20000+18561</f>
        <v>183561</v>
      </c>
      <c r="M27" s="33"/>
    </row>
    <row r="28" spans="1:13" ht="16.5" thickBot="1" x14ac:dyDescent="0.3">
      <c r="A28" s="23"/>
      <c r="B28" s="17">
        <v>0</v>
      </c>
      <c r="C28" s="36"/>
      <c r="D28" s="107">
        <v>43458</v>
      </c>
      <c r="E28" s="157">
        <v>134684.25</v>
      </c>
      <c r="F28" s="19"/>
      <c r="G28" s="159">
        <v>43458</v>
      </c>
      <c r="H28" s="26">
        <v>0</v>
      </c>
      <c r="I28" s="27"/>
      <c r="J28" s="57" t="s">
        <v>267</v>
      </c>
      <c r="K28" s="51">
        <v>0</v>
      </c>
      <c r="L28" s="22">
        <f>30000+30000+35000+20000+19684</f>
        <v>134684</v>
      </c>
      <c r="M28" s="33"/>
    </row>
    <row r="29" spans="1:13" ht="16.5" thickBot="1" x14ac:dyDescent="0.3">
      <c r="A29" s="23"/>
      <c r="B29" s="17">
        <v>0</v>
      </c>
      <c r="C29" s="36"/>
      <c r="D29" s="107">
        <v>43459</v>
      </c>
      <c r="E29" s="157">
        <v>80556.259999999995</v>
      </c>
      <c r="F29" s="19"/>
      <c r="G29" s="159">
        <v>43459</v>
      </c>
      <c r="H29" s="26">
        <v>0</v>
      </c>
      <c r="I29" s="27" t="s">
        <v>23</v>
      </c>
      <c r="J29" s="55"/>
      <c r="K29" s="51">
        <v>0</v>
      </c>
      <c r="L29" s="22">
        <f>20000+20000+30000+10556</f>
        <v>80556</v>
      </c>
      <c r="M29" s="33"/>
    </row>
    <row r="30" spans="1:13" ht="16.5" thickBot="1" x14ac:dyDescent="0.3">
      <c r="A30" s="23"/>
      <c r="B30" s="17">
        <v>0</v>
      </c>
      <c r="C30" s="48"/>
      <c r="D30" s="107">
        <v>43460</v>
      </c>
      <c r="E30" s="157">
        <v>71999.28</v>
      </c>
      <c r="F30" s="19"/>
      <c r="G30" s="159">
        <v>43460</v>
      </c>
      <c r="H30" s="26">
        <v>0</v>
      </c>
      <c r="I30" s="27"/>
      <c r="J30" s="60" t="s">
        <v>18</v>
      </c>
      <c r="K30" s="51">
        <v>0</v>
      </c>
      <c r="L30" s="22">
        <v>72000</v>
      </c>
      <c r="M30" s="33"/>
    </row>
    <row r="31" spans="1:13" ht="16.5" thickBot="1" x14ac:dyDescent="0.3">
      <c r="A31" s="23"/>
      <c r="B31" s="17">
        <v>0</v>
      </c>
      <c r="C31" s="48"/>
      <c r="D31" s="107">
        <v>43461</v>
      </c>
      <c r="E31" s="157">
        <v>91381.88</v>
      </c>
      <c r="F31" s="19"/>
      <c r="G31" s="159">
        <v>43461</v>
      </c>
      <c r="H31" s="26">
        <v>30</v>
      </c>
      <c r="I31" s="61"/>
      <c r="J31" s="62"/>
      <c r="K31" s="51">
        <v>0</v>
      </c>
      <c r="L31" s="22">
        <f>20000+50000+21352</f>
        <v>91352</v>
      </c>
      <c r="M31" s="33"/>
    </row>
    <row r="32" spans="1:13" ht="16.5" thickBot="1" x14ac:dyDescent="0.3">
      <c r="A32" s="23"/>
      <c r="B32" s="17">
        <v>0</v>
      </c>
      <c r="C32" s="34"/>
      <c r="D32" s="107">
        <v>43462</v>
      </c>
      <c r="E32" s="157">
        <v>91381.88</v>
      </c>
      <c r="F32" s="19"/>
      <c r="G32" s="159">
        <v>43462</v>
      </c>
      <c r="H32" s="26">
        <v>30</v>
      </c>
      <c r="I32" s="61"/>
      <c r="J32" s="60"/>
      <c r="K32" s="29">
        <v>0</v>
      </c>
      <c r="L32" s="22">
        <f>20000+50000+21352</f>
        <v>91352</v>
      </c>
      <c r="M32" s="33"/>
    </row>
    <row r="33" spans="1:13" ht="16.5" thickBot="1" x14ac:dyDescent="0.3">
      <c r="A33" s="23"/>
      <c r="B33" s="17">
        <v>0</v>
      </c>
      <c r="C33" s="34"/>
      <c r="D33" s="107">
        <v>43463</v>
      </c>
      <c r="E33" s="157">
        <v>121560.62</v>
      </c>
      <c r="F33" s="19"/>
      <c r="G33" s="159">
        <v>43463</v>
      </c>
      <c r="H33" s="26">
        <v>36</v>
      </c>
      <c r="I33" s="27"/>
      <c r="J33" s="63"/>
      <c r="K33" s="38"/>
      <c r="L33" s="22">
        <f>120525+1000</f>
        <v>121525</v>
      </c>
      <c r="M33" s="33"/>
    </row>
    <row r="34" spans="1:13" ht="16.5" thickBot="1" x14ac:dyDescent="0.3">
      <c r="A34" s="23"/>
      <c r="B34" s="17">
        <v>0</v>
      </c>
      <c r="C34" s="48"/>
      <c r="D34" s="107">
        <v>43464</v>
      </c>
      <c r="E34" s="157">
        <v>155572.07</v>
      </c>
      <c r="F34" s="19"/>
      <c r="G34" s="159">
        <v>43464</v>
      </c>
      <c r="H34" s="26">
        <v>0</v>
      </c>
      <c r="I34" s="27"/>
      <c r="J34" s="63"/>
      <c r="K34" s="38"/>
      <c r="L34" s="22">
        <f>20572+135000</f>
        <v>155572</v>
      </c>
      <c r="M34" s="33"/>
    </row>
    <row r="35" spans="1:13" ht="16.5" thickBot="1" x14ac:dyDescent="0.3">
      <c r="A35" s="23"/>
      <c r="B35" s="17">
        <v>0</v>
      </c>
      <c r="C35" s="18"/>
      <c r="D35" s="107">
        <v>43465</v>
      </c>
      <c r="E35" s="157">
        <v>145661.51</v>
      </c>
      <c r="F35" s="19"/>
      <c r="G35" s="211">
        <v>43465</v>
      </c>
      <c r="H35" s="26">
        <v>0</v>
      </c>
      <c r="I35" s="27"/>
      <c r="J35" s="60"/>
      <c r="K35" s="29"/>
      <c r="L35" s="22">
        <f>95661.5+50000</f>
        <v>145661.5</v>
      </c>
      <c r="M35" s="33"/>
    </row>
    <row r="36" spans="1:13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2911184</v>
      </c>
      <c r="M36" s="74"/>
    </row>
    <row r="37" spans="1:13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</row>
    <row r="38" spans="1:13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2884502.6799999997</v>
      </c>
      <c r="G38" s="233" t="s">
        <v>19</v>
      </c>
      <c r="H38" s="88">
        <f>SUM(H5:H37)</f>
        <v>892</v>
      </c>
      <c r="I38" s="88"/>
      <c r="J38" s="89" t="s">
        <v>19</v>
      </c>
      <c r="K38" s="90">
        <f t="shared" ref="K38" si="0">SUM(K5:K37)</f>
        <v>88606.040000000008</v>
      </c>
      <c r="L38" s="9"/>
      <c r="M38" s="4"/>
    </row>
    <row r="39" spans="1:13" x14ac:dyDescent="0.25">
      <c r="A39" s="1"/>
      <c r="B39" s="5"/>
      <c r="E39" s="5"/>
      <c r="I39" s="5"/>
      <c r="L39" s="9"/>
      <c r="M39" s="4"/>
    </row>
    <row r="40" spans="1:13" ht="16.5" thickBot="1" x14ac:dyDescent="0.3">
      <c r="A40" s="1"/>
      <c r="B40" s="91">
        <v>0</v>
      </c>
      <c r="C40" s="92"/>
      <c r="D40" s="28"/>
      <c r="E40" s="71"/>
      <c r="G40" s="275" t="s">
        <v>20</v>
      </c>
      <c r="H40" s="276"/>
      <c r="I40" s="234"/>
      <c r="J40" s="277">
        <f>H38+K38</f>
        <v>89498.040000000008</v>
      </c>
      <c r="K40" s="278"/>
      <c r="L40" s="94"/>
      <c r="M40" s="95"/>
    </row>
    <row r="41" spans="1:13" ht="15.75" x14ac:dyDescent="0.25">
      <c r="A41" s="1"/>
      <c r="B41" s="179"/>
      <c r="C41" s="279" t="s">
        <v>21</v>
      </c>
      <c r="D41" s="279"/>
      <c r="E41" s="180">
        <f>E38-J40</f>
        <v>2795004.6399999997</v>
      </c>
      <c r="F41" s="181"/>
      <c r="G41" s="181"/>
      <c r="H41" s="182"/>
      <c r="I41" s="182"/>
      <c r="J41" s="183"/>
      <c r="K41" s="184"/>
      <c r="L41" s="94"/>
      <c r="M41" s="95"/>
    </row>
    <row r="42" spans="1:13" x14ac:dyDescent="0.25">
      <c r="A42" s="1"/>
      <c r="B42" s="185"/>
      <c r="C42" s="92"/>
      <c r="D42" s="28" t="s">
        <v>22</v>
      </c>
      <c r="E42" s="51">
        <v>16665.8</v>
      </c>
      <c r="F42" s="176"/>
      <c r="G42" s="176"/>
      <c r="H42" s="280" t="s">
        <v>26</v>
      </c>
      <c r="I42" s="280"/>
      <c r="J42" s="280">
        <f>E46</f>
        <v>214884.23999999964</v>
      </c>
      <c r="K42" s="287"/>
      <c r="L42" s="94"/>
      <c r="M42" s="95"/>
    </row>
    <row r="43" spans="1:13" ht="15.75" thickBot="1" x14ac:dyDescent="0.3">
      <c r="A43" s="1"/>
      <c r="B43" s="185" t="s">
        <v>23</v>
      </c>
      <c r="C43" s="92" t="s">
        <v>24</v>
      </c>
      <c r="D43" s="28"/>
      <c r="E43" s="97">
        <v>-2823962.34</v>
      </c>
      <c r="F43" s="176"/>
      <c r="G43" s="176"/>
      <c r="H43" s="254" t="s">
        <v>1</v>
      </c>
      <c r="I43" s="254"/>
      <c r="J43" s="288">
        <f>-B4</f>
        <v>-225178.55</v>
      </c>
      <c r="K43" s="289"/>
      <c r="L43" s="94"/>
      <c r="M43" s="95"/>
    </row>
    <row r="44" spans="1:13" ht="20.25" thickTop="1" thickBot="1" x14ac:dyDescent="0.3">
      <c r="A44" s="1"/>
      <c r="B44" s="185"/>
      <c r="C44" s="92"/>
      <c r="D44" s="28" t="s">
        <v>25</v>
      </c>
      <c r="E44" s="51">
        <f>SUM(E41:E43)</f>
        <v>-12291.900000000373</v>
      </c>
      <c r="F44" s="176"/>
      <c r="G44" s="176"/>
      <c r="H44" s="257" t="s">
        <v>259</v>
      </c>
      <c r="I44" s="258"/>
      <c r="J44" s="259">
        <f>SUM(J41:K43)</f>
        <v>-10294.310000000347</v>
      </c>
      <c r="K44" s="260"/>
      <c r="L44" s="94"/>
      <c r="M44" s="95"/>
    </row>
    <row r="45" spans="1:13" ht="16.5" thickBot="1" x14ac:dyDescent="0.3">
      <c r="A45" s="1"/>
      <c r="B45" s="185"/>
      <c r="C45" s="11" t="s">
        <v>27</v>
      </c>
      <c r="D45" s="177"/>
      <c r="E45" s="100">
        <v>227176.14</v>
      </c>
      <c r="F45" s="176"/>
      <c r="G45" s="176"/>
      <c r="H45" s="71"/>
      <c r="I45" s="176"/>
      <c r="J45" s="281"/>
      <c r="K45" s="282"/>
      <c r="L45" s="94"/>
      <c r="M45" s="95"/>
    </row>
    <row r="46" spans="1:13" ht="19.5" thickBot="1" x14ac:dyDescent="0.3">
      <c r="A46" s="1"/>
      <c r="B46" s="186"/>
      <c r="C46" s="187"/>
      <c r="D46" s="187" t="s">
        <v>28</v>
      </c>
      <c r="E46" s="188">
        <f>E45+E44</f>
        <v>214884.23999999964</v>
      </c>
      <c r="F46" s="189"/>
      <c r="G46" s="189"/>
      <c r="H46" s="190"/>
      <c r="I46" s="191"/>
      <c r="J46" s="283"/>
      <c r="K46" s="284"/>
      <c r="L46" s="94"/>
      <c r="M46" s="95"/>
    </row>
    <row r="50" spans="4:4" x14ac:dyDescent="0.25">
      <c r="D50" s="2" t="s">
        <v>23</v>
      </c>
    </row>
  </sheetData>
  <mergeCells count="17">
    <mergeCell ref="B1:J1"/>
    <mergeCell ref="A3:A4"/>
    <mergeCell ref="D3:F3"/>
    <mergeCell ref="G3:H3"/>
    <mergeCell ref="D4:E4"/>
    <mergeCell ref="H4:K4"/>
    <mergeCell ref="C41:D41"/>
    <mergeCell ref="H42:I42"/>
    <mergeCell ref="J42:K42"/>
    <mergeCell ref="H43:I43"/>
    <mergeCell ref="J43:K43"/>
    <mergeCell ref="H44:I44"/>
    <mergeCell ref="J44:K44"/>
    <mergeCell ref="J45:K45"/>
    <mergeCell ref="J46:K46"/>
    <mergeCell ref="G40:H40"/>
    <mergeCell ref="J40:K40"/>
  </mergeCells>
  <pageMargins left="0.31496062992125984" right="0.11811023622047245" top="0" bottom="0" header="0.31496062992125984" footer="0.31496062992125984"/>
  <pageSetup scale="78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48"/>
  <sheetViews>
    <sheetView topLeftCell="A28" workbookViewId="0">
      <selection activeCell="A42" sqref="A4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252</v>
      </c>
      <c r="I2" s="265"/>
      <c r="J2" s="266"/>
    </row>
    <row r="3" spans="1:10" x14ac:dyDescent="0.25">
      <c r="A3" s="124">
        <v>43435</v>
      </c>
      <c r="B3" s="125" t="s">
        <v>337</v>
      </c>
      <c r="C3" s="126">
        <v>45556.2</v>
      </c>
      <c r="D3" s="127"/>
      <c r="E3" s="126"/>
      <c r="F3" s="128">
        <f t="shared" ref="F3:F47" si="0">C3-E3</f>
        <v>45556.2</v>
      </c>
      <c r="H3" s="267"/>
      <c r="I3" s="268"/>
      <c r="J3" s="269"/>
    </row>
    <row r="4" spans="1:10" x14ac:dyDescent="0.25">
      <c r="A4" s="124">
        <v>43435</v>
      </c>
      <c r="B4" s="125" t="s">
        <v>338</v>
      </c>
      <c r="C4" s="126">
        <v>14765</v>
      </c>
      <c r="D4" s="127"/>
      <c r="E4" s="131"/>
      <c r="F4" s="132">
        <f t="shared" si="0"/>
        <v>14765</v>
      </c>
      <c r="H4" s="267"/>
      <c r="I4" s="268"/>
      <c r="J4" s="269"/>
    </row>
    <row r="5" spans="1:10" ht="15.75" thickBot="1" x14ac:dyDescent="0.3">
      <c r="A5" s="129">
        <v>43437</v>
      </c>
      <c r="B5" s="130" t="s">
        <v>339</v>
      </c>
      <c r="C5" s="131">
        <v>117338.26</v>
      </c>
      <c r="D5" s="231"/>
      <c r="E5" s="131"/>
      <c r="F5" s="132">
        <f t="shared" si="0"/>
        <v>117338.26</v>
      </c>
      <c r="H5" s="270"/>
      <c r="I5" s="271"/>
      <c r="J5" s="272"/>
    </row>
    <row r="6" spans="1:10" x14ac:dyDescent="0.25">
      <c r="A6" s="129">
        <v>43438</v>
      </c>
      <c r="B6" s="130" t="s">
        <v>340</v>
      </c>
      <c r="C6" s="131">
        <v>69677.3</v>
      </c>
      <c r="D6" s="127"/>
      <c r="E6" s="131"/>
      <c r="F6" s="133">
        <f t="shared" si="0"/>
        <v>69677.3</v>
      </c>
    </row>
    <row r="7" spans="1:10" x14ac:dyDescent="0.25">
      <c r="A7" s="129">
        <v>43439</v>
      </c>
      <c r="B7" s="130" t="s">
        <v>341</v>
      </c>
      <c r="C7" s="131">
        <v>36752.94</v>
      </c>
      <c r="D7" s="127"/>
      <c r="E7" s="131"/>
      <c r="F7" s="133">
        <f t="shared" si="0"/>
        <v>36752.94</v>
      </c>
    </row>
    <row r="8" spans="1:10" x14ac:dyDescent="0.25">
      <c r="A8" s="129">
        <v>43440</v>
      </c>
      <c r="B8" s="130" t="s">
        <v>342</v>
      </c>
      <c r="C8" s="131">
        <v>90717.96</v>
      </c>
      <c r="D8" s="127"/>
      <c r="E8" s="131"/>
      <c r="F8" s="133">
        <f t="shared" si="0"/>
        <v>90717.96</v>
      </c>
    </row>
    <row r="9" spans="1:10" x14ac:dyDescent="0.25">
      <c r="A9" s="129">
        <v>43441</v>
      </c>
      <c r="B9" s="130" t="s">
        <v>343</v>
      </c>
      <c r="C9" s="131">
        <v>170958</v>
      </c>
      <c r="D9" s="127"/>
      <c r="E9" s="131"/>
      <c r="F9" s="133">
        <f t="shared" si="0"/>
        <v>170958</v>
      </c>
    </row>
    <row r="10" spans="1:10" x14ac:dyDescent="0.25">
      <c r="A10" s="129">
        <v>43442</v>
      </c>
      <c r="B10" s="130" t="s">
        <v>344</v>
      </c>
      <c r="C10" s="131">
        <v>79604</v>
      </c>
      <c r="D10" s="127"/>
      <c r="E10" s="131"/>
      <c r="F10" s="133">
        <f t="shared" si="0"/>
        <v>79604</v>
      </c>
    </row>
    <row r="11" spans="1:10" x14ac:dyDescent="0.25">
      <c r="A11" s="129">
        <v>43444</v>
      </c>
      <c r="B11" s="192" t="s">
        <v>345</v>
      </c>
      <c r="C11" s="131">
        <v>72655.33</v>
      </c>
      <c r="D11" s="127"/>
      <c r="E11" s="131"/>
      <c r="F11" s="133">
        <f t="shared" si="0"/>
        <v>72655.33</v>
      </c>
    </row>
    <row r="12" spans="1:10" x14ac:dyDescent="0.25">
      <c r="A12" s="129">
        <v>43444</v>
      </c>
      <c r="B12" s="130" t="s">
        <v>346</v>
      </c>
      <c r="C12" s="131">
        <v>41754.1</v>
      </c>
      <c r="D12" s="127"/>
      <c r="E12" s="131"/>
      <c r="F12" s="133">
        <f t="shared" si="0"/>
        <v>41754.1</v>
      </c>
    </row>
    <row r="13" spans="1:10" x14ac:dyDescent="0.25">
      <c r="A13" s="134">
        <v>43444</v>
      </c>
      <c r="B13" s="135" t="s">
        <v>347</v>
      </c>
      <c r="C13" s="131">
        <v>38647.5</v>
      </c>
      <c r="D13" s="127"/>
      <c r="E13" s="131"/>
      <c r="F13" s="133">
        <f t="shared" si="0"/>
        <v>38647.5</v>
      </c>
    </row>
    <row r="14" spans="1:10" x14ac:dyDescent="0.25">
      <c r="A14" s="134">
        <v>43445</v>
      </c>
      <c r="B14" s="135" t="s">
        <v>348</v>
      </c>
      <c r="C14" s="131">
        <v>4945</v>
      </c>
      <c r="D14" s="127"/>
      <c r="E14" s="131"/>
      <c r="F14" s="133">
        <f t="shared" si="0"/>
        <v>4945</v>
      </c>
    </row>
    <row r="15" spans="1:10" x14ac:dyDescent="0.25">
      <c r="A15" s="134">
        <v>43445</v>
      </c>
      <c r="B15" s="135" t="s">
        <v>349</v>
      </c>
      <c r="C15" s="131">
        <v>161779.5</v>
      </c>
      <c r="D15" s="127"/>
      <c r="E15" s="131"/>
      <c r="F15" s="133">
        <f t="shared" si="0"/>
        <v>161779.5</v>
      </c>
    </row>
    <row r="16" spans="1:10" x14ac:dyDescent="0.25">
      <c r="A16" s="134">
        <v>43448</v>
      </c>
      <c r="B16" s="135" t="s">
        <v>350</v>
      </c>
      <c r="C16" s="131">
        <v>183632.13</v>
      </c>
      <c r="D16" s="127"/>
      <c r="E16" s="131"/>
      <c r="F16" s="133">
        <f t="shared" si="0"/>
        <v>183632.13</v>
      </c>
    </row>
    <row r="17" spans="1:6" x14ac:dyDescent="0.25">
      <c r="A17" s="134">
        <v>43449</v>
      </c>
      <c r="B17" s="135" t="s">
        <v>350</v>
      </c>
      <c r="C17" s="131">
        <v>108942.28</v>
      </c>
      <c r="D17" s="127"/>
      <c r="E17" s="131"/>
      <c r="F17" s="133">
        <f t="shared" si="0"/>
        <v>108942.28</v>
      </c>
    </row>
    <row r="18" spans="1:6" x14ac:dyDescent="0.25">
      <c r="A18" s="134">
        <v>43450</v>
      </c>
      <c r="B18" s="135" t="s">
        <v>351</v>
      </c>
      <c r="C18" s="131">
        <v>192986</v>
      </c>
      <c r="D18" s="127"/>
      <c r="E18" s="131"/>
      <c r="F18" s="133">
        <f t="shared" si="0"/>
        <v>192986</v>
      </c>
    </row>
    <row r="19" spans="1:6" x14ac:dyDescent="0.25">
      <c r="A19" s="134">
        <v>43451</v>
      </c>
      <c r="B19" s="135" t="s">
        <v>352</v>
      </c>
      <c r="C19" s="131">
        <v>140137.98000000001</v>
      </c>
      <c r="D19" s="127"/>
      <c r="E19" s="131"/>
      <c r="F19" s="133">
        <f t="shared" si="0"/>
        <v>140137.98000000001</v>
      </c>
    </row>
    <row r="20" spans="1:6" x14ac:dyDescent="0.25">
      <c r="A20" s="134">
        <v>43452</v>
      </c>
      <c r="B20" s="135" t="s">
        <v>353</v>
      </c>
      <c r="C20" s="131">
        <v>32377.18</v>
      </c>
      <c r="D20" s="127"/>
      <c r="E20" s="131"/>
      <c r="F20" s="133">
        <f t="shared" si="0"/>
        <v>32377.18</v>
      </c>
    </row>
    <row r="21" spans="1:6" x14ac:dyDescent="0.25">
      <c r="A21" s="134">
        <v>43453</v>
      </c>
      <c r="B21" s="135" t="s">
        <v>354</v>
      </c>
      <c r="C21" s="131">
        <v>3471</v>
      </c>
      <c r="D21" s="127"/>
      <c r="E21" s="131"/>
      <c r="F21" s="133">
        <f t="shared" si="0"/>
        <v>3471</v>
      </c>
    </row>
    <row r="22" spans="1:6" x14ac:dyDescent="0.25">
      <c r="A22" s="134">
        <v>43453</v>
      </c>
      <c r="B22" s="135" t="s">
        <v>355</v>
      </c>
      <c r="C22" s="131">
        <v>85913.17</v>
      </c>
      <c r="D22" s="127"/>
      <c r="E22" s="131"/>
      <c r="F22" s="133">
        <f t="shared" si="0"/>
        <v>85913.17</v>
      </c>
    </row>
    <row r="23" spans="1:6" x14ac:dyDescent="0.25">
      <c r="A23" s="134">
        <v>43455</v>
      </c>
      <c r="B23" s="135" t="s">
        <v>356</v>
      </c>
      <c r="C23" s="131">
        <v>123013.78</v>
      </c>
      <c r="D23" s="127"/>
      <c r="E23" s="131"/>
      <c r="F23" s="133">
        <f t="shared" si="0"/>
        <v>123013.78</v>
      </c>
    </row>
    <row r="24" spans="1:6" x14ac:dyDescent="0.25">
      <c r="A24" s="134">
        <v>43455</v>
      </c>
      <c r="B24" s="135" t="s">
        <v>357</v>
      </c>
      <c r="C24" s="131">
        <v>1741.6</v>
      </c>
      <c r="D24" s="127"/>
      <c r="E24" s="131"/>
      <c r="F24" s="133">
        <f t="shared" si="0"/>
        <v>1741.6</v>
      </c>
    </row>
    <row r="25" spans="1:6" x14ac:dyDescent="0.25">
      <c r="A25" s="134">
        <v>43455</v>
      </c>
      <c r="B25" s="135" t="s">
        <v>358</v>
      </c>
      <c r="C25" s="131">
        <v>3370</v>
      </c>
      <c r="D25" s="127"/>
      <c r="E25" s="131"/>
      <c r="F25" s="133">
        <f t="shared" si="0"/>
        <v>3370</v>
      </c>
    </row>
    <row r="26" spans="1:6" x14ac:dyDescent="0.25">
      <c r="A26" s="134">
        <v>43456</v>
      </c>
      <c r="B26" s="135" t="s">
        <v>359</v>
      </c>
      <c r="C26" s="131">
        <v>165117.66</v>
      </c>
      <c r="D26" s="127"/>
      <c r="E26" s="131"/>
      <c r="F26" s="133">
        <f t="shared" si="0"/>
        <v>165117.66</v>
      </c>
    </row>
    <row r="27" spans="1:6" x14ac:dyDescent="0.25">
      <c r="A27" s="134">
        <v>43456</v>
      </c>
      <c r="B27" s="135" t="s">
        <v>360</v>
      </c>
      <c r="C27" s="131">
        <v>3253.6</v>
      </c>
      <c r="D27" s="127"/>
      <c r="E27" s="131"/>
      <c r="F27" s="133">
        <f t="shared" si="0"/>
        <v>3253.6</v>
      </c>
    </row>
    <row r="28" spans="1:6" x14ac:dyDescent="0.25">
      <c r="A28" s="134">
        <v>43456</v>
      </c>
      <c r="B28" s="135" t="s">
        <v>361</v>
      </c>
      <c r="C28" s="131">
        <v>24070.14</v>
      </c>
      <c r="D28" s="127"/>
      <c r="E28" s="131"/>
      <c r="F28" s="133">
        <f t="shared" si="0"/>
        <v>24070.14</v>
      </c>
    </row>
    <row r="29" spans="1:6" x14ac:dyDescent="0.25">
      <c r="A29" s="134">
        <v>43456</v>
      </c>
      <c r="B29" s="135" t="s">
        <v>362</v>
      </c>
      <c r="C29" s="131">
        <v>150099.6</v>
      </c>
      <c r="D29" s="127"/>
      <c r="E29" s="131"/>
      <c r="F29" s="133">
        <f t="shared" si="0"/>
        <v>150099.6</v>
      </c>
    </row>
    <row r="30" spans="1:6" x14ac:dyDescent="0.25">
      <c r="A30" s="134">
        <v>43458</v>
      </c>
      <c r="B30" s="135" t="s">
        <v>363</v>
      </c>
      <c r="C30" s="131">
        <v>6462.3</v>
      </c>
      <c r="D30" s="127"/>
      <c r="E30" s="131"/>
      <c r="F30" s="133">
        <f t="shared" si="0"/>
        <v>6462.3</v>
      </c>
    </row>
    <row r="31" spans="1:6" x14ac:dyDescent="0.25">
      <c r="A31" s="134">
        <v>43460</v>
      </c>
      <c r="B31" s="135" t="s">
        <v>364</v>
      </c>
      <c r="C31" s="131">
        <v>104899.69</v>
      </c>
      <c r="D31" s="127"/>
      <c r="E31" s="131"/>
      <c r="F31" s="133">
        <f t="shared" si="0"/>
        <v>104899.69</v>
      </c>
    </row>
    <row r="32" spans="1:6" x14ac:dyDescent="0.25">
      <c r="A32" s="134">
        <v>43461</v>
      </c>
      <c r="B32" s="135" t="s">
        <v>365</v>
      </c>
      <c r="C32" s="131">
        <v>86942.48</v>
      </c>
      <c r="D32" s="127"/>
      <c r="E32" s="131"/>
      <c r="F32" s="133">
        <f t="shared" si="0"/>
        <v>86942.48</v>
      </c>
    </row>
    <row r="33" spans="1:6" x14ac:dyDescent="0.25">
      <c r="A33" s="134">
        <v>43458</v>
      </c>
      <c r="B33" s="135" t="s">
        <v>366</v>
      </c>
      <c r="C33" s="131">
        <v>10041</v>
      </c>
      <c r="D33" s="127"/>
      <c r="E33" s="131"/>
      <c r="F33" s="133">
        <f t="shared" si="0"/>
        <v>10041</v>
      </c>
    </row>
    <row r="34" spans="1:6" x14ac:dyDescent="0.25">
      <c r="A34" s="134">
        <v>43461</v>
      </c>
      <c r="B34" s="135" t="s">
        <v>367</v>
      </c>
      <c r="C34" s="131">
        <v>150892.5</v>
      </c>
      <c r="D34" s="127"/>
      <c r="E34" s="131"/>
      <c r="F34" s="133">
        <f t="shared" si="0"/>
        <v>150892.5</v>
      </c>
    </row>
    <row r="35" spans="1:6" x14ac:dyDescent="0.25">
      <c r="A35" s="134">
        <v>43462</v>
      </c>
      <c r="B35" s="135" t="s">
        <v>368</v>
      </c>
      <c r="C35" s="131">
        <v>16463.599999999999</v>
      </c>
      <c r="D35" s="127"/>
      <c r="E35" s="131"/>
      <c r="F35" s="133">
        <f t="shared" si="0"/>
        <v>16463.599999999999</v>
      </c>
    </row>
    <row r="36" spans="1:6" x14ac:dyDescent="0.25">
      <c r="A36" s="134">
        <v>43463</v>
      </c>
      <c r="B36" s="135" t="s">
        <v>369</v>
      </c>
      <c r="C36" s="131">
        <v>161758.72</v>
      </c>
      <c r="D36" s="127"/>
      <c r="E36" s="131"/>
      <c r="F36" s="133">
        <f t="shared" si="0"/>
        <v>161758.72</v>
      </c>
    </row>
    <row r="37" spans="1:6" x14ac:dyDescent="0.25">
      <c r="A37" s="134">
        <v>43463</v>
      </c>
      <c r="B37" s="135" t="s">
        <v>370</v>
      </c>
      <c r="C37" s="131">
        <v>110856</v>
      </c>
      <c r="D37" s="127"/>
      <c r="E37" s="131"/>
      <c r="F37" s="133">
        <f t="shared" si="0"/>
        <v>110856</v>
      </c>
    </row>
    <row r="38" spans="1:6" x14ac:dyDescent="0.25">
      <c r="A38" s="134">
        <v>43465</v>
      </c>
      <c r="B38" s="135" t="s">
        <v>371</v>
      </c>
      <c r="C38" s="131">
        <v>54173.34</v>
      </c>
      <c r="D38" s="127"/>
      <c r="E38" s="131"/>
      <c r="F38" s="133">
        <f t="shared" si="0"/>
        <v>54173.34</v>
      </c>
    </row>
    <row r="39" spans="1:6" x14ac:dyDescent="0.25">
      <c r="A39" s="134"/>
      <c r="B39" s="135"/>
      <c r="C39" s="131"/>
      <c r="D39" s="127"/>
      <c r="E39" s="131"/>
      <c r="F39" s="133">
        <f t="shared" si="0"/>
        <v>0</v>
      </c>
    </row>
    <row r="40" spans="1:6" x14ac:dyDescent="0.25">
      <c r="A40" s="134">
        <v>43462</v>
      </c>
      <c r="B40" s="135" t="s">
        <v>372</v>
      </c>
      <c r="C40" s="131">
        <v>1515.5</v>
      </c>
      <c r="D40" s="127" t="s">
        <v>67</v>
      </c>
      <c r="E40" s="131"/>
      <c r="F40" s="133">
        <f t="shared" si="0"/>
        <v>1515.5</v>
      </c>
    </row>
    <row r="41" spans="1:6" x14ac:dyDescent="0.25">
      <c r="A41" s="134"/>
      <c r="B41" s="135"/>
      <c r="C41" s="131"/>
      <c r="D41" s="127"/>
      <c r="E41" s="131"/>
      <c r="F41" s="133">
        <f t="shared" si="0"/>
        <v>0</v>
      </c>
    </row>
    <row r="42" spans="1:6" x14ac:dyDescent="0.25">
      <c r="A42" s="134"/>
      <c r="B42" s="135"/>
      <c r="C42" s="131"/>
      <c r="D42" s="127"/>
      <c r="E42" s="131"/>
      <c r="F42" s="133">
        <f t="shared" si="0"/>
        <v>0</v>
      </c>
    </row>
    <row r="43" spans="1:6" x14ac:dyDescent="0.25">
      <c r="A43" s="134"/>
      <c r="B43" s="135"/>
      <c r="C43" s="131"/>
      <c r="D43" s="127"/>
      <c r="E43" s="131"/>
      <c r="F43" s="133">
        <f t="shared" si="0"/>
        <v>0</v>
      </c>
    </row>
    <row r="44" spans="1:6" x14ac:dyDescent="0.25">
      <c r="A44" s="134"/>
      <c r="B44" s="135"/>
      <c r="C44" s="131"/>
      <c r="D44" s="127"/>
      <c r="E44" s="131"/>
      <c r="F44" s="133">
        <f t="shared" si="0"/>
        <v>0</v>
      </c>
    </row>
    <row r="45" spans="1:6" x14ac:dyDescent="0.25">
      <c r="A45" s="134"/>
      <c r="B45" s="135"/>
      <c r="C45" s="131"/>
      <c r="D45" s="127"/>
      <c r="E45" s="131"/>
      <c r="F45" s="133">
        <f t="shared" si="0"/>
        <v>0</v>
      </c>
    </row>
    <row r="46" spans="1:6" x14ac:dyDescent="0.25">
      <c r="A46" s="134"/>
      <c r="B46" s="135"/>
      <c r="C46" s="131"/>
      <c r="D46" s="127"/>
      <c r="E46" s="131"/>
      <c r="F46" s="133">
        <f t="shared" si="0"/>
        <v>0</v>
      </c>
    </row>
    <row r="47" spans="1:6" ht="16.5" thickBot="1" x14ac:dyDescent="0.3">
      <c r="A47" s="161" t="s">
        <v>53</v>
      </c>
      <c r="B47" s="162"/>
      <c r="C47" s="142"/>
      <c r="D47" s="143"/>
      <c r="E47" s="144">
        <v>43320</v>
      </c>
      <c r="F47" s="145">
        <f t="shared" si="0"/>
        <v>-43320</v>
      </c>
    </row>
    <row r="48" spans="1:6" s="151" customFormat="1" ht="19.5" thickBot="1" x14ac:dyDescent="0.35">
      <c r="A48" s="149"/>
      <c r="B48" s="150"/>
      <c r="C48" s="146">
        <f>SUM(C3:C47)</f>
        <v>2867282.34</v>
      </c>
      <c r="D48" s="146"/>
      <c r="E48" s="152">
        <f>SUM(E3:E47)</f>
        <v>43320</v>
      </c>
      <c r="F48" s="152">
        <f>SUM(F3:F47)</f>
        <v>2823962.34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workbookViewId="0">
      <selection activeCell="J11" sqref="J1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5" t="s">
        <v>56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6" ht="15.75" thickBot="1" x14ac:dyDescent="0.3">
      <c r="A2" s="1"/>
      <c r="B2" s="5"/>
      <c r="D2" s="155"/>
      <c r="E2" s="8"/>
      <c r="L2" s="9"/>
      <c r="M2" s="4"/>
    </row>
    <row r="3" spans="1:16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6" ht="20.25" thickTop="1" thickBot="1" x14ac:dyDescent="0.35">
      <c r="A4" s="237"/>
      <c r="B4" s="12">
        <v>158643.47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  <c r="P4" t="s">
        <v>23</v>
      </c>
    </row>
    <row r="5" spans="1:16" ht="17.25" thickTop="1" thickBot="1" x14ac:dyDescent="0.3">
      <c r="A5" s="16">
        <v>43132</v>
      </c>
      <c r="B5" s="17">
        <v>0</v>
      </c>
      <c r="C5" s="18"/>
      <c r="D5" s="107">
        <v>43132</v>
      </c>
      <c r="E5" s="157">
        <v>54408</v>
      </c>
      <c r="F5" s="158"/>
      <c r="G5" s="159">
        <v>43132</v>
      </c>
      <c r="H5" s="160">
        <v>0</v>
      </c>
      <c r="I5" s="20"/>
      <c r="J5" s="21"/>
      <c r="K5" s="21"/>
      <c r="L5" s="22">
        <v>54408</v>
      </c>
      <c r="M5" s="103" t="s">
        <v>42</v>
      </c>
    </row>
    <row r="6" spans="1:16" ht="17.25" thickTop="1" thickBot="1" x14ac:dyDescent="0.3">
      <c r="A6" s="23">
        <v>43133</v>
      </c>
      <c r="B6" s="17">
        <v>0</v>
      </c>
      <c r="C6" s="18"/>
      <c r="D6" s="106">
        <v>43133</v>
      </c>
      <c r="E6" s="24">
        <v>68248.14</v>
      </c>
      <c r="F6" s="25"/>
      <c r="G6" s="108">
        <v>43133</v>
      </c>
      <c r="H6" s="26">
        <v>30</v>
      </c>
      <c r="I6" s="27"/>
      <c r="J6" s="28" t="s">
        <v>8</v>
      </c>
      <c r="K6" s="29">
        <v>549</v>
      </c>
      <c r="L6" s="22">
        <f>45000+23218</f>
        <v>68218</v>
      </c>
      <c r="M6" s="103" t="s">
        <v>42</v>
      </c>
    </row>
    <row r="7" spans="1:16" ht="16.5" thickTop="1" thickBot="1" x14ac:dyDescent="0.3">
      <c r="A7" s="23">
        <v>43134</v>
      </c>
      <c r="B7" s="17">
        <v>0</v>
      </c>
      <c r="C7" s="18"/>
      <c r="D7" s="106">
        <v>43134</v>
      </c>
      <c r="E7" s="24">
        <v>94795.98</v>
      </c>
      <c r="F7" s="19"/>
      <c r="G7" s="108">
        <v>43134</v>
      </c>
      <c r="H7" s="26">
        <v>0</v>
      </c>
      <c r="I7" s="27" t="s">
        <v>66</v>
      </c>
      <c r="J7" s="30" t="s">
        <v>9</v>
      </c>
      <c r="K7" s="31">
        <v>8226.5</v>
      </c>
      <c r="L7" s="32">
        <v>94796</v>
      </c>
      <c r="M7" s="33" t="s">
        <v>42</v>
      </c>
    </row>
    <row r="8" spans="1:16" ht="16.5" thickTop="1" thickBot="1" x14ac:dyDescent="0.3">
      <c r="A8" s="23">
        <v>43135</v>
      </c>
      <c r="B8" s="17">
        <v>0</v>
      </c>
      <c r="C8" s="34"/>
      <c r="D8" s="106">
        <v>43135</v>
      </c>
      <c r="E8" s="24">
        <v>85540.65</v>
      </c>
      <c r="F8" s="19"/>
      <c r="G8" s="108">
        <v>43135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f>500+85040.5</f>
        <v>85540.5</v>
      </c>
      <c r="M8" s="33" t="s">
        <v>42</v>
      </c>
    </row>
    <row r="9" spans="1:16" ht="16.5" thickTop="1" thickBot="1" x14ac:dyDescent="0.3">
      <c r="A9" s="23">
        <v>43136</v>
      </c>
      <c r="B9" s="17">
        <v>0</v>
      </c>
      <c r="C9" s="36"/>
      <c r="D9" s="106">
        <v>43136</v>
      </c>
      <c r="E9" s="24">
        <v>79759.8</v>
      </c>
      <c r="F9" s="19"/>
      <c r="G9" s="108">
        <v>43136</v>
      </c>
      <c r="H9" s="26">
        <v>35</v>
      </c>
      <c r="I9" s="37" t="s">
        <v>61</v>
      </c>
      <c r="J9" s="28" t="s">
        <v>57</v>
      </c>
      <c r="K9" s="38">
        <v>9064.3700000000008</v>
      </c>
      <c r="L9" s="32">
        <v>79725</v>
      </c>
      <c r="M9" s="33" t="s">
        <v>42</v>
      </c>
    </row>
    <row r="10" spans="1:16" ht="16.5" thickTop="1" thickBot="1" x14ac:dyDescent="0.3">
      <c r="A10" s="23">
        <v>43137</v>
      </c>
      <c r="B10" s="17">
        <v>0</v>
      </c>
      <c r="C10" s="34"/>
      <c r="D10" s="106">
        <v>43137</v>
      </c>
      <c r="E10" s="24">
        <v>26195.9</v>
      </c>
      <c r="F10" s="19"/>
      <c r="G10" s="108">
        <v>43137</v>
      </c>
      <c r="H10" s="26">
        <v>0</v>
      </c>
      <c r="I10" s="37" t="s">
        <v>62</v>
      </c>
      <c r="J10" s="28" t="s">
        <v>58</v>
      </c>
      <c r="K10" s="38">
        <v>9959.93</v>
      </c>
      <c r="L10" s="32">
        <v>26196</v>
      </c>
      <c r="M10" s="33" t="s">
        <v>42</v>
      </c>
    </row>
    <row r="11" spans="1:16" ht="16.5" thickTop="1" thickBot="1" x14ac:dyDescent="0.3">
      <c r="A11" s="23">
        <v>43138</v>
      </c>
      <c r="B11" s="17">
        <v>0</v>
      </c>
      <c r="C11" s="34"/>
      <c r="D11" s="106">
        <v>43138</v>
      </c>
      <c r="E11" s="24">
        <v>42262.25</v>
      </c>
      <c r="F11" s="19"/>
      <c r="G11" s="108">
        <v>43138</v>
      </c>
      <c r="H11" s="26">
        <v>0</v>
      </c>
      <c r="I11" s="37" t="s">
        <v>63</v>
      </c>
      <c r="J11" s="28" t="s">
        <v>59</v>
      </c>
      <c r="K11" s="38">
        <v>9150.08</v>
      </c>
      <c r="L11" s="32">
        <v>42262</v>
      </c>
      <c r="M11" s="33" t="s">
        <v>42</v>
      </c>
    </row>
    <row r="12" spans="1:16" ht="16.5" thickTop="1" thickBot="1" x14ac:dyDescent="0.3">
      <c r="A12" s="23">
        <v>43139</v>
      </c>
      <c r="B12" s="17">
        <v>0</v>
      </c>
      <c r="C12" s="34"/>
      <c r="D12" s="106">
        <v>43139</v>
      </c>
      <c r="E12" s="24">
        <v>60547</v>
      </c>
      <c r="F12" s="19"/>
      <c r="G12" s="108">
        <v>43139</v>
      </c>
      <c r="H12" s="26">
        <v>0</v>
      </c>
      <c r="I12" s="37" t="s">
        <v>65</v>
      </c>
      <c r="J12" s="28" t="s">
        <v>60</v>
      </c>
      <c r="K12" s="38">
        <v>9150.08</v>
      </c>
      <c r="L12" s="32">
        <v>60547.5</v>
      </c>
      <c r="M12" s="33" t="s">
        <v>42</v>
      </c>
      <c r="N12" s="39"/>
    </row>
    <row r="13" spans="1:16" ht="16.5" thickTop="1" thickBot="1" x14ac:dyDescent="0.3">
      <c r="A13" s="23">
        <v>43140</v>
      </c>
      <c r="B13" s="17">
        <v>0</v>
      </c>
      <c r="C13" s="34"/>
      <c r="D13" s="106">
        <v>43140</v>
      </c>
      <c r="E13" s="24">
        <v>78331.92</v>
      </c>
      <c r="F13" s="19"/>
      <c r="G13" s="108">
        <v>43140</v>
      </c>
      <c r="H13" s="26">
        <v>0</v>
      </c>
      <c r="I13" s="27"/>
      <c r="J13" s="28" t="s">
        <v>34</v>
      </c>
      <c r="K13" s="29">
        <v>0</v>
      </c>
      <c r="L13" s="32">
        <f>60000+16562</f>
        <v>76562</v>
      </c>
      <c r="M13" s="33" t="s">
        <v>42</v>
      </c>
    </row>
    <row r="14" spans="1:16" ht="16.5" thickTop="1" thickBot="1" x14ac:dyDescent="0.3">
      <c r="A14" s="23">
        <v>43141</v>
      </c>
      <c r="B14" s="17">
        <v>0</v>
      </c>
      <c r="C14" s="36"/>
      <c r="D14" s="106">
        <v>43141</v>
      </c>
      <c r="E14" s="24">
        <v>80722.679999999993</v>
      </c>
      <c r="F14" s="19"/>
      <c r="G14" s="108">
        <v>43141</v>
      </c>
      <c r="H14" s="26">
        <v>60</v>
      </c>
      <c r="I14" s="27"/>
      <c r="J14" s="40"/>
      <c r="K14" s="29">
        <v>0</v>
      </c>
      <c r="L14" s="32">
        <v>80662.5</v>
      </c>
      <c r="M14" s="33" t="s">
        <v>42</v>
      </c>
    </row>
    <row r="15" spans="1:16" ht="16.5" thickTop="1" thickBot="1" x14ac:dyDescent="0.3">
      <c r="A15" s="23">
        <v>43142</v>
      </c>
      <c r="B15" s="17">
        <v>0</v>
      </c>
      <c r="C15" s="36"/>
      <c r="D15" s="106">
        <v>43142</v>
      </c>
      <c r="E15" s="24">
        <v>82618.34</v>
      </c>
      <c r="F15" s="19"/>
      <c r="G15" s="108">
        <v>43142</v>
      </c>
      <c r="H15" s="26">
        <v>0</v>
      </c>
      <c r="I15" s="27"/>
      <c r="J15" s="41"/>
      <c r="K15" s="29">
        <v>0</v>
      </c>
      <c r="L15" s="32">
        <v>82618.5</v>
      </c>
      <c r="M15" s="33" t="s">
        <v>42</v>
      </c>
    </row>
    <row r="16" spans="1:16" ht="16.5" thickTop="1" thickBot="1" x14ac:dyDescent="0.3">
      <c r="A16" s="23">
        <v>43143</v>
      </c>
      <c r="B16" s="17">
        <v>0</v>
      </c>
      <c r="C16" s="36"/>
      <c r="D16" s="106">
        <v>43143</v>
      </c>
      <c r="E16" s="24">
        <v>71291</v>
      </c>
      <c r="F16" s="19"/>
      <c r="G16" s="108">
        <v>43143</v>
      </c>
      <c r="H16" s="26">
        <v>0</v>
      </c>
      <c r="I16" s="27"/>
      <c r="J16" s="42"/>
      <c r="K16" s="43">
        <v>0</v>
      </c>
      <c r="L16" s="32">
        <v>71291</v>
      </c>
      <c r="M16" s="33" t="s">
        <v>42</v>
      </c>
    </row>
    <row r="17" spans="1:14" ht="16.5" thickTop="1" thickBot="1" x14ac:dyDescent="0.3">
      <c r="A17" s="23">
        <v>43144</v>
      </c>
      <c r="B17" s="17">
        <v>0</v>
      </c>
      <c r="C17" s="36"/>
      <c r="D17" s="106">
        <v>43144</v>
      </c>
      <c r="E17" s="24">
        <v>24941.3</v>
      </c>
      <c r="F17" s="19"/>
      <c r="G17" s="108">
        <v>43144</v>
      </c>
      <c r="H17" s="26">
        <v>0</v>
      </c>
      <c r="I17" s="27"/>
      <c r="J17" s="245" t="s">
        <v>11</v>
      </c>
      <c r="K17" s="43">
        <v>0</v>
      </c>
      <c r="L17" s="32">
        <f>15000+9941.5</f>
        <v>24941.5</v>
      </c>
      <c r="M17" s="33" t="s">
        <v>42</v>
      </c>
    </row>
    <row r="18" spans="1:14" ht="16.5" thickTop="1" thickBot="1" x14ac:dyDescent="0.3">
      <c r="A18" s="23">
        <v>43145</v>
      </c>
      <c r="B18" s="17">
        <v>0</v>
      </c>
      <c r="C18" s="34"/>
      <c r="D18" s="106">
        <v>43145</v>
      </c>
      <c r="E18" s="24">
        <v>38044.42</v>
      </c>
      <c r="F18" s="19"/>
      <c r="G18" s="108">
        <v>43145</v>
      </c>
      <c r="H18" s="26">
        <v>35</v>
      </c>
      <c r="I18" s="44"/>
      <c r="J18" s="245"/>
      <c r="K18" s="45">
        <v>0</v>
      </c>
      <c r="L18" s="32">
        <v>38009.5</v>
      </c>
      <c r="M18" s="33" t="s">
        <v>42</v>
      </c>
    </row>
    <row r="19" spans="1:14" ht="17.25" thickTop="1" thickBot="1" x14ac:dyDescent="0.3">
      <c r="A19" s="23">
        <v>43146</v>
      </c>
      <c r="B19" s="17">
        <v>0</v>
      </c>
      <c r="C19" s="36"/>
      <c r="D19" s="106">
        <v>43146</v>
      </c>
      <c r="E19" s="24">
        <v>56648.66</v>
      </c>
      <c r="F19" s="19"/>
      <c r="G19" s="108">
        <v>43146</v>
      </c>
      <c r="H19" s="26">
        <v>0</v>
      </c>
      <c r="I19" s="27"/>
      <c r="J19" s="46" t="s">
        <v>12</v>
      </c>
      <c r="K19" s="45">
        <v>0</v>
      </c>
      <c r="L19" s="32">
        <v>56648.5</v>
      </c>
      <c r="M19" s="47" t="s">
        <v>42</v>
      </c>
    </row>
    <row r="20" spans="1:14" ht="17.25" thickTop="1" thickBot="1" x14ac:dyDescent="0.3">
      <c r="A20" s="23">
        <v>43147</v>
      </c>
      <c r="B20" s="17">
        <v>0</v>
      </c>
      <c r="C20" s="48"/>
      <c r="D20" s="106">
        <v>43147</v>
      </c>
      <c r="E20" s="24">
        <v>50671.6</v>
      </c>
      <c r="F20" s="19"/>
      <c r="G20" s="108">
        <v>43147</v>
      </c>
      <c r="H20" s="26">
        <v>0</v>
      </c>
      <c r="I20" s="49"/>
      <c r="J20" s="50" t="s">
        <v>13</v>
      </c>
      <c r="K20" s="51">
        <v>0</v>
      </c>
      <c r="L20" s="32">
        <f>35671.5+15000</f>
        <v>50671.5</v>
      </c>
      <c r="M20" s="47" t="s">
        <v>42</v>
      </c>
    </row>
    <row r="21" spans="1:14" ht="16.5" thickTop="1" thickBot="1" x14ac:dyDescent="0.3">
      <c r="A21" s="23">
        <v>43148</v>
      </c>
      <c r="B21" s="17">
        <v>0</v>
      </c>
      <c r="C21" s="48"/>
      <c r="D21" s="106">
        <v>43148</v>
      </c>
      <c r="E21" s="24">
        <v>78560.87</v>
      </c>
      <c r="F21" s="19"/>
      <c r="G21" s="108">
        <v>43148</v>
      </c>
      <c r="H21" s="26">
        <v>0</v>
      </c>
      <c r="I21" s="33" t="s">
        <v>14</v>
      </c>
      <c r="J21" s="52"/>
      <c r="K21" s="51"/>
      <c r="L21" s="32">
        <v>78561</v>
      </c>
      <c r="M21" s="33" t="s">
        <v>42</v>
      </c>
    </row>
    <row r="22" spans="1:14" ht="17.25" thickTop="1" thickBot="1" x14ac:dyDescent="0.3">
      <c r="A22" s="23">
        <v>43149</v>
      </c>
      <c r="B22" s="17">
        <v>0</v>
      </c>
      <c r="C22" s="36"/>
      <c r="D22" s="106">
        <v>43149</v>
      </c>
      <c r="E22" s="24">
        <v>81305.58</v>
      </c>
      <c r="F22" s="19"/>
      <c r="G22" s="108">
        <v>43149</v>
      </c>
      <c r="H22" s="26">
        <v>0</v>
      </c>
      <c r="I22" s="49"/>
      <c r="J22" s="53"/>
      <c r="K22" s="51">
        <v>0</v>
      </c>
      <c r="L22" s="32">
        <v>81305.5</v>
      </c>
      <c r="M22" s="47" t="s">
        <v>42</v>
      </c>
    </row>
    <row r="23" spans="1:14" ht="16.5" thickTop="1" thickBot="1" x14ac:dyDescent="0.3">
      <c r="A23" s="23">
        <v>43150</v>
      </c>
      <c r="B23" s="17">
        <v>0</v>
      </c>
      <c r="C23" s="36"/>
      <c r="D23" s="106">
        <v>43150</v>
      </c>
      <c r="E23" s="24">
        <v>48600.91</v>
      </c>
      <c r="F23" s="19"/>
      <c r="G23" s="108">
        <v>43150</v>
      </c>
      <c r="H23" s="26">
        <v>0</v>
      </c>
      <c r="I23" s="27"/>
      <c r="J23" s="52"/>
      <c r="K23" s="51">
        <v>0</v>
      </c>
      <c r="L23" s="32">
        <v>48601</v>
      </c>
      <c r="M23" s="33" t="s">
        <v>42</v>
      </c>
    </row>
    <row r="24" spans="1:14" ht="16.5" thickTop="1" thickBot="1" x14ac:dyDescent="0.3">
      <c r="A24" s="23">
        <v>43151</v>
      </c>
      <c r="B24" s="17">
        <v>0</v>
      </c>
      <c r="C24" s="36"/>
      <c r="D24" s="106">
        <v>43151</v>
      </c>
      <c r="E24" s="24">
        <v>29226.75</v>
      </c>
      <c r="F24" s="19"/>
      <c r="G24" s="108">
        <v>43151</v>
      </c>
      <c r="H24" s="26">
        <v>35</v>
      </c>
      <c r="I24" s="27"/>
      <c r="J24" s="54" t="s">
        <v>15</v>
      </c>
      <c r="K24" s="51">
        <v>870</v>
      </c>
      <c r="L24" s="32">
        <f>14192+15000</f>
        <v>29192</v>
      </c>
      <c r="M24" s="33" t="s">
        <v>42</v>
      </c>
    </row>
    <row r="25" spans="1:14" ht="16.5" thickTop="1" thickBot="1" x14ac:dyDescent="0.3">
      <c r="A25" s="23">
        <v>43152</v>
      </c>
      <c r="B25" s="17">
        <v>0</v>
      </c>
      <c r="C25" s="48"/>
      <c r="D25" s="106">
        <v>43152</v>
      </c>
      <c r="E25" s="24">
        <v>66127.97</v>
      </c>
      <c r="F25" s="19"/>
      <c r="G25" s="108">
        <v>43152</v>
      </c>
      <c r="H25" s="26">
        <v>0</v>
      </c>
      <c r="I25" s="27"/>
      <c r="J25" s="55">
        <v>43140</v>
      </c>
      <c r="K25" s="51">
        <v>0</v>
      </c>
      <c r="L25" s="32">
        <v>66128</v>
      </c>
      <c r="M25" s="33" t="s">
        <v>42</v>
      </c>
    </row>
    <row r="26" spans="1:14" ht="16.5" thickTop="1" thickBot="1" x14ac:dyDescent="0.3">
      <c r="A26" s="23">
        <v>43153</v>
      </c>
      <c r="B26" s="17">
        <v>0</v>
      </c>
      <c r="C26" s="36"/>
      <c r="D26" s="106">
        <v>43153</v>
      </c>
      <c r="E26" s="24">
        <v>37242.6</v>
      </c>
      <c r="F26" s="19"/>
      <c r="G26" s="108">
        <v>43153</v>
      </c>
      <c r="H26" s="26">
        <v>0</v>
      </c>
      <c r="I26" s="27"/>
      <c r="J26" s="56" t="s">
        <v>16</v>
      </c>
      <c r="K26" s="27">
        <v>900</v>
      </c>
      <c r="L26" s="32">
        <v>37242.5</v>
      </c>
      <c r="M26" s="33" t="s">
        <v>42</v>
      </c>
      <c r="N26" t="s">
        <v>64</v>
      </c>
    </row>
    <row r="27" spans="1:14" ht="16.5" thickTop="1" thickBot="1" x14ac:dyDescent="0.3">
      <c r="A27" s="23">
        <v>43154</v>
      </c>
      <c r="B27" s="17">
        <v>0</v>
      </c>
      <c r="C27" s="36"/>
      <c r="D27" s="106">
        <v>43154</v>
      </c>
      <c r="E27" s="24">
        <v>62371.08</v>
      </c>
      <c r="F27" s="19"/>
      <c r="G27" s="108">
        <v>43154</v>
      </c>
      <c r="H27" s="26">
        <v>0</v>
      </c>
      <c r="I27" s="27"/>
      <c r="J27" s="116">
        <v>43140</v>
      </c>
      <c r="K27" s="27">
        <v>0</v>
      </c>
      <c r="L27" s="32">
        <v>62371</v>
      </c>
      <c r="M27" s="33" t="s">
        <v>42</v>
      </c>
      <c r="N27" t="s">
        <v>23</v>
      </c>
    </row>
    <row r="28" spans="1:14" ht="16.5" thickTop="1" thickBot="1" x14ac:dyDescent="0.3">
      <c r="A28" s="23">
        <v>43155</v>
      </c>
      <c r="B28" s="17">
        <v>0</v>
      </c>
      <c r="C28" s="36"/>
      <c r="D28" s="106">
        <v>43155</v>
      </c>
      <c r="E28" s="24">
        <v>81969.31</v>
      </c>
      <c r="F28" s="19"/>
      <c r="G28" s="108">
        <v>43155</v>
      </c>
      <c r="H28" s="26">
        <v>0</v>
      </c>
      <c r="I28" s="27"/>
      <c r="J28" s="57"/>
      <c r="K28" s="51">
        <v>0</v>
      </c>
      <c r="L28" s="58">
        <v>81919</v>
      </c>
      <c r="M28" s="33" t="s">
        <v>42</v>
      </c>
    </row>
    <row r="29" spans="1:14" ht="16.5" thickTop="1" thickBot="1" x14ac:dyDescent="0.3">
      <c r="A29" s="23">
        <v>43156</v>
      </c>
      <c r="B29" s="17">
        <v>0</v>
      </c>
      <c r="C29" s="36"/>
      <c r="D29" s="106">
        <v>43156</v>
      </c>
      <c r="E29" s="24">
        <v>79445.25</v>
      </c>
      <c r="F29" s="19"/>
      <c r="G29" s="108">
        <v>43156</v>
      </c>
      <c r="H29" s="26">
        <v>0</v>
      </c>
      <c r="I29" s="27"/>
      <c r="J29" s="55"/>
      <c r="K29" s="51">
        <v>0</v>
      </c>
      <c r="L29" s="32">
        <v>79445</v>
      </c>
      <c r="M29" s="33" t="s">
        <v>42</v>
      </c>
    </row>
    <row r="30" spans="1:14" ht="16.5" thickTop="1" thickBot="1" x14ac:dyDescent="0.3">
      <c r="A30" s="23">
        <v>43157</v>
      </c>
      <c r="B30" s="17">
        <v>0</v>
      </c>
      <c r="C30" s="48"/>
      <c r="D30" s="106">
        <v>43157</v>
      </c>
      <c r="E30" s="24">
        <v>50931.83</v>
      </c>
      <c r="F30" s="19"/>
      <c r="G30" s="108">
        <v>43157</v>
      </c>
      <c r="H30" s="26">
        <v>35</v>
      </c>
      <c r="I30" s="27"/>
      <c r="J30" s="60" t="s">
        <v>18</v>
      </c>
      <c r="K30" s="51">
        <v>0</v>
      </c>
      <c r="L30" s="58">
        <v>50897</v>
      </c>
      <c r="M30" s="33" t="s">
        <v>42</v>
      </c>
    </row>
    <row r="31" spans="1:14" ht="16.5" thickTop="1" thickBot="1" x14ac:dyDescent="0.3">
      <c r="A31" s="23">
        <v>43158</v>
      </c>
      <c r="B31" s="17">
        <v>0</v>
      </c>
      <c r="C31" s="48"/>
      <c r="D31" s="106">
        <v>43158</v>
      </c>
      <c r="E31" s="24">
        <v>19582.900000000001</v>
      </c>
      <c r="F31" s="19"/>
      <c r="G31" s="108">
        <v>43158</v>
      </c>
      <c r="H31" s="26">
        <v>0</v>
      </c>
      <c r="I31" s="61"/>
      <c r="J31" s="62"/>
      <c r="K31" s="51">
        <v>0</v>
      </c>
      <c r="L31" s="58">
        <v>19583</v>
      </c>
      <c r="M31" s="33" t="s">
        <v>42</v>
      </c>
    </row>
    <row r="32" spans="1:14" ht="16.5" thickTop="1" thickBot="1" x14ac:dyDescent="0.3">
      <c r="A32" s="23">
        <v>43159</v>
      </c>
      <c r="B32" s="17">
        <v>0</v>
      </c>
      <c r="C32" s="34"/>
      <c r="D32" s="106">
        <v>43159</v>
      </c>
      <c r="E32" s="24">
        <v>64658.13</v>
      </c>
      <c r="F32" s="19"/>
      <c r="G32" s="108">
        <v>43159</v>
      </c>
      <c r="H32" s="26">
        <v>0</v>
      </c>
      <c r="I32" s="61"/>
      <c r="J32" s="60"/>
      <c r="K32" s="29">
        <v>0</v>
      </c>
      <c r="L32" s="32">
        <v>64658</v>
      </c>
      <c r="M32" s="33" t="s">
        <v>42</v>
      </c>
    </row>
    <row r="33" spans="1:14" ht="16.5" thickTop="1" thickBot="1" x14ac:dyDescent="0.3">
      <c r="A33" s="23"/>
      <c r="B33" s="17"/>
      <c r="C33" s="34"/>
      <c r="D33" s="106" t="s">
        <v>23</v>
      </c>
      <c r="E33" s="24"/>
      <c r="F33" s="19"/>
      <c r="G33" s="108"/>
      <c r="H33" s="26"/>
      <c r="I33" s="27"/>
      <c r="J33" s="63"/>
      <c r="K33" s="38"/>
      <c r="L33" s="32"/>
      <c r="M33" s="33"/>
    </row>
    <row r="34" spans="1:14" ht="17.25" thickTop="1" thickBot="1" x14ac:dyDescent="0.3">
      <c r="A34" s="23"/>
      <c r="B34" s="17"/>
      <c r="C34" s="48"/>
      <c r="D34" s="106"/>
      <c r="E34" s="24"/>
      <c r="F34" s="19"/>
      <c r="G34" s="108"/>
      <c r="H34" s="26"/>
      <c r="I34" s="27"/>
      <c r="J34" s="63"/>
      <c r="K34" s="38"/>
      <c r="L34" s="104">
        <v>0</v>
      </c>
      <c r="M34" s="33"/>
      <c r="N34" s="64"/>
    </row>
    <row r="35" spans="1:14" ht="16.5" thickTop="1" thickBot="1" x14ac:dyDescent="0.3">
      <c r="A35" s="23"/>
      <c r="B35" s="17"/>
      <c r="C35" s="18"/>
      <c r="D35" s="106"/>
      <c r="E35" s="24"/>
      <c r="F35" s="19"/>
      <c r="G35" s="108"/>
      <c r="H35" s="26"/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1693001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1695050.8200000003</v>
      </c>
      <c r="G38" s="155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76619.960000000006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46" t="s">
        <v>20</v>
      </c>
      <c r="H40" s="247"/>
      <c r="I40" s="156"/>
      <c r="J40" s="248">
        <f>H38+K38</f>
        <v>76849.960000000006</v>
      </c>
      <c r="K40" s="249"/>
      <c r="L40" s="94"/>
      <c r="M40" s="95"/>
    </row>
    <row r="41" spans="1:14" ht="15.75" x14ac:dyDescent="0.25">
      <c r="A41" s="1"/>
      <c r="B41" s="5"/>
      <c r="C41" s="250" t="s">
        <v>21</v>
      </c>
      <c r="D41" s="250"/>
      <c r="E41" s="51">
        <f>E38-J40</f>
        <v>1618200.8600000003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-1522451.72</v>
      </c>
      <c r="H43" s="244"/>
      <c r="I43" s="244"/>
      <c r="J43" s="244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95749.140000000363</v>
      </c>
      <c r="H44" s="251" t="s">
        <v>26</v>
      </c>
      <c r="I44" s="251"/>
      <c r="J44" s="252">
        <f>E46</f>
        <v>221812.18000000034</v>
      </c>
      <c r="K44" s="253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126063.03999999999</v>
      </c>
      <c r="H45" s="254" t="s">
        <v>1</v>
      </c>
      <c r="I45" s="254"/>
      <c r="J45" s="255">
        <f>-B4</f>
        <v>-158643.47</v>
      </c>
      <c r="K45" s="255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221812.18000000034</v>
      </c>
      <c r="I46" s="101"/>
      <c r="J46" s="256">
        <v>0</v>
      </c>
      <c r="K46" s="256"/>
      <c r="L46" s="94"/>
      <c r="M46" s="95"/>
    </row>
    <row r="47" spans="1:14" ht="19.5" thickBot="1" x14ac:dyDescent="0.3">
      <c r="A47" s="1"/>
      <c r="B47" s="5"/>
      <c r="E47" s="51"/>
      <c r="H47" s="257" t="s">
        <v>55</v>
      </c>
      <c r="I47" s="258"/>
      <c r="J47" s="259">
        <f>SUM(J44:K46)</f>
        <v>63168.710000000341</v>
      </c>
      <c r="K47" s="260"/>
      <c r="L47" s="94"/>
      <c r="M47" s="95"/>
    </row>
    <row r="48" spans="1:14" x14ac:dyDescent="0.25">
      <c r="A48" s="1"/>
      <c r="B48" s="5"/>
      <c r="C48" s="244"/>
      <c r="D48" s="244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3"/>
  <sheetViews>
    <sheetView topLeftCell="A5" workbookViewId="0">
      <selection activeCell="H27" sqref="H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52</v>
      </c>
      <c r="I2" s="265"/>
      <c r="J2" s="266"/>
    </row>
    <row r="3" spans="1:10" x14ac:dyDescent="0.25">
      <c r="A3" s="124">
        <v>43132</v>
      </c>
      <c r="B3" s="125">
        <v>514</v>
      </c>
      <c r="C3" s="126">
        <v>71125.56</v>
      </c>
      <c r="D3" s="127"/>
      <c r="E3" s="126"/>
      <c r="F3" s="128">
        <f t="shared" ref="F3:F27" si="0">C3-E3</f>
        <v>71125.56</v>
      </c>
      <c r="H3" s="267"/>
      <c r="I3" s="268"/>
      <c r="J3" s="269"/>
    </row>
    <row r="4" spans="1:10" x14ac:dyDescent="0.25">
      <c r="A4" s="124">
        <v>43133</v>
      </c>
      <c r="B4" s="165">
        <v>520</v>
      </c>
      <c r="C4" s="126">
        <v>116207.92</v>
      </c>
      <c r="D4" s="127"/>
      <c r="E4" s="131"/>
      <c r="F4" s="132">
        <f t="shared" si="0"/>
        <v>116207.92</v>
      </c>
      <c r="H4" s="267"/>
      <c r="I4" s="268"/>
      <c r="J4" s="269"/>
    </row>
    <row r="5" spans="1:10" ht="15.75" thickBot="1" x14ac:dyDescent="0.3">
      <c r="A5" s="129">
        <v>43134</v>
      </c>
      <c r="B5" s="166">
        <v>527</v>
      </c>
      <c r="C5" s="131">
        <v>136309.38</v>
      </c>
      <c r="D5" s="127"/>
      <c r="E5" s="131"/>
      <c r="F5" s="132">
        <f t="shared" si="0"/>
        <v>136309.38</v>
      </c>
      <c r="H5" s="270"/>
      <c r="I5" s="271"/>
      <c r="J5" s="272"/>
    </row>
    <row r="6" spans="1:10" x14ac:dyDescent="0.25">
      <c r="A6" s="129">
        <v>43136</v>
      </c>
      <c r="B6" s="166">
        <v>539</v>
      </c>
      <c r="C6" s="131">
        <v>41331</v>
      </c>
      <c r="D6" s="127"/>
      <c r="E6" s="131"/>
      <c r="F6" s="133">
        <f t="shared" si="0"/>
        <v>41331</v>
      </c>
    </row>
    <row r="7" spans="1:10" x14ac:dyDescent="0.25">
      <c r="A7" s="129">
        <v>43138</v>
      </c>
      <c r="B7" s="166">
        <v>545</v>
      </c>
      <c r="C7" s="131">
        <v>130502.6</v>
      </c>
      <c r="D7" s="127"/>
      <c r="E7" s="131"/>
      <c r="F7" s="133">
        <f t="shared" si="0"/>
        <v>130502.6</v>
      </c>
    </row>
    <row r="8" spans="1:10" x14ac:dyDescent="0.25">
      <c r="A8" s="129">
        <v>43139</v>
      </c>
      <c r="B8" s="166">
        <v>555</v>
      </c>
      <c r="C8" s="131">
        <v>42957.34</v>
      </c>
      <c r="D8" s="127"/>
      <c r="E8" s="131"/>
      <c r="F8" s="133">
        <f t="shared" si="0"/>
        <v>42957.34</v>
      </c>
    </row>
    <row r="9" spans="1:10" x14ac:dyDescent="0.25">
      <c r="A9" s="129">
        <v>43140</v>
      </c>
      <c r="B9" s="166">
        <v>556</v>
      </c>
      <c r="C9" s="131">
        <v>149942.34</v>
      </c>
      <c r="D9" s="127"/>
      <c r="E9" s="131"/>
      <c r="F9" s="133">
        <f t="shared" si="0"/>
        <v>149942.34</v>
      </c>
    </row>
    <row r="10" spans="1:10" x14ac:dyDescent="0.25">
      <c r="A10" s="129">
        <v>43141</v>
      </c>
      <c r="B10" s="166">
        <v>569</v>
      </c>
      <c r="C10" s="131">
        <v>76995.88</v>
      </c>
      <c r="D10" s="127"/>
      <c r="E10" s="131"/>
      <c r="F10" s="133">
        <f t="shared" si="0"/>
        <v>76995.88</v>
      </c>
    </row>
    <row r="11" spans="1:10" x14ac:dyDescent="0.25">
      <c r="A11" s="129">
        <v>43143</v>
      </c>
      <c r="B11" s="166">
        <v>570</v>
      </c>
      <c r="C11" s="131">
        <v>30167</v>
      </c>
      <c r="D11" s="127"/>
      <c r="E11" s="131"/>
      <c r="F11" s="133">
        <f t="shared" si="0"/>
        <v>30167</v>
      </c>
    </row>
    <row r="12" spans="1:10" x14ac:dyDescent="0.25">
      <c r="A12" s="134">
        <v>43145</v>
      </c>
      <c r="B12" s="167">
        <v>582</v>
      </c>
      <c r="C12" s="131">
        <v>59230.400000000001</v>
      </c>
      <c r="D12" s="127"/>
      <c r="E12" s="131"/>
      <c r="F12" s="133">
        <f t="shared" si="0"/>
        <v>59230.400000000001</v>
      </c>
    </row>
    <row r="13" spans="1:10" x14ac:dyDescent="0.25">
      <c r="A13" s="134">
        <v>43146</v>
      </c>
      <c r="B13" s="167">
        <v>585</v>
      </c>
      <c r="C13" s="131">
        <v>94228.160000000003</v>
      </c>
      <c r="D13" s="127"/>
      <c r="E13" s="131"/>
      <c r="F13" s="133">
        <f t="shared" si="0"/>
        <v>94228.160000000003</v>
      </c>
    </row>
    <row r="14" spans="1:10" x14ac:dyDescent="0.25">
      <c r="A14" s="134">
        <v>43146</v>
      </c>
      <c r="B14" s="167">
        <v>590</v>
      </c>
      <c r="C14" s="131">
        <v>14396.4</v>
      </c>
      <c r="D14" s="127"/>
      <c r="E14" s="131"/>
      <c r="F14" s="133">
        <f t="shared" si="0"/>
        <v>14396.4</v>
      </c>
    </row>
    <row r="15" spans="1:10" x14ac:dyDescent="0.25">
      <c r="A15" s="134">
        <v>43147</v>
      </c>
      <c r="B15" s="167">
        <v>591</v>
      </c>
      <c r="C15" s="131">
        <v>73278.399999999994</v>
      </c>
      <c r="D15" s="127"/>
      <c r="E15" s="131"/>
      <c r="F15" s="133">
        <f t="shared" si="0"/>
        <v>73278.399999999994</v>
      </c>
    </row>
    <row r="16" spans="1:10" x14ac:dyDescent="0.25">
      <c r="A16" s="134">
        <v>43148</v>
      </c>
      <c r="B16" s="167">
        <v>600</v>
      </c>
      <c r="C16" s="131">
        <v>48794.8</v>
      </c>
      <c r="D16" s="127"/>
      <c r="E16" s="131"/>
      <c r="F16" s="133">
        <f t="shared" si="0"/>
        <v>48794.8</v>
      </c>
    </row>
    <row r="17" spans="1:9" x14ac:dyDescent="0.25">
      <c r="A17" s="134">
        <v>43150</v>
      </c>
      <c r="B17" s="167">
        <v>606</v>
      </c>
      <c r="C17" s="131">
        <v>52155.72</v>
      </c>
      <c r="D17" s="127"/>
      <c r="E17" s="131"/>
      <c r="F17" s="133">
        <f t="shared" si="0"/>
        <v>52155.72</v>
      </c>
      <c r="H17">
        <v>610</v>
      </c>
      <c r="I17" s="5">
        <v>30954</v>
      </c>
    </row>
    <row r="18" spans="1:9" x14ac:dyDescent="0.25">
      <c r="A18" s="134">
        <v>43150</v>
      </c>
      <c r="B18" s="167">
        <v>610</v>
      </c>
      <c r="C18" s="131">
        <v>30954</v>
      </c>
      <c r="D18" s="127"/>
      <c r="E18" s="131"/>
      <c r="F18" s="133">
        <f t="shared" si="0"/>
        <v>30954</v>
      </c>
      <c r="I18" s="5"/>
    </row>
    <row r="19" spans="1:9" x14ac:dyDescent="0.25">
      <c r="A19" s="134">
        <v>43152</v>
      </c>
      <c r="B19" s="167">
        <v>618</v>
      </c>
      <c r="C19" s="131">
        <v>94175.64</v>
      </c>
      <c r="D19" s="127"/>
      <c r="E19" s="131"/>
      <c r="F19" s="133">
        <f t="shared" si="0"/>
        <v>94175.64</v>
      </c>
    </row>
    <row r="20" spans="1:9" x14ac:dyDescent="0.25">
      <c r="A20" s="134">
        <v>43153</v>
      </c>
      <c r="B20" s="135">
        <v>625</v>
      </c>
      <c r="C20" s="131">
        <v>75539.5</v>
      </c>
      <c r="D20" s="127"/>
      <c r="E20" s="131"/>
      <c r="F20" s="133">
        <f t="shared" si="0"/>
        <v>75539.5</v>
      </c>
    </row>
    <row r="21" spans="1:9" x14ac:dyDescent="0.25">
      <c r="A21" s="134">
        <v>43154</v>
      </c>
      <c r="B21" s="167">
        <v>631</v>
      </c>
      <c r="C21" s="131">
        <v>69568.7</v>
      </c>
      <c r="D21" s="127"/>
      <c r="E21" s="131"/>
      <c r="F21" s="133">
        <f t="shared" si="0"/>
        <v>69568.7</v>
      </c>
    </row>
    <row r="22" spans="1:9" x14ac:dyDescent="0.25">
      <c r="A22" s="134">
        <v>43155</v>
      </c>
      <c r="B22" s="167">
        <v>636</v>
      </c>
      <c r="C22" s="131">
        <v>3670.42</v>
      </c>
      <c r="D22" s="127"/>
      <c r="E22" s="131"/>
      <c r="F22" s="133">
        <f t="shared" si="0"/>
        <v>3670.42</v>
      </c>
    </row>
    <row r="23" spans="1:9" x14ac:dyDescent="0.25">
      <c r="A23" s="134">
        <v>43157</v>
      </c>
      <c r="B23" s="167">
        <v>644</v>
      </c>
      <c r="C23" s="131">
        <v>47916.34</v>
      </c>
      <c r="D23" s="127"/>
      <c r="E23" s="131"/>
      <c r="F23" s="133">
        <f t="shared" si="0"/>
        <v>47916.34</v>
      </c>
    </row>
    <row r="24" spans="1:9" x14ac:dyDescent="0.25">
      <c r="A24" s="134">
        <v>43158</v>
      </c>
      <c r="B24" s="167">
        <v>651</v>
      </c>
      <c r="C24" s="131">
        <v>105811.62</v>
      </c>
      <c r="D24" s="127"/>
      <c r="E24" s="131"/>
      <c r="F24" s="133">
        <f t="shared" si="0"/>
        <v>105811.62</v>
      </c>
    </row>
    <row r="25" spans="1:9" x14ac:dyDescent="0.25">
      <c r="A25" s="134">
        <v>43135</v>
      </c>
      <c r="B25" s="135">
        <v>587</v>
      </c>
      <c r="C25" s="131">
        <v>100</v>
      </c>
      <c r="D25" s="127" t="s">
        <v>67</v>
      </c>
      <c r="E25" s="131"/>
      <c r="F25" s="133">
        <f t="shared" si="0"/>
        <v>100</v>
      </c>
    </row>
    <row r="26" spans="1:9" x14ac:dyDescent="0.25">
      <c r="A26" s="134"/>
      <c r="B26" s="135"/>
      <c r="C26" s="131"/>
      <c r="D26" s="127"/>
      <c r="E26" s="131"/>
      <c r="F26" s="133">
        <f t="shared" si="0"/>
        <v>0</v>
      </c>
    </row>
    <row r="27" spans="1:9" ht="16.5" thickBot="1" x14ac:dyDescent="0.3">
      <c r="A27" s="161" t="s">
        <v>53</v>
      </c>
      <c r="B27" s="162"/>
      <c r="C27" s="142"/>
      <c r="D27" s="143"/>
      <c r="E27" s="144">
        <v>42907.4</v>
      </c>
      <c r="F27" s="145">
        <f t="shared" si="0"/>
        <v>-42907.4</v>
      </c>
    </row>
    <row r="28" spans="1:9" s="151" customFormat="1" ht="19.5" thickBot="1" x14ac:dyDescent="0.35">
      <c r="A28" s="149"/>
      <c r="B28" s="150"/>
      <c r="C28" s="146">
        <f>SUM(C3:C27)</f>
        <v>1565359.1199999996</v>
      </c>
      <c r="D28" s="146"/>
      <c r="E28" s="152">
        <f>SUM(E3:E27)</f>
        <v>42907.4</v>
      </c>
      <c r="F28" s="152">
        <f>SUM(F3:F27)</f>
        <v>1522451.7199999997</v>
      </c>
    </row>
    <row r="33" spans="6:6" x14ac:dyDescent="0.25">
      <c r="F33" s="19" t="s">
        <v>64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8"/>
  <sheetViews>
    <sheetView topLeftCell="C1" workbookViewId="0">
      <selection activeCell="H21" sqref="H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5" t="s">
        <v>68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6" ht="15.75" thickBot="1" x14ac:dyDescent="0.3">
      <c r="A2" s="1"/>
      <c r="B2" s="5"/>
      <c r="D2" s="163"/>
      <c r="E2" s="8"/>
      <c r="L2" s="9"/>
      <c r="M2" s="4"/>
    </row>
    <row r="3" spans="1:16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6" ht="20.25" thickTop="1" thickBot="1" x14ac:dyDescent="0.35">
      <c r="A4" s="237"/>
      <c r="B4" s="12">
        <v>126063.03999999999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43160</v>
      </c>
      <c r="E5" s="157">
        <v>32305.02</v>
      </c>
      <c r="F5" s="158"/>
      <c r="G5" s="159">
        <v>43160</v>
      </c>
      <c r="H5" s="160">
        <v>0</v>
      </c>
      <c r="I5" s="20"/>
      <c r="J5" s="21"/>
      <c r="K5" s="21"/>
      <c r="L5" s="22">
        <v>32305</v>
      </c>
      <c r="M5" s="103" t="s">
        <v>7</v>
      </c>
    </row>
    <row r="6" spans="1:16" ht="17.25" thickTop="1" thickBot="1" x14ac:dyDescent="0.3">
      <c r="A6" s="23"/>
      <c r="B6" s="17">
        <v>0</v>
      </c>
      <c r="C6" s="18"/>
      <c r="D6" s="106">
        <v>43161</v>
      </c>
      <c r="E6" s="24">
        <v>56543.9</v>
      </c>
      <c r="F6" s="25"/>
      <c r="G6" s="108">
        <v>43161</v>
      </c>
      <c r="H6" s="26">
        <v>0</v>
      </c>
      <c r="I6" s="27"/>
      <c r="J6" s="28" t="s">
        <v>8</v>
      </c>
      <c r="K6" s="29">
        <v>549</v>
      </c>
      <c r="L6" s="22">
        <f>25000+33304</f>
        <v>58304</v>
      </c>
      <c r="M6" s="103" t="s">
        <v>7</v>
      </c>
    </row>
    <row r="7" spans="1:16" ht="16.5" thickTop="1" thickBot="1" x14ac:dyDescent="0.3">
      <c r="A7" s="23"/>
      <c r="B7" s="17">
        <v>0</v>
      </c>
      <c r="C7" s="18"/>
      <c r="D7" s="106">
        <v>43162</v>
      </c>
      <c r="E7" s="24">
        <v>63598.239999999998</v>
      </c>
      <c r="F7" s="19"/>
      <c r="G7" s="108">
        <v>43162</v>
      </c>
      <c r="H7" s="26">
        <v>35</v>
      </c>
      <c r="I7" s="27" t="s">
        <v>82</v>
      </c>
      <c r="J7" s="30" t="s">
        <v>9</v>
      </c>
      <c r="K7" s="31">
        <v>4928</v>
      </c>
      <c r="L7" s="32">
        <v>63563</v>
      </c>
      <c r="M7" s="33" t="s">
        <v>7</v>
      </c>
    </row>
    <row r="8" spans="1:16" ht="16.5" thickTop="1" thickBot="1" x14ac:dyDescent="0.3">
      <c r="A8" s="23"/>
      <c r="B8" s="17">
        <v>0</v>
      </c>
      <c r="C8" s="34"/>
      <c r="D8" s="106">
        <v>43163</v>
      </c>
      <c r="E8" s="24">
        <v>86175.52</v>
      </c>
      <c r="F8" s="19"/>
      <c r="G8" s="108">
        <v>43163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v>86175.5</v>
      </c>
      <c r="M8" s="33" t="s">
        <v>7</v>
      </c>
    </row>
    <row r="9" spans="1:16" ht="16.5" thickTop="1" thickBot="1" x14ac:dyDescent="0.3">
      <c r="A9" s="23"/>
      <c r="B9" s="17">
        <v>0</v>
      </c>
      <c r="C9" s="36"/>
      <c r="D9" s="106">
        <v>43164</v>
      </c>
      <c r="E9" s="24">
        <v>60931.28</v>
      </c>
      <c r="F9" s="19"/>
      <c r="G9" s="108">
        <v>43164</v>
      </c>
      <c r="H9" s="26">
        <v>0</v>
      </c>
      <c r="I9" s="37" t="s">
        <v>76</v>
      </c>
      <c r="J9" s="28" t="s">
        <v>71</v>
      </c>
      <c r="K9" s="38">
        <v>9121.84</v>
      </c>
      <c r="L9" s="32">
        <v>60931</v>
      </c>
      <c r="M9" s="33" t="s">
        <v>7</v>
      </c>
    </row>
    <row r="10" spans="1:16" ht="16.5" thickTop="1" thickBot="1" x14ac:dyDescent="0.3">
      <c r="A10" s="23"/>
      <c r="B10" s="17">
        <v>0</v>
      </c>
      <c r="C10" s="34"/>
      <c r="D10" s="106">
        <v>43165</v>
      </c>
      <c r="E10" s="24">
        <v>24245.8</v>
      </c>
      <c r="F10" s="19"/>
      <c r="G10" s="108">
        <v>43165</v>
      </c>
      <c r="H10" s="26">
        <v>0</v>
      </c>
      <c r="I10" s="37" t="s">
        <v>77</v>
      </c>
      <c r="J10" s="28" t="s">
        <v>72</v>
      </c>
      <c r="K10" s="38">
        <v>9150.08</v>
      </c>
      <c r="L10" s="32">
        <v>24246</v>
      </c>
      <c r="M10" s="33" t="s">
        <v>7</v>
      </c>
    </row>
    <row r="11" spans="1:16" ht="16.5" thickTop="1" thickBot="1" x14ac:dyDescent="0.3">
      <c r="A11" s="23"/>
      <c r="B11" s="17">
        <v>0</v>
      </c>
      <c r="C11" s="34"/>
      <c r="D11" s="106">
        <v>43166</v>
      </c>
      <c r="E11" s="24">
        <v>33528.47</v>
      </c>
      <c r="F11" s="19"/>
      <c r="G11" s="108">
        <v>43166</v>
      </c>
      <c r="H11" s="26">
        <v>0</v>
      </c>
      <c r="I11" s="37" t="s">
        <v>78</v>
      </c>
      <c r="J11" s="28" t="s">
        <v>73</v>
      </c>
      <c r="K11" s="38">
        <v>9150.08</v>
      </c>
      <c r="L11" s="32">
        <v>33528</v>
      </c>
      <c r="M11" s="33" t="s">
        <v>7</v>
      </c>
    </row>
    <row r="12" spans="1:16" ht="16.5" thickTop="1" thickBot="1" x14ac:dyDescent="0.3">
      <c r="A12" s="23"/>
      <c r="B12" s="17">
        <v>0</v>
      </c>
      <c r="C12" s="34"/>
      <c r="D12" s="106">
        <v>43167</v>
      </c>
      <c r="E12" s="24">
        <v>43504.6</v>
      </c>
      <c r="F12" s="19"/>
      <c r="G12" s="108">
        <v>43167</v>
      </c>
      <c r="H12" s="26">
        <v>0</v>
      </c>
      <c r="I12" s="37" t="s">
        <v>79</v>
      </c>
      <c r="J12" s="28" t="s">
        <v>74</v>
      </c>
      <c r="K12" s="38">
        <v>9807.2199999999993</v>
      </c>
      <c r="L12" s="32">
        <v>42634</v>
      </c>
      <c r="M12" s="33" t="s">
        <v>7</v>
      </c>
      <c r="N12" s="39"/>
    </row>
    <row r="13" spans="1:16" ht="16.5" thickTop="1" thickBot="1" x14ac:dyDescent="0.3">
      <c r="A13" s="23"/>
      <c r="B13" s="17">
        <v>0</v>
      </c>
      <c r="C13" s="34"/>
      <c r="D13" s="106">
        <v>43168</v>
      </c>
      <c r="E13" s="24">
        <v>61713.25</v>
      </c>
      <c r="F13" s="19"/>
      <c r="G13" s="108">
        <v>43168</v>
      </c>
      <c r="H13" s="26">
        <v>0</v>
      </c>
      <c r="I13" s="37" t="s">
        <v>80</v>
      </c>
      <c r="J13" s="28" t="s">
        <v>75</v>
      </c>
      <c r="K13" s="29">
        <v>9407.2199999999993</v>
      </c>
      <c r="L13" s="32">
        <f>20000+40813</f>
        <v>60813</v>
      </c>
      <c r="M13" s="33" t="s">
        <v>7</v>
      </c>
    </row>
    <row r="14" spans="1:16" ht="16.5" thickTop="1" thickBot="1" x14ac:dyDescent="0.3">
      <c r="A14" s="23"/>
      <c r="B14" s="17">
        <v>0</v>
      </c>
      <c r="C14" s="36"/>
      <c r="D14" s="106">
        <v>43169</v>
      </c>
      <c r="E14" s="24">
        <v>77248.179999999993</v>
      </c>
      <c r="F14" s="19"/>
      <c r="G14" s="108">
        <v>43169</v>
      </c>
      <c r="H14" s="26">
        <v>35</v>
      </c>
      <c r="I14" s="27"/>
      <c r="J14" s="40"/>
      <c r="K14" s="29">
        <v>0</v>
      </c>
      <c r="L14" s="32">
        <v>77213</v>
      </c>
      <c r="M14" s="33" t="s">
        <v>7</v>
      </c>
    </row>
    <row r="15" spans="1:16" ht="16.5" thickTop="1" thickBot="1" x14ac:dyDescent="0.3">
      <c r="A15" s="23"/>
      <c r="B15" s="17">
        <v>0</v>
      </c>
      <c r="C15" s="36"/>
      <c r="D15" s="106">
        <v>43170</v>
      </c>
      <c r="E15" s="24">
        <v>69399.62</v>
      </c>
      <c r="F15" s="19"/>
      <c r="G15" s="108">
        <v>43170</v>
      </c>
      <c r="H15" s="26">
        <v>0</v>
      </c>
      <c r="I15" s="27"/>
      <c r="J15" s="41"/>
      <c r="K15" s="29">
        <v>0</v>
      </c>
      <c r="L15" s="32">
        <v>69400</v>
      </c>
      <c r="M15" s="33" t="s">
        <v>7</v>
      </c>
    </row>
    <row r="16" spans="1:16" ht="16.5" thickTop="1" thickBot="1" x14ac:dyDescent="0.3">
      <c r="A16" s="23"/>
      <c r="B16" s="17">
        <v>0</v>
      </c>
      <c r="C16" s="36"/>
      <c r="D16" s="106">
        <v>43171</v>
      </c>
      <c r="E16" s="24">
        <v>41848.120000000003</v>
      </c>
      <c r="F16" s="19"/>
      <c r="G16" s="108">
        <v>43171</v>
      </c>
      <c r="H16" s="26">
        <v>0</v>
      </c>
      <c r="I16" s="27"/>
      <c r="J16" s="42"/>
      <c r="K16" s="43">
        <v>0</v>
      </c>
      <c r="L16" s="32">
        <v>41848</v>
      </c>
      <c r="M16" s="33" t="s">
        <v>7</v>
      </c>
    </row>
    <row r="17" spans="1:15" ht="16.5" thickTop="1" thickBot="1" x14ac:dyDescent="0.3">
      <c r="A17" s="23"/>
      <c r="B17" s="17">
        <v>0</v>
      </c>
      <c r="C17" s="36"/>
      <c r="D17" s="106">
        <v>43172</v>
      </c>
      <c r="E17" s="24">
        <v>18831.150000000001</v>
      </c>
      <c r="F17" s="19"/>
      <c r="G17" s="108">
        <v>43172</v>
      </c>
      <c r="H17" s="26">
        <v>0</v>
      </c>
      <c r="I17" s="27"/>
      <c r="J17" s="245" t="s">
        <v>11</v>
      </c>
      <c r="K17" s="43">
        <v>0</v>
      </c>
      <c r="L17" s="32">
        <v>18831</v>
      </c>
      <c r="M17" s="33" t="s">
        <v>7</v>
      </c>
    </row>
    <row r="18" spans="1:15" ht="16.5" thickTop="1" thickBot="1" x14ac:dyDescent="0.3">
      <c r="A18" s="23"/>
      <c r="B18" s="17">
        <v>0</v>
      </c>
      <c r="C18" s="34"/>
      <c r="D18" s="106">
        <v>43173</v>
      </c>
      <c r="E18" s="24">
        <v>44510.2</v>
      </c>
      <c r="F18" s="19"/>
      <c r="G18" s="108">
        <v>43173</v>
      </c>
      <c r="H18" s="26">
        <v>0</v>
      </c>
      <c r="I18" s="44"/>
      <c r="J18" s="245"/>
      <c r="K18" s="45">
        <v>0</v>
      </c>
      <c r="L18" s="32">
        <v>44510</v>
      </c>
      <c r="M18" s="33" t="s">
        <v>7</v>
      </c>
    </row>
    <row r="19" spans="1:15" ht="17.25" thickTop="1" thickBot="1" x14ac:dyDescent="0.3">
      <c r="A19" s="23"/>
      <c r="B19" s="17">
        <v>0</v>
      </c>
      <c r="C19" s="36"/>
      <c r="D19" s="106">
        <v>43174</v>
      </c>
      <c r="E19" s="24">
        <v>30022.720000000001</v>
      </c>
      <c r="F19" s="19"/>
      <c r="G19" s="108">
        <v>43174</v>
      </c>
      <c r="H19" s="26">
        <v>0</v>
      </c>
      <c r="I19" s="27"/>
      <c r="J19" s="46" t="s">
        <v>12</v>
      </c>
      <c r="K19" s="45">
        <v>0</v>
      </c>
      <c r="L19" s="32">
        <v>30023</v>
      </c>
      <c r="M19" s="47" t="s">
        <v>7</v>
      </c>
    </row>
    <row r="20" spans="1:15" ht="17.25" thickTop="1" thickBot="1" x14ac:dyDescent="0.3">
      <c r="A20" s="23"/>
      <c r="B20" s="17">
        <v>0</v>
      </c>
      <c r="C20" s="48"/>
      <c r="D20" s="106">
        <v>43175</v>
      </c>
      <c r="E20" s="24">
        <v>57830.11</v>
      </c>
      <c r="F20" s="19"/>
      <c r="G20" s="108">
        <v>43175</v>
      </c>
      <c r="H20" s="26">
        <v>0</v>
      </c>
      <c r="I20" s="49"/>
      <c r="J20" s="50" t="s">
        <v>13</v>
      </c>
      <c r="K20" s="51">
        <v>0</v>
      </c>
      <c r="L20" s="32">
        <f>25000+32830</f>
        <v>57830</v>
      </c>
      <c r="M20" s="47" t="s">
        <v>7</v>
      </c>
    </row>
    <row r="21" spans="1:15" ht="16.5" thickTop="1" thickBot="1" x14ac:dyDescent="0.3">
      <c r="A21" s="23"/>
      <c r="B21" s="17">
        <v>0</v>
      </c>
      <c r="C21" s="48"/>
      <c r="D21" s="106">
        <v>43176</v>
      </c>
      <c r="E21" s="24">
        <v>75507.149999999994</v>
      </c>
      <c r="F21" s="19"/>
      <c r="G21" s="108">
        <v>43176</v>
      </c>
      <c r="H21" s="26">
        <v>45</v>
      </c>
      <c r="I21" s="33" t="s">
        <v>14</v>
      </c>
      <c r="J21" s="52"/>
      <c r="K21" s="51"/>
      <c r="L21" s="32">
        <v>75462</v>
      </c>
      <c r="M21" s="33" t="s">
        <v>7</v>
      </c>
    </row>
    <row r="22" spans="1:15" ht="17.25" thickTop="1" thickBot="1" x14ac:dyDescent="0.3">
      <c r="A22" s="23"/>
      <c r="B22" s="17">
        <v>0</v>
      </c>
      <c r="C22" s="36"/>
      <c r="D22" s="106">
        <v>43177</v>
      </c>
      <c r="E22" s="24">
        <v>68127.02</v>
      </c>
      <c r="F22" s="19"/>
      <c r="G22" s="108">
        <v>43177</v>
      </c>
      <c r="H22" s="26">
        <v>0</v>
      </c>
      <c r="I22" s="49"/>
      <c r="J22" s="53"/>
      <c r="K22" s="51">
        <v>0</v>
      </c>
      <c r="L22" s="32">
        <v>68127</v>
      </c>
      <c r="M22" s="47" t="s">
        <v>7</v>
      </c>
    </row>
    <row r="23" spans="1:15" ht="16.5" thickTop="1" thickBot="1" x14ac:dyDescent="0.3">
      <c r="A23" s="23"/>
      <c r="B23" s="17">
        <v>0</v>
      </c>
      <c r="C23" s="36"/>
      <c r="D23" s="106">
        <v>43178</v>
      </c>
      <c r="E23" s="24">
        <v>63415.01</v>
      </c>
      <c r="F23" s="19"/>
      <c r="G23" s="108">
        <v>43178</v>
      </c>
      <c r="H23" s="26">
        <v>35</v>
      </c>
      <c r="I23" s="27"/>
      <c r="J23" s="52"/>
      <c r="K23" s="51">
        <v>0</v>
      </c>
      <c r="L23" s="32">
        <v>63380</v>
      </c>
      <c r="M23" s="33" t="s">
        <v>7</v>
      </c>
    </row>
    <row r="24" spans="1:15" ht="16.5" thickTop="1" thickBot="1" x14ac:dyDescent="0.3">
      <c r="A24" s="23"/>
      <c r="B24" s="17">
        <v>0</v>
      </c>
      <c r="C24" s="36"/>
      <c r="D24" s="106">
        <v>43179</v>
      </c>
      <c r="E24" s="24">
        <v>25138.55</v>
      </c>
      <c r="F24" s="19"/>
      <c r="G24" s="108">
        <v>43179</v>
      </c>
      <c r="H24" s="26">
        <v>0</v>
      </c>
      <c r="I24" s="27" t="s">
        <v>69</v>
      </c>
      <c r="J24" s="54" t="s">
        <v>15</v>
      </c>
      <c r="K24" s="51">
        <v>870</v>
      </c>
      <c r="L24" s="32">
        <v>25238.5</v>
      </c>
      <c r="M24" s="33" t="s">
        <v>7</v>
      </c>
      <c r="N24" s="168">
        <v>100</v>
      </c>
    </row>
    <row r="25" spans="1:15" ht="16.5" thickTop="1" thickBot="1" x14ac:dyDescent="0.3">
      <c r="A25" s="23"/>
      <c r="B25" s="17">
        <v>0</v>
      </c>
      <c r="C25" s="48"/>
      <c r="D25" s="106">
        <v>43180</v>
      </c>
      <c r="E25" s="24">
        <v>38982</v>
      </c>
      <c r="F25" s="19"/>
      <c r="G25" s="108">
        <v>43180</v>
      </c>
      <c r="H25" s="26">
        <v>40</v>
      </c>
      <c r="I25" s="27"/>
      <c r="J25" s="55"/>
      <c r="K25" s="51">
        <v>0</v>
      </c>
      <c r="L25" s="32">
        <v>38942</v>
      </c>
      <c r="M25" s="33" t="s">
        <v>7</v>
      </c>
    </row>
    <row r="26" spans="1:15" ht="16.5" thickTop="1" thickBot="1" x14ac:dyDescent="0.3">
      <c r="A26" s="23"/>
      <c r="B26" s="17">
        <v>0</v>
      </c>
      <c r="C26" s="36"/>
      <c r="D26" s="106">
        <v>43181</v>
      </c>
      <c r="E26" s="24">
        <v>51250.35</v>
      </c>
      <c r="F26" s="19"/>
      <c r="G26" s="108">
        <v>43181</v>
      </c>
      <c r="H26" s="26">
        <v>0</v>
      </c>
      <c r="I26" s="27" t="s">
        <v>70</v>
      </c>
      <c r="J26" s="56" t="s">
        <v>16</v>
      </c>
      <c r="K26" s="27">
        <v>900</v>
      </c>
      <c r="L26" s="32">
        <v>51250</v>
      </c>
      <c r="M26" s="33" t="s">
        <v>7</v>
      </c>
      <c r="N26" t="s">
        <v>64</v>
      </c>
    </row>
    <row r="27" spans="1:15" ht="16.5" thickTop="1" thickBot="1" x14ac:dyDescent="0.3">
      <c r="A27" s="23"/>
      <c r="B27" s="17">
        <v>0</v>
      </c>
      <c r="C27" s="36"/>
      <c r="D27" s="106">
        <v>43182</v>
      </c>
      <c r="E27" s="24">
        <v>59966.55</v>
      </c>
      <c r="F27" s="19"/>
      <c r="G27" s="108">
        <v>43182</v>
      </c>
      <c r="H27" s="26">
        <v>0</v>
      </c>
      <c r="I27" s="27"/>
      <c r="J27" s="116"/>
      <c r="K27" s="27">
        <v>0</v>
      </c>
      <c r="L27" s="32">
        <f>55000+4966.5</f>
        <v>59966.5</v>
      </c>
      <c r="M27" s="33" t="s">
        <v>7</v>
      </c>
      <c r="N27" t="s">
        <v>23</v>
      </c>
    </row>
    <row r="28" spans="1:15" ht="16.5" thickTop="1" thickBot="1" x14ac:dyDescent="0.3">
      <c r="A28" s="23"/>
      <c r="B28" s="17">
        <v>0</v>
      </c>
      <c r="C28" s="36"/>
      <c r="D28" s="106">
        <v>43183</v>
      </c>
      <c r="E28" s="24">
        <v>86302.89</v>
      </c>
      <c r="F28" s="19"/>
      <c r="G28" s="108">
        <v>43183</v>
      </c>
      <c r="H28" s="26">
        <v>0</v>
      </c>
      <c r="I28" s="27"/>
      <c r="J28" s="57"/>
      <c r="K28" s="51">
        <v>0</v>
      </c>
      <c r="L28" s="58">
        <v>86303</v>
      </c>
      <c r="M28" s="33" t="s">
        <v>7</v>
      </c>
      <c r="O28" t="s">
        <v>99</v>
      </c>
    </row>
    <row r="29" spans="1:15" ht="16.5" thickTop="1" thickBot="1" x14ac:dyDescent="0.3">
      <c r="A29" s="23"/>
      <c r="B29" s="17">
        <v>0</v>
      </c>
      <c r="C29" s="36"/>
      <c r="D29" s="106">
        <v>43184</v>
      </c>
      <c r="E29" s="24">
        <v>67019.47</v>
      </c>
      <c r="F29" s="19"/>
      <c r="G29" s="108">
        <v>43184</v>
      </c>
      <c r="H29" s="26">
        <v>0</v>
      </c>
      <c r="I29" s="27"/>
      <c r="J29" s="55"/>
      <c r="K29" s="51">
        <v>0</v>
      </c>
      <c r="L29" s="32">
        <v>67019.5</v>
      </c>
      <c r="M29" s="33" t="s">
        <v>7</v>
      </c>
    </row>
    <row r="30" spans="1:15" ht="16.5" thickTop="1" thickBot="1" x14ac:dyDescent="0.3">
      <c r="A30" s="23"/>
      <c r="B30" s="17">
        <v>0</v>
      </c>
      <c r="C30" s="48"/>
      <c r="D30" s="106">
        <v>43185</v>
      </c>
      <c r="E30" s="24">
        <v>76322.19</v>
      </c>
      <c r="F30" s="19"/>
      <c r="G30" s="108">
        <v>43185</v>
      </c>
      <c r="H30" s="26">
        <v>35</v>
      </c>
      <c r="I30" s="27"/>
      <c r="J30" s="60" t="s">
        <v>18</v>
      </c>
      <c r="K30" s="51">
        <v>0</v>
      </c>
      <c r="L30" s="58">
        <v>76287</v>
      </c>
      <c r="M30" s="33" t="s">
        <v>7</v>
      </c>
    </row>
    <row r="31" spans="1:15" ht="16.5" thickTop="1" thickBot="1" x14ac:dyDescent="0.3">
      <c r="A31" s="23"/>
      <c r="B31" s="17">
        <v>0</v>
      </c>
      <c r="C31" s="48"/>
      <c r="D31" s="106">
        <v>43186</v>
      </c>
      <c r="E31" s="24">
        <v>24412.44</v>
      </c>
      <c r="F31" s="19"/>
      <c r="G31" s="108">
        <v>43186</v>
      </c>
      <c r="H31" s="26">
        <v>0</v>
      </c>
      <c r="I31" s="61"/>
      <c r="J31" s="62"/>
      <c r="K31" s="51">
        <v>0</v>
      </c>
      <c r="L31" s="58">
        <v>24412.5</v>
      </c>
      <c r="M31" s="33" t="s">
        <v>7</v>
      </c>
    </row>
    <row r="32" spans="1:15" ht="16.5" thickTop="1" thickBot="1" x14ac:dyDescent="0.3">
      <c r="A32" s="23"/>
      <c r="B32" s="17">
        <v>0</v>
      </c>
      <c r="C32" s="34"/>
      <c r="D32" s="106">
        <v>43187</v>
      </c>
      <c r="E32" s="24">
        <v>57495.98</v>
      </c>
      <c r="F32" s="19"/>
      <c r="G32" s="108">
        <v>43187</v>
      </c>
      <c r="H32" s="26">
        <v>0</v>
      </c>
      <c r="I32" s="61"/>
      <c r="J32" s="60"/>
      <c r="K32" s="29">
        <v>0</v>
      </c>
      <c r="L32" s="32">
        <f>35000+22496</f>
        <v>57496</v>
      </c>
      <c r="M32" s="33" t="s">
        <v>7</v>
      </c>
    </row>
    <row r="33" spans="1:14" ht="16.5" thickTop="1" thickBot="1" x14ac:dyDescent="0.3">
      <c r="A33" s="23"/>
      <c r="B33" s="17">
        <v>0</v>
      </c>
      <c r="C33" s="34"/>
      <c r="D33" s="106">
        <v>43188</v>
      </c>
      <c r="E33" s="24">
        <v>87373.74</v>
      </c>
      <c r="F33" s="19"/>
      <c r="G33" s="108">
        <v>43188</v>
      </c>
      <c r="H33" s="26">
        <v>50</v>
      </c>
      <c r="I33" s="27"/>
      <c r="J33" s="63"/>
      <c r="K33" s="38"/>
      <c r="L33" s="32">
        <v>87324</v>
      </c>
      <c r="M33" s="33" t="s">
        <v>7</v>
      </c>
    </row>
    <row r="34" spans="1:14" ht="17.25" thickTop="1" thickBot="1" x14ac:dyDescent="0.3">
      <c r="A34" s="23"/>
      <c r="B34" s="17">
        <v>0</v>
      </c>
      <c r="C34" s="48"/>
      <c r="D34" s="106">
        <v>43189</v>
      </c>
      <c r="E34" s="169">
        <v>0</v>
      </c>
      <c r="F34" s="19"/>
      <c r="G34" s="108">
        <v>43189</v>
      </c>
      <c r="H34" s="170">
        <v>0</v>
      </c>
      <c r="I34" s="27"/>
      <c r="J34" s="63"/>
      <c r="K34" s="38"/>
      <c r="L34" s="171">
        <v>0</v>
      </c>
      <c r="M34" s="172" t="s">
        <v>81</v>
      </c>
      <c r="N34" s="64"/>
    </row>
    <row r="35" spans="1:14" ht="16.5" thickTop="1" thickBot="1" x14ac:dyDescent="0.3">
      <c r="A35" s="23"/>
      <c r="B35" s="17">
        <v>0</v>
      </c>
      <c r="C35" s="18"/>
      <c r="D35" s="106">
        <v>43190</v>
      </c>
      <c r="E35" s="24">
        <v>90018.66</v>
      </c>
      <c r="F35" s="19"/>
      <c r="G35" s="108">
        <v>43190</v>
      </c>
      <c r="H35" s="26">
        <v>0</v>
      </c>
      <c r="I35" s="27"/>
      <c r="J35" s="60"/>
      <c r="K35" s="29"/>
      <c r="L35" s="105">
        <v>90018.5</v>
      </c>
      <c r="M35" s="33" t="s">
        <v>7</v>
      </c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1673381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1673568.18</v>
      </c>
      <c r="G38" s="163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82633.440000000002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46" t="s">
        <v>20</v>
      </c>
      <c r="H40" s="247"/>
      <c r="I40" s="164"/>
      <c r="J40" s="248">
        <f>H38+K38</f>
        <v>82908.44</v>
      </c>
      <c r="K40" s="249"/>
      <c r="L40" s="94"/>
      <c r="M40" s="95"/>
    </row>
    <row r="41" spans="1:14" ht="15.75" x14ac:dyDescent="0.25">
      <c r="A41" s="1"/>
      <c r="B41" s="5"/>
      <c r="C41" s="250" t="s">
        <v>21</v>
      </c>
      <c r="D41" s="250"/>
      <c r="E41" s="51">
        <f>E38-J40</f>
        <v>1590659.74</v>
      </c>
      <c r="H41" s="96"/>
      <c r="I41" s="96" t="s">
        <v>23</v>
      </c>
      <c r="J41" s="2" t="s">
        <v>23</v>
      </c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29501.42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-1681387.37</v>
      </c>
      <c r="H43" s="244"/>
      <c r="I43" s="244"/>
      <c r="J43" s="244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-61226.210000000196</v>
      </c>
      <c r="H44" s="251" t="s">
        <v>26</v>
      </c>
      <c r="I44" s="251"/>
      <c r="J44" s="252">
        <f>E46</f>
        <v>124107.88999999981</v>
      </c>
      <c r="K44" s="253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185334.1</v>
      </c>
      <c r="H45" s="254" t="s">
        <v>1</v>
      </c>
      <c r="I45" s="254"/>
      <c r="J45" s="255">
        <f>-B4</f>
        <v>-126063.03999999999</v>
      </c>
      <c r="K45" s="255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124107.88999999981</v>
      </c>
      <c r="I46" s="101"/>
      <c r="J46" s="256">
        <v>0</v>
      </c>
      <c r="K46" s="256"/>
      <c r="L46" s="94"/>
      <c r="M46" s="95"/>
    </row>
    <row r="47" spans="1:14" ht="19.5" thickBot="1" x14ac:dyDescent="0.3">
      <c r="A47" s="1"/>
      <c r="B47" s="5"/>
      <c r="E47" s="51"/>
      <c r="H47" s="257" t="s">
        <v>83</v>
      </c>
      <c r="I47" s="258"/>
      <c r="J47" s="259">
        <f>SUM(J44:K46)</f>
        <v>-1955.1500000001834</v>
      </c>
      <c r="K47" s="260"/>
      <c r="L47" s="94"/>
      <c r="M47" s="95"/>
    </row>
    <row r="48" spans="1:14" x14ac:dyDescent="0.25">
      <c r="A48" s="1"/>
      <c r="B48" s="5"/>
      <c r="C48" s="244"/>
      <c r="D48" s="244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"/>
  <sheetViews>
    <sheetView topLeftCell="A10" workbookViewId="0">
      <selection activeCell="G26" sqref="G2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52</v>
      </c>
      <c r="I2" s="265"/>
      <c r="J2" s="266"/>
    </row>
    <row r="3" spans="1:10" x14ac:dyDescent="0.25">
      <c r="A3" s="124">
        <v>43160</v>
      </c>
      <c r="B3" s="125">
        <v>659</v>
      </c>
      <c r="C3" s="126">
        <v>111383</v>
      </c>
      <c r="D3" s="127"/>
      <c r="E3" s="126"/>
      <c r="F3" s="128">
        <f t="shared" ref="F3:F32" si="0">C3-E3</f>
        <v>111383</v>
      </c>
      <c r="H3" s="267"/>
      <c r="I3" s="268"/>
      <c r="J3" s="269"/>
    </row>
    <row r="4" spans="1:10" x14ac:dyDescent="0.25">
      <c r="A4" s="124">
        <v>43161</v>
      </c>
      <c r="B4" s="125">
        <v>667</v>
      </c>
      <c r="C4" s="126">
        <v>480</v>
      </c>
      <c r="D4" s="127"/>
      <c r="E4" s="131"/>
      <c r="F4" s="132">
        <f t="shared" si="0"/>
        <v>480</v>
      </c>
      <c r="H4" s="267"/>
      <c r="I4" s="268"/>
      <c r="J4" s="269"/>
    </row>
    <row r="5" spans="1:10" ht="15.75" thickBot="1" x14ac:dyDescent="0.3">
      <c r="A5" s="129">
        <v>43161</v>
      </c>
      <c r="B5" s="130">
        <v>671</v>
      </c>
      <c r="C5" s="131">
        <v>41239</v>
      </c>
      <c r="D5" s="127"/>
      <c r="E5" s="131"/>
      <c r="F5" s="132">
        <f t="shared" si="0"/>
        <v>41239</v>
      </c>
      <c r="H5" s="270"/>
      <c r="I5" s="271"/>
      <c r="J5" s="272"/>
    </row>
    <row r="6" spans="1:10" x14ac:dyDescent="0.25">
      <c r="A6" s="129">
        <v>43162</v>
      </c>
      <c r="B6" s="130">
        <v>674</v>
      </c>
      <c r="C6" s="131">
        <v>62434</v>
      </c>
      <c r="D6" s="127"/>
      <c r="E6" s="131"/>
      <c r="F6" s="133">
        <f t="shared" si="0"/>
        <v>62434</v>
      </c>
    </row>
    <row r="7" spans="1:10" x14ac:dyDescent="0.25">
      <c r="A7" s="129">
        <v>43162</v>
      </c>
      <c r="B7" s="130">
        <v>681</v>
      </c>
      <c r="C7" s="131">
        <v>3901</v>
      </c>
      <c r="D7" s="127"/>
      <c r="E7" s="131"/>
      <c r="F7" s="133">
        <f t="shared" si="0"/>
        <v>3901</v>
      </c>
    </row>
    <row r="8" spans="1:10" x14ac:dyDescent="0.25">
      <c r="A8" s="129">
        <v>43164</v>
      </c>
      <c r="B8" s="130">
        <v>683</v>
      </c>
      <c r="C8" s="131">
        <v>63755.1</v>
      </c>
      <c r="D8" s="127"/>
      <c r="E8" s="131"/>
      <c r="F8" s="133">
        <f t="shared" si="0"/>
        <v>63755.1</v>
      </c>
    </row>
    <row r="9" spans="1:10" x14ac:dyDescent="0.25">
      <c r="A9" s="129">
        <v>43164</v>
      </c>
      <c r="B9" s="130">
        <v>684</v>
      </c>
      <c r="C9" s="131">
        <v>2597</v>
      </c>
      <c r="D9" s="127"/>
      <c r="E9" s="131"/>
      <c r="F9" s="133">
        <f t="shared" si="0"/>
        <v>2597</v>
      </c>
    </row>
    <row r="10" spans="1:10" x14ac:dyDescent="0.25">
      <c r="A10" s="129">
        <v>43165</v>
      </c>
      <c r="B10" s="130">
        <v>690</v>
      </c>
      <c r="C10" s="131">
        <v>70553.399999999994</v>
      </c>
      <c r="D10" s="127"/>
      <c r="E10" s="131"/>
      <c r="F10" s="133">
        <f t="shared" si="0"/>
        <v>70553.399999999994</v>
      </c>
    </row>
    <row r="11" spans="1:10" x14ac:dyDescent="0.25">
      <c r="A11" s="129">
        <v>43166</v>
      </c>
      <c r="B11" s="130">
        <v>701</v>
      </c>
      <c r="C11" s="131">
        <v>32246.81</v>
      </c>
      <c r="D11" s="127"/>
      <c r="E11" s="131"/>
      <c r="F11" s="133">
        <f t="shared" si="0"/>
        <v>32246.81</v>
      </c>
    </row>
    <row r="12" spans="1:10" x14ac:dyDescent="0.25">
      <c r="A12" s="134">
        <v>43167</v>
      </c>
      <c r="B12" s="135">
        <v>704</v>
      </c>
      <c r="C12" s="131">
        <v>78008.600000000006</v>
      </c>
      <c r="D12" s="127"/>
      <c r="E12" s="131"/>
      <c r="F12" s="133">
        <f t="shared" si="0"/>
        <v>78008.600000000006</v>
      </c>
    </row>
    <row r="13" spans="1:10" x14ac:dyDescent="0.25">
      <c r="A13" s="134">
        <v>43167</v>
      </c>
      <c r="B13" s="135">
        <v>705</v>
      </c>
      <c r="C13" s="131">
        <v>1122.4000000000001</v>
      </c>
      <c r="D13" s="127"/>
      <c r="E13" s="131"/>
      <c r="F13" s="133">
        <f t="shared" si="0"/>
        <v>1122.4000000000001</v>
      </c>
    </row>
    <row r="14" spans="1:10" x14ac:dyDescent="0.25">
      <c r="A14" s="134">
        <v>43167</v>
      </c>
      <c r="B14" s="135">
        <v>707</v>
      </c>
      <c r="C14" s="131">
        <v>71880.3</v>
      </c>
      <c r="D14" s="127"/>
      <c r="E14" s="131"/>
      <c r="F14" s="133">
        <f t="shared" si="0"/>
        <v>71880.3</v>
      </c>
    </row>
    <row r="15" spans="1:10" x14ac:dyDescent="0.25">
      <c r="A15" s="134">
        <v>43169</v>
      </c>
      <c r="B15" s="135">
        <v>716</v>
      </c>
      <c r="C15" s="131">
        <v>80837.47</v>
      </c>
      <c r="D15" s="127"/>
      <c r="E15" s="131"/>
      <c r="F15" s="133">
        <f t="shared" si="0"/>
        <v>80837.47</v>
      </c>
    </row>
    <row r="16" spans="1:10" x14ac:dyDescent="0.25">
      <c r="A16" s="134">
        <v>43171</v>
      </c>
      <c r="B16" s="135">
        <v>722</v>
      </c>
      <c r="C16" s="131">
        <v>39291.910000000003</v>
      </c>
      <c r="D16" s="127"/>
      <c r="E16" s="131"/>
      <c r="F16" s="133">
        <f t="shared" si="0"/>
        <v>39291.910000000003</v>
      </c>
    </row>
    <row r="17" spans="1:6" x14ac:dyDescent="0.25">
      <c r="A17" s="134">
        <v>43173</v>
      </c>
      <c r="B17" s="135">
        <v>734</v>
      </c>
      <c r="C17" s="131">
        <v>68110.2</v>
      </c>
      <c r="D17" s="127"/>
      <c r="E17" s="131"/>
      <c r="F17" s="133">
        <f t="shared" si="0"/>
        <v>68110.2</v>
      </c>
    </row>
    <row r="18" spans="1:6" x14ac:dyDescent="0.25">
      <c r="A18" s="134">
        <v>43174</v>
      </c>
      <c r="B18" s="135">
        <v>738</v>
      </c>
      <c r="C18" s="131">
        <v>44395.93</v>
      </c>
      <c r="D18" s="127"/>
      <c r="E18" s="131"/>
      <c r="F18" s="133">
        <f t="shared" si="0"/>
        <v>44395.93</v>
      </c>
    </row>
    <row r="19" spans="1:6" x14ac:dyDescent="0.25">
      <c r="A19" s="134">
        <v>43175</v>
      </c>
      <c r="B19" s="135">
        <v>743</v>
      </c>
      <c r="C19" s="131">
        <v>103592.61</v>
      </c>
      <c r="D19" s="127"/>
      <c r="E19" s="131"/>
      <c r="F19" s="133">
        <f t="shared" si="0"/>
        <v>103592.61</v>
      </c>
    </row>
    <row r="20" spans="1:6" x14ac:dyDescent="0.25">
      <c r="A20" s="134">
        <v>43176</v>
      </c>
      <c r="B20" s="135">
        <v>751</v>
      </c>
      <c r="C20" s="131">
        <v>33915.58</v>
      </c>
      <c r="D20" s="127"/>
      <c r="E20" s="131"/>
      <c r="F20" s="133">
        <f t="shared" si="0"/>
        <v>33915.58</v>
      </c>
    </row>
    <row r="21" spans="1:6" x14ac:dyDescent="0.25">
      <c r="A21" s="134">
        <v>43176</v>
      </c>
      <c r="B21" s="135">
        <v>753</v>
      </c>
      <c r="C21" s="131">
        <v>17114</v>
      </c>
      <c r="D21" s="127"/>
      <c r="E21" s="131"/>
      <c r="F21" s="133">
        <f t="shared" si="0"/>
        <v>17114</v>
      </c>
    </row>
    <row r="22" spans="1:6" x14ac:dyDescent="0.25">
      <c r="A22" s="134">
        <v>43178</v>
      </c>
      <c r="B22" s="135">
        <v>755</v>
      </c>
      <c r="C22" s="131">
        <v>76773.740000000005</v>
      </c>
      <c r="D22" s="127"/>
      <c r="E22" s="131"/>
      <c r="F22" s="133">
        <f t="shared" si="0"/>
        <v>76773.740000000005</v>
      </c>
    </row>
    <row r="23" spans="1:6" x14ac:dyDescent="0.25">
      <c r="A23" s="134">
        <v>43180</v>
      </c>
      <c r="B23" s="135">
        <v>764</v>
      </c>
      <c r="C23" s="131">
        <v>35384.559999999998</v>
      </c>
      <c r="D23" s="127"/>
      <c r="E23" s="131"/>
      <c r="F23" s="133">
        <f t="shared" si="0"/>
        <v>35384.559999999998</v>
      </c>
    </row>
    <row r="24" spans="1:6" x14ac:dyDescent="0.25">
      <c r="A24" s="134">
        <v>43181</v>
      </c>
      <c r="B24" s="135">
        <v>769</v>
      </c>
      <c r="C24" s="131">
        <v>101359.46</v>
      </c>
      <c r="D24" s="127"/>
      <c r="E24" s="131"/>
      <c r="F24" s="133">
        <f t="shared" si="0"/>
        <v>101359.46</v>
      </c>
    </row>
    <row r="25" spans="1:6" x14ac:dyDescent="0.25">
      <c r="A25" s="134">
        <v>43182</v>
      </c>
      <c r="B25" s="135">
        <v>777</v>
      </c>
      <c r="C25" s="131">
        <v>93792.6</v>
      </c>
      <c r="D25" s="127"/>
      <c r="E25" s="131"/>
      <c r="F25" s="133">
        <f t="shared" si="0"/>
        <v>93792.6</v>
      </c>
    </row>
    <row r="26" spans="1:6" x14ac:dyDescent="0.25">
      <c r="A26" s="134">
        <v>43183</v>
      </c>
      <c r="B26" s="135">
        <v>785</v>
      </c>
      <c r="C26" s="131">
        <v>49855.7</v>
      </c>
      <c r="D26" s="127"/>
      <c r="E26" s="131"/>
      <c r="F26" s="133">
        <f t="shared" si="0"/>
        <v>49855.7</v>
      </c>
    </row>
    <row r="27" spans="1:6" x14ac:dyDescent="0.25">
      <c r="A27" s="134">
        <v>43185</v>
      </c>
      <c r="B27" s="135">
        <v>788</v>
      </c>
      <c r="C27" s="131">
        <v>61527.8</v>
      </c>
      <c r="D27" s="127"/>
      <c r="E27" s="131"/>
      <c r="F27" s="133">
        <f t="shared" si="0"/>
        <v>61527.8</v>
      </c>
    </row>
    <row r="28" spans="1:6" x14ac:dyDescent="0.25">
      <c r="A28" s="134">
        <v>43187</v>
      </c>
      <c r="B28" s="135">
        <v>803</v>
      </c>
      <c r="C28" s="131">
        <v>109282</v>
      </c>
      <c r="D28" s="127"/>
      <c r="E28" s="131"/>
      <c r="F28" s="133">
        <f t="shared" si="0"/>
        <v>109282</v>
      </c>
    </row>
    <row r="29" spans="1:6" x14ac:dyDescent="0.25">
      <c r="A29" s="134">
        <v>43188</v>
      </c>
      <c r="B29" s="135">
        <v>813</v>
      </c>
      <c r="C29" s="131">
        <v>119379.1</v>
      </c>
      <c r="D29" s="127"/>
      <c r="E29" s="131"/>
      <c r="F29" s="133">
        <f t="shared" si="0"/>
        <v>119379.1</v>
      </c>
    </row>
    <row r="30" spans="1:6" x14ac:dyDescent="0.25">
      <c r="A30" s="134">
        <v>43190</v>
      </c>
      <c r="B30" s="135">
        <v>818</v>
      </c>
      <c r="C30" s="131">
        <v>107174.1</v>
      </c>
      <c r="D30" s="127"/>
      <c r="E30" s="131"/>
      <c r="F30" s="133">
        <f t="shared" si="0"/>
        <v>107174.1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0</v>
      </c>
      <c r="F32" s="145">
        <f t="shared" si="0"/>
        <v>0</v>
      </c>
    </row>
    <row r="33" spans="1:6" s="151" customFormat="1" ht="19.5" thickBot="1" x14ac:dyDescent="0.35">
      <c r="A33" s="149"/>
      <c r="B33" s="150"/>
      <c r="C33" s="146">
        <f>SUM(C3:C32)</f>
        <v>1681387.3700000003</v>
      </c>
      <c r="D33" s="146"/>
      <c r="E33" s="152">
        <f>SUM(E3:E32)</f>
        <v>0</v>
      </c>
      <c r="F33" s="152">
        <f>SUM(F3:F32)</f>
        <v>1681387.3700000003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P68"/>
  <sheetViews>
    <sheetView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5" t="s">
        <v>101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6" ht="15.75" thickBot="1" x14ac:dyDescent="0.3">
      <c r="A2" s="1"/>
      <c r="B2" s="5"/>
      <c r="D2" s="173"/>
      <c r="E2" s="8"/>
      <c r="L2" s="9"/>
      <c r="M2" s="4"/>
    </row>
    <row r="3" spans="1:16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6" ht="20.25" thickTop="1" thickBot="1" x14ac:dyDescent="0.35">
      <c r="A4" s="237"/>
      <c r="B4" s="12">
        <v>185334.1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43191</v>
      </c>
      <c r="E5" s="157">
        <v>62116.67</v>
      </c>
      <c r="F5" s="158"/>
      <c r="G5" s="159">
        <v>43191</v>
      </c>
      <c r="H5" s="160">
        <v>0</v>
      </c>
      <c r="I5" s="20"/>
      <c r="J5" s="21"/>
      <c r="K5" s="21"/>
      <c r="L5" s="22">
        <v>86118</v>
      </c>
      <c r="M5" s="103"/>
      <c r="N5" s="19"/>
    </row>
    <row r="6" spans="1:16" ht="17.25" thickTop="1" thickBot="1" x14ac:dyDescent="0.3">
      <c r="A6" s="23"/>
      <c r="B6" s="17">
        <v>0</v>
      </c>
      <c r="C6" s="18"/>
      <c r="D6" s="106">
        <v>43192</v>
      </c>
      <c r="E6" s="24">
        <v>57852.39</v>
      </c>
      <c r="F6" s="25"/>
      <c r="G6" s="108">
        <v>43192</v>
      </c>
      <c r="H6" s="26">
        <v>0</v>
      </c>
      <c r="I6" s="27"/>
      <c r="J6" s="28" t="s">
        <v>8</v>
      </c>
      <c r="K6" s="29">
        <v>549</v>
      </c>
      <c r="L6" s="22">
        <v>57852.5</v>
      </c>
      <c r="M6" s="103"/>
      <c r="N6" s="19"/>
    </row>
    <row r="7" spans="1:16" ht="17.25" thickTop="1" thickBot="1" x14ac:dyDescent="0.3">
      <c r="A7" s="23"/>
      <c r="B7" s="17">
        <v>0</v>
      </c>
      <c r="C7" s="18"/>
      <c r="D7" s="106">
        <v>43193</v>
      </c>
      <c r="E7" s="24">
        <v>83623.95</v>
      </c>
      <c r="F7" s="19"/>
      <c r="G7" s="108">
        <v>43193</v>
      </c>
      <c r="H7" s="26">
        <v>0</v>
      </c>
      <c r="I7" s="61">
        <v>43160</v>
      </c>
      <c r="J7" s="30" t="s">
        <v>9</v>
      </c>
      <c r="K7" s="31">
        <v>4928</v>
      </c>
      <c r="L7" s="22">
        <f>60000+23624</f>
        <v>83624</v>
      </c>
      <c r="M7" s="33"/>
      <c r="N7" s="19"/>
    </row>
    <row r="8" spans="1:16" ht="17.25" thickTop="1" thickBot="1" x14ac:dyDescent="0.3">
      <c r="A8" s="23"/>
      <c r="B8" s="17">
        <v>0</v>
      </c>
      <c r="C8" s="34"/>
      <c r="D8" s="106">
        <v>43194</v>
      </c>
      <c r="E8" s="24">
        <v>44661.56</v>
      </c>
      <c r="F8" s="19"/>
      <c r="G8" s="108">
        <v>43194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50161.5</v>
      </c>
      <c r="M8" s="33"/>
      <c r="N8" s="19"/>
    </row>
    <row r="9" spans="1:16" ht="17.25" thickTop="1" thickBot="1" x14ac:dyDescent="0.3">
      <c r="A9" s="23"/>
      <c r="B9" s="17">
        <v>0</v>
      </c>
      <c r="C9" s="36"/>
      <c r="D9" s="106">
        <v>43195</v>
      </c>
      <c r="E9" s="24">
        <v>52584.14</v>
      </c>
      <c r="F9" s="19"/>
      <c r="G9" s="108">
        <v>43195</v>
      </c>
      <c r="H9" s="26">
        <v>35</v>
      </c>
      <c r="I9" s="37" t="s">
        <v>95</v>
      </c>
      <c r="J9" s="28" t="s">
        <v>84</v>
      </c>
      <c r="K9" s="38">
        <v>9264.7000000000007</v>
      </c>
      <c r="L9" s="22">
        <v>51679.5</v>
      </c>
      <c r="M9" s="33"/>
      <c r="N9" s="19"/>
    </row>
    <row r="10" spans="1:16" ht="17.25" thickTop="1" thickBot="1" x14ac:dyDescent="0.3">
      <c r="A10" s="23"/>
      <c r="B10" s="17">
        <v>0</v>
      </c>
      <c r="C10" s="34"/>
      <c r="D10" s="106">
        <v>43196</v>
      </c>
      <c r="E10" s="24">
        <v>46544.15</v>
      </c>
      <c r="F10" s="19"/>
      <c r="G10" s="108">
        <v>43196</v>
      </c>
      <c r="H10" s="26">
        <v>0</v>
      </c>
      <c r="I10" s="37" t="s">
        <v>96</v>
      </c>
      <c r="J10" s="28" t="s">
        <v>85</v>
      </c>
      <c r="K10" s="38">
        <v>9150.08</v>
      </c>
      <c r="L10" s="22">
        <f>26544+20000</f>
        <v>46544</v>
      </c>
      <c r="M10" s="33"/>
      <c r="N10" s="19"/>
    </row>
    <row r="11" spans="1:16" ht="17.25" thickTop="1" thickBot="1" x14ac:dyDescent="0.3">
      <c r="A11" s="23"/>
      <c r="B11" s="17">
        <v>0</v>
      </c>
      <c r="C11" s="34"/>
      <c r="D11" s="106">
        <v>43197</v>
      </c>
      <c r="E11" s="24">
        <v>74475.59</v>
      </c>
      <c r="F11" s="19"/>
      <c r="G11" s="108">
        <v>43197</v>
      </c>
      <c r="H11" s="26">
        <v>0</v>
      </c>
      <c r="I11" s="37" t="s">
        <v>97</v>
      </c>
      <c r="J11" s="28" t="s">
        <v>86</v>
      </c>
      <c r="K11" s="38">
        <v>8864.7000000000007</v>
      </c>
      <c r="L11" s="22">
        <v>73575.5</v>
      </c>
      <c r="M11" s="33"/>
      <c r="N11" s="19"/>
    </row>
    <row r="12" spans="1:16" ht="17.25" thickTop="1" thickBot="1" x14ac:dyDescent="0.3">
      <c r="A12" s="23"/>
      <c r="B12" s="17">
        <v>0</v>
      </c>
      <c r="C12" s="34"/>
      <c r="D12" s="106">
        <v>43198</v>
      </c>
      <c r="E12" s="24">
        <v>101328.18</v>
      </c>
      <c r="F12" s="19"/>
      <c r="G12" s="108">
        <v>43198</v>
      </c>
      <c r="H12" s="26">
        <v>0</v>
      </c>
      <c r="I12" s="37" t="s">
        <v>98</v>
      </c>
      <c r="J12" s="28" t="s">
        <v>87</v>
      </c>
      <c r="K12" s="38">
        <v>9150.06</v>
      </c>
      <c r="L12" s="22">
        <v>101328</v>
      </c>
      <c r="M12" s="33"/>
      <c r="N12" s="39"/>
    </row>
    <row r="13" spans="1:16" ht="17.25" thickTop="1" thickBot="1" x14ac:dyDescent="0.3">
      <c r="A13" s="23"/>
      <c r="B13" s="17">
        <v>0</v>
      </c>
      <c r="C13" s="34"/>
      <c r="D13" s="106">
        <v>43199</v>
      </c>
      <c r="E13" s="24">
        <v>59512.3</v>
      </c>
      <c r="F13" s="19"/>
      <c r="G13" s="108">
        <v>43199</v>
      </c>
      <c r="H13" s="26">
        <v>0</v>
      </c>
      <c r="I13" s="37"/>
      <c r="J13" s="28" t="s">
        <v>91</v>
      </c>
      <c r="K13" s="29">
        <v>0</v>
      </c>
      <c r="L13" s="22">
        <v>59512</v>
      </c>
      <c r="M13" s="33"/>
      <c r="N13" s="19"/>
    </row>
    <row r="14" spans="1:16" ht="17.25" thickTop="1" thickBot="1" x14ac:dyDescent="0.3">
      <c r="A14" s="23"/>
      <c r="B14" s="17">
        <v>0</v>
      </c>
      <c r="C14" s="36"/>
      <c r="D14" s="106">
        <v>43200</v>
      </c>
      <c r="E14" s="24">
        <v>23860.6</v>
      </c>
      <c r="F14" s="19"/>
      <c r="G14" s="108">
        <v>43200</v>
      </c>
      <c r="H14" s="26">
        <v>40</v>
      </c>
      <c r="I14" s="27" t="s">
        <v>94</v>
      </c>
      <c r="J14" s="40" t="s">
        <v>92</v>
      </c>
      <c r="K14" s="29">
        <v>1142.8599999999999</v>
      </c>
      <c r="L14" s="22">
        <v>21732.5</v>
      </c>
      <c r="M14" s="33"/>
      <c r="N14" s="19"/>
    </row>
    <row r="15" spans="1:16" ht="17.25" thickTop="1" thickBot="1" x14ac:dyDescent="0.3">
      <c r="A15" s="23"/>
      <c r="B15" s="17">
        <v>0</v>
      </c>
      <c r="C15" s="36"/>
      <c r="D15" s="106">
        <v>43201</v>
      </c>
      <c r="E15" s="24">
        <v>53598.33</v>
      </c>
      <c r="F15" s="19"/>
      <c r="G15" s="108">
        <v>43201</v>
      </c>
      <c r="H15" s="26">
        <v>0</v>
      </c>
      <c r="I15" s="27"/>
      <c r="J15" s="175" t="s">
        <v>93</v>
      </c>
      <c r="K15" s="29">
        <v>0</v>
      </c>
      <c r="L15" s="22">
        <v>53598</v>
      </c>
      <c r="M15" s="33"/>
      <c r="N15" s="19"/>
    </row>
    <row r="16" spans="1:16" ht="17.25" thickTop="1" thickBot="1" x14ac:dyDescent="0.3">
      <c r="A16" s="23"/>
      <c r="B16" s="17">
        <v>0</v>
      </c>
      <c r="C16" s="36"/>
      <c r="D16" s="106">
        <v>43202</v>
      </c>
      <c r="E16" s="24">
        <v>46205.89</v>
      </c>
      <c r="F16" s="19"/>
      <c r="G16" s="108">
        <v>43202</v>
      </c>
      <c r="H16" s="26">
        <v>10</v>
      </c>
      <c r="I16" s="27"/>
      <c r="J16" s="42"/>
      <c r="K16" s="43">
        <v>0</v>
      </c>
      <c r="L16" s="22">
        <v>46196</v>
      </c>
      <c r="M16" s="33"/>
      <c r="N16" s="19"/>
    </row>
    <row r="17" spans="1:14" ht="17.25" thickTop="1" thickBot="1" x14ac:dyDescent="0.3">
      <c r="A17" s="23"/>
      <c r="B17" s="17">
        <v>0</v>
      </c>
      <c r="C17" s="36"/>
      <c r="D17" s="106">
        <v>43203</v>
      </c>
      <c r="E17" s="24">
        <v>82940.25</v>
      </c>
      <c r="F17" s="19"/>
      <c r="G17" s="108">
        <v>43203</v>
      </c>
      <c r="H17" s="26">
        <v>35</v>
      </c>
      <c r="I17" s="27"/>
      <c r="J17" s="245" t="s">
        <v>11</v>
      </c>
      <c r="K17" s="43">
        <v>0</v>
      </c>
      <c r="L17" s="22">
        <f>25000+57905</f>
        <v>82905</v>
      </c>
      <c r="M17" s="33"/>
      <c r="N17" s="19"/>
    </row>
    <row r="18" spans="1:14" ht="17.25" thickTop="1" thickBot="1" x14ac:dyDescent="0.3">
      <c r="A18" s="23"/>
      <c r="B18" s="17">
        <v>0</v>
      </c>
      <c r="C18" s="34"/>
      <c r="D18" s="106">
        <v>43204</v>
      </c>
      <c r="E18" s="24">
        <v>61465.95</v>
      </c>
      <c r="F18" s="19"/>
      <c r="G18" s="108">
        <v>43204</v>
      </c>
      <c r="H18" s="26">
        <v>0</v>
      </c>
      <c r="I18" s="44"/>
      <c r="J18" s="245"/>
      <c r="K18" s="45">
        <v>0</v>
      </c>
      <c r="L18" s="22">
        <v>61469</v>
      </c>
      <c r="M18" s="33"/>
      <c r="N18" s="19"/>
    </row>
    <row r="19" spans="1:14" ht="17.25" thickTop="1" thickBot="1" x14ac:dyDescent="0.3">
      <c r="A19" s="23"/>
      <c r="B19" s="17">
        <v>0</v>
      </c>
      <c r="C19" s="36"/>
      <c r="D19" s="106">
        <v>43205</v>
      </c>
      <c r="E19" s="24">
        <v>95429.08</v>
      </c>
      <c r="F19" s="19"/>
      <c r="G19" s="108">
        <v>43205</v>
      </c>
      <c r="H19" s="26">
        <v>0</v>
      </c>
      <c r="I19" s="27"/>
      <c r="J19" s="46" t="s">
        <v>12</v>
      </c>
      <c r="K19" s="45">
        <v>0</v>
      </c>
      <c r="L19" s="22">
        <v>95429</v>
      </c>
      <c r="M19" s="47"/>
      <c r="N19" s="19"/>
    </row>
    <row r="20" spans="1:14" ht="17.25" thickTop="1" thickBot="1" x14ac:dyDescent="0.3">
      <c r="A20" s="23"/>
      <c r="B20" s="17">
        <v>0</v>
      </c>
      <c r="C20" s="48"/>
      <c r="D20" s="106">
        <v>43206</v>
      </c>
      <c r="E20" s="24">
        <v>70547.600000000006</v>
      </c>
      <c r="F20" s="19"/>
      <c r="G20" s="108">
        <v>43206</v>
      </c>
      <c r="H20" s="26">
        <v>0</v>
      </c>
      <c r="I20" s="49"/>
      <c r="J20" s="50" t="s">
        <v>13</v>
      </c>
      <c r="K20" s="51">
        <v>0</v>
      </c>
      <c r="L20" s="22">
        <v>70548</v>
      </c>
      <c r="M20" s="47"/>
      <c r="N20" s="19"/>
    </row>
    <row r="21" spans="1:14" ht="17.25" thickTop="1" thickBot="1" x14ac:dyDescent="0.3">
      <c r="A21" s="23"/>
      <c r="B21" s="17">
        <v>0</v>
      </c>
      <c r="C21" s="48"/>
      <c r="D21" s="106">
        <v>43207</v>
      </c>
      <c r="E21" s="24">
        <v>32104.1</v>
      </c>
      <c r="F21" s="19"/>
      <c r="G21" s="108">
        <v>43207</v>
      </c>
      <c r="H21" s="26">
        <v>0</v>
      </c>
      <c r="I21" s="33"/>
      <c r="J21" s="52"/>
      <c r="K21" s="51"/>
      <c r="L21" s="22">
        <v>32104</v>
      </c>
      <c r="M21" s="33"/>
      <c r="N21" s="19"/>
    </row>
    <row r="22" spans="1:14" ht="17.25" thickTop="1" thickBot="1" x14ac:dyDescent="0.3">
      <c r="A22" s="23"/>
      <c r="B22" s="17">
        <v>0</v>
      </c>
      <c r="C22" s="36"/>
      <c r="D22" s="106">
        <v>43208</v>
      </c>
      <c r="E22" s="24">
        <v>44466.55</v>
      </c>
      <c r="F22" s="19"/>
      <c r="G22" s="108">
        <v>43208</v>
      </c>
      <c r="H22" s="26">
        <v>0</v>
      </c>
      <c r="I22" s="49" t="s">
        <v>23</v>
      </c>
      <c r="J22" s="53"/>
      <c r="K22" s="51">
        <v>0</v>
      </c>
      <c r="L22" s="22">
        <f>29466.5+15000</f>
        <v>44466.5</v>
      </c>
      <c r="M22" s="47" t="s">
        <v>23</v>
      </c>
      <c r="N22" s="19"/>
    </row>
    <row r="23" spans="1:14" ht="17.25" thickTop="1" thickBot="1" x14ac:dyDescent="0.3">
      <c r="A23" s="23"/>
      <c r="B23" s="17">
        <v>0</v>
      </c>
      <c r="C23" s="36"/>
      <c r="D23" s="106">
        <v>43209</v>
      </c>
      <c r="E23" s="24">
        <v>50979.1</v>
      </c>
      <c r="F23" s="19"/>
      <c r="G23" s="108">
        <v>43209</v>
      </c>
      <c r="H23" s="26">
        <v>0</v>
      </c>
      <c r="I23" s="27"/>
      <c r="J23" s="52"/>
      <c r="K23" s="51">
        <v>0</v>
      </c>
      <c r="L23" s="22">
        <f>20000+30999</f>
        <v>50999</v>
      </c>
      <c r="M23" s="33"/>
      <c r="N23" s="19"/>
    </row>
    <row r="24" spans="1:14" ht="17.25" thickTop="1" thickBot="1" x14ac:dyDescent="0.3">
      <c r="A24" s="23"/>
      <c r="B24" s="17">
        <v>0</v>
      </c>
      <c r="C24" s="36"/>
      <c r="D24" s="106">
        <v>43210</v>
      </c>
      <c r="E24" s="24">
        <v>50916.01</v>
      </c>
      <c r="F24" s="19"/>
      <c r="G24" s="108">
        <v>43210</v>
      </c>
      <c r="H24" s="26">
        <v>40</v>
      </c>
      <c r="I24" s="27" t="s">
        <v>88</v>
      </c>
      <c r="J24" s="54" t="s">
        <v>15</v>
      </c>
      <c r="K24" s="51">
        <v>870</v>
      </c>
      <c r="L24" s="22">
        <f>25000+25876</f>
        <v>50876</v>
      </c>
      <c r="M24" s="33"/>
      <c r="N24" s="118"/>
    </row>
    <row r="25" spans="1:14" ht="17.25" thickTop="1" thickBot="1" x14ac:dyDescent="0.3">
      <c r="A25" s="23"/>
      <c r="B25" s="17">
        <v>0</v>
      </c>
      <c r="C25" s="48"/>
      <c r="D25" s="106">
        <v>43211</v>
      </c>
      <c r="E25" s="24">
        <v>72515.47</v>
      </c>
      <c r="F25" s="19"/>
      <c r="G25" s="108">
        <v>43211</v>
      </c>
      <c r="H25" s="26">
        <v>0</v>
      </c>
      <c r="I25" s="27"/>
      <c r="J25" s="55"/>
      <c r="K25" s="51">
        <v>0</v>
      </c>
      <c r="L25" s="22">
        <v>72515</v>
      </c>
      <c r="M25" s="33"/>
      <c r="N25" s="19"/>
    </row>
    <row r="26" spans="1:14" ht="17.25" thickTop="1" thickBot="1" x14ac:dyDescent="0.3">
      <c r="A26" s="23"/>
      <c r="B26" s="17">
        <v>0</v>
      </c>
      <c r="C26" s="36"/>
      <c r="D26" s="106">
        <v>43212</v>
      </c>
      <c r="E26" s="24">
        <v>81168.800000000003</v>
      </c>
      <c r="F26" s="19"/>
      <c r="G26" s="108">
        <v>43212</v>
      </c>
      <c r="H26" s="26">
        <v>0</v>
      </c>
      <c r="I26" s="27" t="s">
        <v>89</v>
      </c>
      <c r="J26" s="56" t="s">
        <v>16</v>
      </c>
      <c r="K26" s="27">
        <v>900</v>
      </c>
      <c r="L26" s="22">
        <f>70000+11169</f>
        <v>81169</v>
      </c>
      <c r="M26" s="33"/>
      <c r="N26" s="19"/>
    </row>
    <row r="27" spans="1:14" ht="17.25" thickTop="1" thickBot="1" x14ac:dyDescent="0.3">
      <c r="A27" s="23"/>
      <c r="B27" s="17">
        <v>0</v>
      </c>
      <c r="C27" s="36"/>
      <c r="D27" s="106">
        <v>43213</v>
      </c>
      <c r="E27" s="24">
        <v>46770.44</v>
      </c>
      <c r="F27" s="19"/>
      <c r="G27" s="108">
        <v>43213</v>
      </c>
      <c r="H27" s="26">
        <v>0</v>
      </c>
      <c r="I27" s="27"/>
      <c r="J27" s="116"/>
      <c r="K27" s="27">
        <v>0</v>
      </c>
      <c r="L27" s="22">
        <f>22000+8771+16000</f>
        <v>46771</v>
      </c>
      <c r="M27" s="33"/>
      <c r="N27" s="19"/>
    </row>
    <row r="28" spans="1:14" ht="17.25" thickTop="1" thickBot="1" x14ac:dyDescent="0.3">
      <c r="A28" s="23"/>
      <c r="B28" s="17">
        <v>0</v>
      </c>
      <c r="C28" s="36"/>
      <c r="D28" s="106">
        <v>43214</v>
      </c>
      <c r="E28" s="24">
        <v>16897.75</v>
      </c>
      <c r="F28" s="19"/>
      <c r="G28" s="108">
        <v>43214</v>
      </c>
      <c r="H28" s="26">
        <v>35</v>
      </c>
      <c r="I28" s="27"/>
      <c r="J28" s="57"/>
      <c r="K28" s="51">
        <v>0</v>
      </c>
      <c r="L28" s="22">
        <v>16863</v>
      </c>
      <c r="M28" s="33"/>
      <c r="N28" s="19"/>
    </row>
    <row r="29" spans="1:14" ht="17.25" thickTop="1" thickBot="1" x14ac:dyDescent="0.3">
      <c r="A29" s="23"/>
      <c r="B29" s="17">
        <v>0</v>
      </c>
      <c r="C29" s="36"/>
      <c r="D29" s="106">
        <v>43215</v>
      </c>
      <c r="E29" s="24">
        <v>36978.26</v>
      </c>
      <c r="F29" s="19"/>
      <c r="G29" s="108">
        <v>43215</v>
      </c>
      <c r="H29" s="26">
        <v>0</v>
      </c>
      <c r="I29" s="27"/>
      <c r="J29" s="55"/>
      <c r="K29" s="51">
        <v>0</v>
      </c>
      <c r="L29" s="22">
        <v>36978</v>
      </c>
      <c r="M29" s="33"/>
      <c r="N29" s="19"/>
    </row>
    <row r="30" spans="1:14" ht="17.25" thickTop="1" thickBot="1" x14ac:dyDescent="0.3">
      <c r="A30" s="23"/>
      <c r="B30" s="17">
        <v>0</v>
      </c>
      <c r="C30" s="48"/>
      <c r="D30" s="106">
        <v>43216</v>
      </c>
      <c r="E30" s="24">
        <v>37384.050000000003</v>
      </c>
      <c r="F30" s="19"/>
      <c r="G30" s="108">
        <v>43216</v>
      </c>
      <c r="H30" s="26">
        <v>0</v>
      </c>
      <c r="I30" s="27" t="s">
        <v>90</v>
      </c>
      <c r="J30" s="60" t="s">
        <v>18</v>
      </c>
      <c r="K30" s="51">
        <v>2088</v>
      </c>
      <c r="L30" s="22">
        <v>37384</v>
      </c>
      <c r="M30" s="33"/>
      <c r="N30" s="19"/>
    </row>
    <row r="31" spans="1:14" ht="17.25" thickTop="1" thickBot="1" x14ac:dyDescent="0.3">
      <c r="A31" s="23"/>
      <c r="B31" s="17">
        <v>0</v>
      </c>
      <c r="C31" s="48"/>
      <c r="D31" s="106">
        <v>43217</v>
      </c>
      <c r="E31" s="24">
        <v>55715.87</v>
      </c>
      <c r="F31" s="19"/>
      <c r="G31" s="108">
        <v>43217</v>
      </c>
      <c r="H31" s="26">
        <v>0</v>
      </c>
      <c r="I31" s="61"/>
      <c r="J31" s="62"/>
      <c r="K31" s="51">
        <v>0</v>
      </c>
      <c r="L31" s="22">
        <v>55716</v>
      </c>
      <c r="M31" s="33"/>
      <c r="N31" s="19"/>
    </row>
    <row r="32" spans="1:14" ht="17.25" thickTop="1" thickBot="1" x14ac:dyDescent="0.3">
      <c r="A32" s="23"/>
      <c r="B32" s="17">
        <v>0</v>
      </c>
      <c r="C32" s="34"/>
      <c r="D32" s="106">
        <v>43218</v>
      </c>
      <c r="E32" s="24">
        <v>61107.7</v>
      </c>
      <c r="F32" s="19"/>
      <c r="G32" s="108">
        <v>43218</v>
      </c>
      <c r="H32" s="26">
        <v>0</v>
      </c>
      <c r="I32" s="61"/>
      <c r="J32" s="60"/>
      <c r="K32" s="29">
        <v>0</v>
      </c>
      <c r="L32" s="22">
        <f>14965+45000</f>
        <v>59965</v>
      </c>
      <c r="M32" s="33"/>
      <c r="N32" s="19"/>
    </row>
    <row r="33" spans="1:14" ht="17.25" thickTop="1" thickBot="1" x14ac:dyDescent="0.3">
      <c r="A33" s="23"/>
      <c r="B33" s="17">
        <v>0</v>
      </c>
      <c r="C33" s="34"/>
      <c r="D33" s="106">
        <v>43219</v>
      </c>
      <c r="E33" s="24">
        <v>88894.9</v>
      </c>
      <c r="F33" s="19"/>
      <c r="G33" s="108">
        <v>43219</v>
      </c>
      <c r="H33" s="26">
        <v>0</v>
      </c>
      <c r="I33" s="27"/>
      <c r="J33" s="63"/>
      <c r="K33" s="38"/>
      <c r="L33" s="22">
        <v>88895</v>
      </c>
      <c r="M33" s="33"/>
      <c r="N33" s="19"/>
    </row>
    <row r="34" spans="1:14" ht="17.25" thickTop="1" thickBot="1" x14ac:dyDescent="0.3">
      <c r="A34" s="23"/>
      <c r="B34" s="17">
        <v>0</v>
      </c>
      <c r="C34" s="48"/>
      <c r="D34" s="106">
        <v>43220</v>
      </c>
      <c r="E34" s="24">
        <v>65550.8</v>
      </c>
      <c r="F34" s="19"/>
      <c r="G34" s="108">
        <v>43220</v>
      </c>
      <c r="H34" s="26">
        <v>0</v>
      </c>
      <c r="I34" s="27"/>
      <c r="J34" s="63"/>
      <c r="K34" s="38"/>
      <c r="L34" s="22">
        <f>35000+30551</f>
        <v>65551</v>
      </c>
      <c r="M34" s="33"/>
      <c r="N34" s="64"/>
    </row>
    <row r="35" spans="1:14" ht="17.25" thickTop="1" thickBot="1" x14ac:dyDescent="0.3">
      <c r="A35" s="23"/>
      <c r="B35" s="17">
        <v>0</v>
      </c>
      <c r="C35" s="18"/>
      <c r="D35" s="106"/>
      <c r="E35" s="24"/>
      <c r="F35" s="19"/>
      <c r="G35" s="108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1782525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1758196.4300000002</v>
      </c>
      <c r="G38" s="173" t="s">
        <v>19</v>
      </c>
      <c r="H38" s="88">
        <f>SUM(H5:H37)</f>
        <v>195</v>
      </c>
      <c r="I38" s="88"/>
      <c r="J38" s="89" t="s">
        <v>19</v>
      </c>
      <c r="K38" s="90">
        <f t="shared" ref="K38" si="0">SUM(K5:K37)</f>
        <v>75657.399999999994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5" t="s">
        <v>20</v>
      </c>
      <c r="H40" s="276"/>
      <c r="I40" s="178"/>
      <c r="J40" s="277">
        <f>H38+K38</f>
        <v>75852.399999999994</v>
      </c>
      <c r="K40" s="278"/>
      <c r="L40" s="94"/>
      <c r="M40" s="95"/>
    </row>
    <row r="41" spans="1:14" ht="15.75" x14ac:dyDescent="0.25">
      <c r="A41" s="1"/>
      <c r="B41" s="179"/>
      <c r="C41" s="279" t="s">
        <v>21</v>
      </c>
      <c r="D41" s="279"/>
      <c r="E41" s="180">
        <f>E38-J40</f>
        <v>1682344.0300000003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7699.89</v>
      </c>
      <c r="F42" s="176"/>
      <c r="G42" s="176"/>
      <c r="H42" s="280" t="s">
        <v>26</v>
      </c>
      <c r="I42" s="280"/>
      <c r="J42" s="280">
        <f>E46</f>
        <v>242033.1500000002</v>
      </c>
      <c r="K42" s="287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-1564579.95</v>
      </c>
      <c r="F43" s="176"/>
      <c r="G43" s="176"/>
      <c r="H43" s="254" t="s">
        <v>1</v>
      </c>
      <c r="I43" s="254"/>
      <c r="J43" s="288">
        <f>-B4</f>
        <v>-185334.1</v>
      </c>
      <c r="K43" s="289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125463.9700000002</v>
      </c>
      <c r="F44" s="176"/>
      <c r="G44" s="176"/>
      <c r="H44" s="257" t="s">
        <v>55</v>
      </c>
      <c r="I44" s="258"/>
      <c r="J44" s="259">
        <f>SUM(J41:K43)</f>
        <v>56699.050000000192</v>
      </c>
      <c r="K44" s="260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116569.18</v>
      </c>
      <c r="F45" s="176"/>
      <c r="G45" s="176"/>
      <c r="H45" s="71"/>
      <c r="I45" s="176"/>
      <c r="J45" s="281"/>
      <c r="K45" s="282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242033.1500000002</v>
      </c>
      <c r="F46" s="189"/>
      <c r="G46" s="189"/>
      <c r="H46" s="190"/>
      <c r="I46" s="191"/>
      <c r="J46" s="283"/>
      <c r="K46" s="284"/>
      <c r="L46" s="94"/>
      <c r="M46" s="95"/>
    </row>
    <row r="47" spans="1:14" ht="18.75" x14ac:dyDescent="0.25">
      <c r="A47" s="1"/>
      <c r="B47" s="5"/>
      <c r="E47" s="51"/>
      <c r="J47" s="285"/>
      <c r="K47" s="286"/>
      <c r="L47" s="94"/>
      <c r="M47" s="95"/>
    </row>
    <row r="48" spans="1:14" x14ac:dyDescent="0.25">
      <c r="A48" s="1"/>
      <c r="B48" s="5"/>
      <c r="C48" s="244"/>
      <c r="D48" s="244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C48:D48"/>
    <mergeCell ref="J17:J18"/>
    <mergeCell ref="G40:H40"/>
    <mergeCell ref="J40:K40"/>
    <mergeCell ref="C41:D41"/>
    <mergeCell ref="H42:I42"/>
    <mergeCell ref="J44:K44"/>
    <mergeCell ref="H43:I43"/>
    <mergeCell ref="J45:K45"/>
    <mergeCell ref="J46:K46"/>
    <mergeCell ref="H44:I44"/>
    <mergeCell ref="J47:K47"/>
    <mergeCell ref="J42:K42"/>
    <mergeCell ref="J43:K43"/>
    <mergeCell ref="B1:J1"/>
    <mergeCell ref="A3:A4"/>
    <mergeCell ref="D3:F3"/>
    <mergeCell ref="G3:H3"/>
    <mergeCell ref="D4:E4"/>
    <mergeCell ref="H4:K4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3"/>
  <sheetViews>
    <sheetView workbookViewId="0">
      <selection sqref="A1:XFD104857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61" t="s">
        <v>46</v>
      </c>
      <c r="D1" s="262"/>
      <c r="E1" s="263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64" t="s">
        <v>52</v>
      </c>
      <c r="I2" s="265"/>
      <c r="J2" s="266"/>
    </row>
    <row r="3" spans="1:10" x14ac:dyDescent="0.25">
      <c r="A3" s="124">
        <v>43192</v>
      </c>
      <c r="B3" s="125">
        <v>822</v>
      </c>
      <c r="C3" s="126">
        <v>51039.199999999997</v>
      </c>
      <c r="D3" s="127"/>
      <c r="E3" s="126"/>
      <c r="F3" s="128">
        <f t="shared" ref="F3:F32" si="0">C3-E3</f>
        <v>51039.199999999997</v>
      </c>
      <c r="H3" s="267"/>
      <c r="I3" s="268"/>
      <c r="J3" s="269"/>
    </row>
    <row r="4" spans="1:10" x14ac:dyDescent="0.25">
      <c r="A4" s="124">
        <v>43193</v>
      </c>
      <c r="B4" s="125">
        <v>837</v>
      </c>
      <c r="C4" s="126">
        <v>107980</v>
      </c>
      <c r="D4" s="127"/>
      <c r="E4" s="131"/>
      <c r="F4" s="132">
        <f t="shared" si="0"/>
        <v>107980</v>
      </c>
      <c r="H4" s="267"/>
      <c r="I4" s="268"/>
      <c r="J4" s="269"/>
    </row>
    <row r="5" spans="1:10" ht="15.75" thickBot="1" x14ac:dyDescent="0.3">
      <c r="A5" s="129">
        <v>43194</v>
      </c>
      <c r="B5" s="130">
        <v>840</v>
      </c>
      <c r="C5" s="131">
        <v>53550.7</v>
      </c>
      <c r="D5" s="127"/>
      <c r="E5" s="131"/>
      <c r="F5" s="132">
        <f t="shared" si="0"/>
        <v>53550.7</v>
      </c>
      <c r="H5" s="270"/>
      <c r="I5" s="271"/>
      <c r="J5" s="272"/>
    </row>
    <row r="6" spans="1:10" x14ac:dyDescent="0.25">
      <c r="A6" s="129">
        <v>43194</v>
      </c>
      <c r="B6" s="130">
        <v>844</v>
      </c>
      <c r="C6" s="131">
        <v>9443</v>
      </c>
      <c r="D6" s="127"/>
      <c r="E6" s="131"/>
      <c r="F6" s="133">
        <f t="shared" si="0"/>
        <v>9443</v>
      </c>
    </row>
    <row r="7" spans="1:10" x14ac:dyDescent="0.25">
      <c r="A7" s="129">
        <v>43195</v>
      </c>
      <c r="B7" s="130">
        <v>846</v>
      </c>
      <c r="C7" s="131">
        <v>70119.899999999994</v>
      </c>
      <c r="D7" s="127"/>
      <c r="E7" s="131"/>
      <c r="F7" s="133">
        <f t="shared" si="0"/>
        <v>70119.899999999994</v>
      </c>
    </row>
    <row r="8" spans="1:10" x14ac:dyDescent="0.25">
      <c r="A8" s="129">
        <v>43196</v>
      </c>
      <c r="B8" s="130">
        <v>857</v>
      </c>
      <c r="C8" s="131">
        <v>79071.600000000006</v>
      </c>
      <c r="D8" s="127"/>
      <c r="E8" s="131"/>
      <c r="F8" s="133">
        <f t="shared" si="0"/>
        <v>79071.600000000006</v>
      </c>
    </row>
    <row r="9" spans="1:10" x14ac:dyDescent="0.25">
      <c r="A9" s="129">
        <v>43197</v>
      </c>
      <c r="B9" s="130">
        <v>866</v>
      </c>
      <c r="C9" s="131">
        <v>104454.47</v>
      </c>
      <c r="D9" s="127"/>
      <c r="E9" s="131"/>
      <c r="F9" s="133">
        <f t="shared" si="0"/>
        <v>104454.47</v>
      </c>
    </row>
    <row r="10" spans="1:10" x14ac:dyDescent="0.25">
      <c r="A10" s="129">
        <v>43198</v>
      </c>
      <c r="B10" s="130">
        <v>871</v>
      </c>
      <c r="C10" s="131">
        <v>8200</v>
      </c>
      <c r="D10" s="127"/>
      <c r="E10" s="131"/>
      <c r="F10" s="133">
        <f t="shared" si="0"/>
        <v>8200</v>
      </c>
    </row>
    <row r="11" spans="1:10" x14ac:dyDescent="0.25">
      <c r="A11" s="129">
        <v>43199</v>
      </c>
      <c r="B11" s="130">
        <v>876</v>
      </c>
      <c r="C11" s="131">
        <v>37122.1</v>
      </c>
      <c r="D11" s="127"/>
      <c r="E11" s="131"/>
      <c r="F11" s="133">
        <f t="shared" si="0"/>
        <v>37122.1</v>
      </c>
    </row>
    <row r="12" spans="1:10" x14ac:dyDescent="0.25">
      <c r="A12" s="134">
        <v>43201</v>
      </c>
      <c r="B12" s="135">
        <v>883</v>
      </c>
      <c r="C12" s="131">
        <v>89161.75</v>
      </c>
      <c r="D12" s="127"/>
      <c r="E12" s="131"/>
      <c r="F12" s="133">
        <f t="shared" si="0"/>
        <v>89161.75</v>
      </c>
    </row>
    <row r="13" spans="1:10" x14ac:dyDescent="0.25">
      <c r="A13" s="134">
        <v>43202</v>
      </c>
      <c r="B13" s="135">
        <v>887</v>
      </c>
      <c r="C13" s="131">
        <v>109249.76</v>
      </c>
      <c r="D13" s="127"/>
      <c r="E13" s="131"/>
      <c r="F13" s="133">
        <f t="shared" si="0"/>
        <v>109249.76</v>
      </c>
    </row>
    <row r="14" spans="1:10" x14ac:dyDescent="0.25">
      <c r="A14" s="134">
        <v>43203</v>
      </c>
      <c r="B14" s="135">
        <v>898</v>
      </c>
      <c r="C14" s="131">
        <v>129882.65</v>
      </c>
      <c r="D14" s="127"/>
      <c r="E14" s="131"/>
      <c r="F14" s="133">
        <f t="shared" si="0"/>
        <v>129882.65</v>
      </c>
    </row>
    <row r="15" spans="1:10" x14ac:dyDescent="0.25">
      <c r="A15" s="134">
        <v>43205</v>
      </c>
      <c r="B15" s="153">
        <v>902</v>
      </c>
      <c r="C15" s="154">
        <v>5773</v>
      </c>
      <c r="D15" s="127"/>
      <c r="E15" s="131"/>
      <c r="F15" s="133">
        <f t="shared" si="0"/>
        <v>5773</v>
      </c>
    </row>
    <row r="16" spans="1:10" x14ac:dyDescent="0.25">
      <c r="A16" s="134">
        <v>43206</v>
      </c>
      <c r="B16" s="135">
        <v>904</v>
      </c>
      <c r="C16" s="131">
        <v>32048.7</v>
      </c>
      <c r="D16" s="127"/>
      <c r="E16" s="131"/>
      <c r="F16" s="133">
        <f t="shared" si="0"/>
        <v>32048.7</v>
      </c>
    </row>
    <row r="17" spans="1:6" x14ac:dyDescent="0.25">
      <c r="A17" s="134">
        <v>43208</v>
      </c>
      <c r="B17" s="135">
        <v>919</v>
      </c>
      <c r="C17" s="131">
        <v>97871.88</v>
      </c>
      <c r="D17" s="127"/>
      <c r="E17" s="131"/>
      <c r="F17" s="133">
        <f t="shared" si="0"/>
        <v>97871.88</v>
      </c>
    </row>
    <row r="18" spans="1:6" x14ac:dyDescent="0.25">
      <c r="A18" s="134">
        <v>43209</v>
      </c>
      <c r="B18" s="135">
        <v>926</v>
      </c>
      <c r="C18" s="131">
        <v>74947.42</v>
      </c>
      <c r="D18" s="127"/>
      <c r="E18" s="131"/>
      <c r="F18" s="133">
        <f t="shared" si="0"/>
        <v>74947.42</v>
      </c>
    </row>
    <row r="19" spans="1:6" x14ac:dyDescent="0.25">
      <c r="A19" s="134">
        <v>43210</v>
      </c>
      <c r="B19" s="135">
        <v>931</v>
      </c>
      <c r="C19" s="131">
        <v>40614</v>
      </c>
      <c r="D19" s="127"/>
      <c r="E19" s="131"/>
      <c r="F19" s="133">
        <f t="shared" si="0"/>
        <v>40614</v>
      </c>
    </row>
    <row r="20" spans="1:6" x14ac:dyDescent="0.25">
      <c r="A20" s="134">
        <v>43210</v>
      </c>
      <c r="B20" s="135">
        <v>932</v>
      </c>
      <c r="C20" s="131">
        <v>47165.3</v>
      </c>
      <c r="D20" s="127"/>
      <c r="E20" s="131"/>
      <c r="F20" s="133">
        <f t="shared" si="0"/>
        <v>47165.3</v>
      </c>
    </row>
    <row r="21" spans="1:6" x14ac:dyDescent="0.25">
      <c r="A21" s="134">
        <v>43211</v>
      </c>
      <c r="B21" s="135">
        <v>942</v>
      </c>
      <c r="C21" s="131">
        <v>63015.85</v>
      </c>
      <c r="D21" s="127"/>
      <c r="E21" s="131"/>
      <c r="F21" s="133">
        <f t="shared" si="0"/>
        <v>63015.85</v>
      </c>
    </row>
    <row r="22" spans="1:6" x14ac:dyDescent="0.25">
      <c r="A22" s="134">
        <v>43211</v>
      </c>
      <c r="B22" s="135">
        <v>943</v>
      </c>
      <c r="C22" s="131">
        <v>8509.2000000000007</v>
      </c>
      <c r="D22" s="127"/>
      <c r="E22" s="131"/>
      <c r="F22" s="133">
        <f t="shared" si="0"/>
        <v>8509.2000000000007</v>
      </c>
    </row>
    <row r="23" spans="1:6" x14ac:dyDescent="0.25">
      <c r="A23" s="134">
        <v>43213</v>
      </c>
      <c r="B23" s="135">
        <v>956</v>
      </c>
      <c r="C23" s="131">
        <v>44745.88</v>
      </c>
      <c r="D23" s="127"/>
      <c r="E23" s="131"/>
      <c r="F23" s="133">
        <f t="shared" si="0"/>
        <v>44745.88</v>
      </c>
    </row>
    <row r="24" spans="1:6" x14ac:dyDescent="0.25">
      <c r="A24" s="134">
        <v>43214</v>
      </c>
      <c r="B24" s="135">
        <v>959</v>
      </c>
      <c r="C24" s="131">
        <v>126705.41</v>
      </c>
      <c r="D24" s="127"/>
      <c r="E24" s="131"/>
      <c r="F24" s="133">
        <f t="shared" si="0"/>
        <v>126705.41</v>
      </c>
    </row>
    <row r="25" spans="1:6" x14ac:dyDescent="0.25">
      <c r="A25" s="134">
        <v>43216</v>
      </c>
      <c r="B25" s="135">
        <v>965</v>
      </c>
      <c r="C25" s="131">
        <v>58571.1</v>
      </c>
      <c r="D25" s="127"/>
      <c r="E25" s="131"/>
      <c r="F25" s="133">
        <f t="shared" si="0"/>
        <v>58571.1</v>
      </c>
    </row>
    <row r="26" spans="1:6" x14ac:dyDescent="0.25">
      <c r="A26" s="134">
        <v>43217</v>
      </c>
      <c r="B26" s="135">
        <v>975</v>
      </c>
      <c r="C26" s="131">
        <v>39636.199999999997</v>
      </c>
      <c r="D26" s="127"/>
      <c r="E26" s="131"/>
      <c r="F26" s="133">
        <f t="shared" si="0"/>
        <v>39636.199999999997</v>
      </c>
    </row>
    <row r="27" spans="1:6" x14ac:dyDescent="0.25">
      <c r="A27" s="134">
        <v>43218</v>
      </c>
      <c r="B27" s="135">
        <v>979</v>
      </c>
      <c r="C27" s="131">
        <v>38841.300000000003</v>
      </c>
      <c r="D27" s="127"/>
      <c r="E27" s="131"/>
      <c r="F27" s="133">
        <f t="shared" si="0"/>
        <v>38841.300000000003</v>
      </c>
    </row>
    <row r="28" spans="1:6" x14ac:dyDescent="0.25">
      <c r="A28" s="134">
        <v>43220</v>
      </c>
      <c r="B28" s="135">
        <v>985</v>
      </c>
      <c r="C28" s="131">
        <v>66690.48</v>
      </c>
      <c r="D28" s="127"/>
      <c r="E28" s="131"/>
      <c r="F28" s="133">
        <f t="shared" si="0"/>
        <v>66690.48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29830.9</v>
      </c>
      <c r="F32" s="145">
        <f t="shared" si="0"/>
        <v>-29830.9</v>
      </c>
    </row>
    <row r="33" spans="1:6" s="151" customFormat="1" ht="19.5" thickBot="1" x14ac:dyDescent="0.35">
      <c r="A33" s="149"/>
      <c r="B33" s="150"/>
      <c r="C33" s="146">
        <f>SUM(C3:C32)</f>
        <v>1594410.8499999999</v>
      </c>
      <c r="D33" s="146"/>
      <c r="E33" s="152">
        <f>SUM(E3:E32)</f>
        <v>29830.9</v>
      </c>
      <c r="F33" s="152">
        <f>SUM(F3:F32)</f>
        <v>1564579.95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workbookViewId="0">
      <selection activeCell="J21" sqref="J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35" t="s">
        <v>100</v>
      </c>
      <c r="C1" s="235"/>
      <c r="D1" s="235"/>
      <c r="E1" s="235"/>
      <c r="F1" s="235"/>
      <c r="G1" s="235"/>
      <c r="H1" s="235"/>
      <c r="I1" s="235"/>
      <c r="J1" s="235"/>
      <c r="L1" s="3" t="s">
        <v>0</v>
      </c>
      <c r="M1" s="4"/>
    </row>
    <row r="2" spans="1:16" ht="15.75" thickBot="1" x14ac:dyDescent="0.3">
      <c r="A2" s="1"/>
      <c r="B2" s="5"/>
      <c r="D2" s="174"/>
      <c r="E2" s="8"/>
      <c r="L2" s="9"/>
      <c r="M2" s="4"/>
    </row>
    <row r="3" spans="1:16" ht="19.5" customHeight="1" thickBot="1" x14ac:dyDescent="0.35">
      <c r="A3" s="236" t="s">
        <v>1</v>
      </c>
      <c r="B3" s="10" t="s">
        <v>2</v>
      </c>
      <c r="C3" s="11"/>
      <c r="D3" s="238" t="s">
        <v>3</v>
      </c>
      <c r="E3" s="238"/>
      <c r="F3" s="238"/>
      <c r="G3" s="239">
        <v>2000</v>
      </c>
      <c r="H3" s="239"/>
      <c r="I3" s="5"/>
      <c r="L3" s="9"/>
      <c r="M3" s="4"/>
    </row>
    <row r="4" spans="1:16" ht="20.25" thickTop="1" thickBot="1" x14ac:dyDescent="0.35">
      <c r="A4" s="237"/>
      <c r="B4" s="12">
        <v>116569.18</v>
      </c>
      <c r="C4" s="13"/>
      <c r="D4" s="240" t="s">
        <v>4</v>
      </c>
      <c r="E4" s="241"/>
      <c r="H4" s="242" t="s">
        <v>5</v>
      </c>
      <c r="I4" s="243"/>
      <c r="J4" s="243"/>
      <c r="K4" s="243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43221</v>
      </c>
      <c r="E5" s="157">
        <v>30558.79</v>
      </c>
      <c r="F5" s="158"/>
      <c r="G5" s="159">
        <v>43221</v>
      </c>
      <c r="H5" s="160">
        <v>0</v>
      </c>
      <c r="I5" s="20"/>
      <c r="J5" s="21"/>
      <c r="K5" s="21"/>
      <c r="L5" s="22">
        <v>34259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43222</v>
      </c>
      <c r="E6" s="24">
        <v>42105.45</v>
      </c>
      <c r="F6" s="25"/>
      <c r="G6" s="159">
        <v>43222</v>
      </c>
      <c r="H6" s="26">
        <v>45</v>
      </c>
      <c r="I6" s="27"/>
      <c r="J6" s="28" t="s">
        <v>8</v>
      </c>
      <c r="K6" s="29">
        <v>549</v>
      </c>
      <c r="L6" s="22">
        <f>21190+20000</f>
        <v>41190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43223</v>
      </c>
      <c r="E7" s="24">
        <v>48798.61</v>
      </c>
      <c r="F7" s="19"/>
      <c r="G7" s="159">
        <v>43223</v>
      </c>
      <c r="H7" s="26">
        <v>0</v>
      </c>
      <c r="I7" s="61"/>
      <c r="J7" s="30" t="s">
        <v>9</v>
      </c>
      <c r="K7" s="31">
        <v>7121.5</v>
      </c>
      <c r="L7" s="22">
        <v>48798.5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43224</v>
      </c>
      <c r="E8" s="24">
        <v>62758.95</v>
      </c>
      <c r="F8" s="19"/>
      <c r="G8" s="159">
        <v>43224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f>42759+20000</f>
        <v>62759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43225</v>
      </c>
      <c r="E9" s="24">
        <v>54656.33</v>
      </c>
      <c r="F9" s="19"/>
      <c r="G9" s="159">
        <v>43225</v>
      </c>
      <c r="H9" s="26">
        <v>0</v>
      </c>
      <c r="I9" s="37" t="s">
        <v>128</v>
      </c>
      <c r="J9" s="28" t="s">
        <v>102</v>
      </c>
      <c r="K9" s="38">
        <v>11409.7</v>
      </c>
      <c r="L9" s="22">
        <v>54656.5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43226</v>
      </c>
      <c r="E10" s="24">
        <v>99676.3</v>
      </c>
      <c r="F10" s="19"/>
      <c r="G10" s="159">
        <v>43226</v>
      </c>
      <c r="H10" s="26">
        <v>0</v>
      </c>
      <c r="I10" s="193" t="s">
        <v>129</v>
      </c>
      <c r="J10" s="28" t="s">
        <v>103</v>
      </c>
      <c r="K10" s="38">
        <v>10336.93</v>
      </c>
      <c r="L10" s="22">
        <v>98777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43227</v>
      </c>
      <c r="E11" s="24">
        <v>53313.26</v>
      </c>
      <c r="F11" s="19"/>
      <c r="G11" s="159">
        <v>43227</v>
      </c>
      <c r="H11" s="26">
        <v>0</v>
      </c>
      <c r="I11" s="37" t="s">
        <v>130</v>
      </c>
      <c r="J11" s="28" t="s">
        <v>104</v>
      </c>
      <c r="K11" s="38">
        <v>9707.2199999999993</v>
      </c>
      <c r="L11" s="22">
        <v>53313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43228</v>
      </c>
      <c r="E12" s="24">
        <v>24868.7</v>
      </c>
      <c r="F12" s="19"/>
      <c r="G12" s="159">
        <v>43228</v>
      </c>
      <c r="H12" s="26">
        <v>0</v>
      </c>
      <c r="I12" s="37" t="s">
        <v>131</v>
      </c>
      <c r="J12" s="28" t="s">
        <v>105</v>
      </c>
      <c r="K12" s="38">
        <v>11187.47</v>
      </c>
      <c r="L12" s="22">
        <v>24868.5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43229</v>
      </c>
      <c r="E13" s="24">
        <v>34103.360000000001</v>
      </c>
      <c r="F13" s="19"/>
      <c r="G13" s="159">
        <v>43229</v>
      </c>
      <c r="H13" s="26">
        <v>0</v>
      </c>
      <c r="I13" s="37" t="s">
        <v>132</v>
      </c>
      <c r="J13" s="28" t="s">
        <v>106</v>
      </c>
      <c r="K13" s="29">
        <v>10640.23</v>
      </c>
      <c r="L13" s="22">
        <v>34103.5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43230</v>
      </c>
      <c r="E14" s="24">
        <v>45827.19</v>
      </c>
      <c r="F14" s="19"/>
      <c r="G14" s="159">
        <v>43230</v>
      </c>
      <c r="H14" s="26">
        <v>0</v>
      </c>
      <c r="I14" s="61">
        <v>43232</v>
      </c>
      <c r="J14" s="40" t="s">
        <v>92</v>
      </c>
      <c r="K14" s="29">
        <v>428.57</v>
      </c>
      <c r="L14" s="22">
        <f>20827+25000</f>
        <v>45827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43231</v>
      </c>
      <c r="E15" s="24">
        <v>39961.599999999999</v>
      </c>
      <c r="F15" s="19"/>
      <c r="G15" s="159">
        <v>43231</v>
      </c>
      <c r="H15" s="26">
        <v>35</v>
      </c>
      <c r="I15" s="27"/>
      <c r="J15" s="175" t="s">
        <v>107</v>
      </c>
      <c r="K15" s="29">
        <v>0</v>
      </c>
      <c r="L15" s="22">
        <v>39926.5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43232</v>
      </c>
      <c r="E16" s="24">
        <v>69427.45</v>
      </c>
      <c r="F16" s="19"/>
      <c r="G16" s="159">
        <v>43232</v>
      </c>
      <c r="H16" s="26">
        <v>35</v>
      </c>
      <c r="I16" s="27"/>
      <c r="J16" s="42"/>
      <c r="K16" s="43">
        <v>0</v>
      </c>
      <c r="L16" s="22">
        <f>28964+40000</f>
        <v>68964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43233</v>
      </c>
      <c r="E17" s="24">
        <v>76018.25</v>
      </c>
      <c r="F17" s="19"/>
      <c r="G17" s="159">
        <v>43233</v>
      </c>
      <c r="H17" s="26">
        <v>0</v>
      </c>
      <c r="I17" s="27"/>
      <c r="J17" s="245" t="s">
        <v>11</v>
      </c>
      <c r="K17" s="43">
        <v>0</v>
      </c>
      <c r="L17" s="22">
        <v>76018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43234</v>
      </c>
      <c r="E18" s="24">
        <v>72294.98</v>
      </c>
      <c r="F18" s="19"/>
      <c r="G18" s="159">
        <v>43234</v>
      </c>
      <c r="H18" s="26">
        <v>0</v>
      </c>
      <c r="I18" s="44"/>
      <c r="J18" s="245"/>
      <c r="K18" s="45">
        <v>0</v>
      </c>
      <c r="L18" s="22">
        <v>72300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43235</v>
      </c>
      <c r="E19" s="24">
        <v>23788.7</v>
      </c>
      <c r="F19" s="19"/>
      <c r="G19" s="159">
        <v>43235</v>
      </c>
      <c r="H19" s="26">
        <v>0</v>
      </c>
      <c r="I19" s="27"/>
      <c r="J19" s="46" t="s">
        <v>12</v>
      </c>
      <c r="K19" s="45">
        <v>0</v>
      </c>
      <c r="L19" s="22">
        <v>23788.5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43236</v>
      </c>
      <c r="E20" s="24">
        <v>35181.050000000003</v>
      </c>
      <c r="F20" s="19"/>
      <c r="G20" s="159">
        <v>43236</v>
      </c>
      <c r="H20" s="26">
        <v>0</v>
      </c>
      <c r="I20" s="49"/>
      <c r="J20" s="50" t="s">
        <v>13</v>
      </c>
      <c r="K20" s="51">
        <v>0</v>
      </c>
      <c r="L20" s="22">
        <v>35181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43237</v>
      </c>
      <c r="E21" s="24">
        <v>41483.050000000003</v>
      </c>
      <c r="F21" s="19"/>
      <c r="G21" s="159">
        <v>43237</v>
      </c>
      <c r="H21" s="26">
        <v>35</v>
      </c>
      <c r="I21" s="33"/>
      <c r="J21" s="52"/>
      <c r="K21" s="51"/>
      <c r="L21" s="22">
        <v>41448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43238</v>
      </c>
      <c r="E22" s="24">
        <v>53968.49</v>
      </c>
      <c r="F22" s="19"/>
      <c r="G22" s="159">
        <v>43238</v>
      </c>
      <c r="H22" s="26">
        <v>0</v>
      </c>
      <c r="I22" s="49" t="s">
        <v>23</v>
      </c>
      <c r="J22" s="53"/>
      <c r="K22" s="51">
        <v>0</v>
      </c>
      <c r="L22" s="22">
        <v>53968.5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43239</v>
      </c>
      <c r="E23" s="24">
        <v>70841.600000000006</v>
      </c>
      <c r="F23" s="19"/>
      <c r="G23" s="159">
        <v>43239</v>
      </c>
      <c r="H23" s="26">
        <v>15</v>
      </c>
      <c r="I23" s="27"/>
      <c r="J23" s="52"/>
      <c r="K23" s="51">
        <v>0</v>
      </c>
      <c r="L23" s="22">
        <v>70826.5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43240</v>
      </c>
      <c r="E24" s="24">
        <v>91920.1</v>
      </c>
      <c r="F24" s="19"/>
      <c r="G24" s="159">
        <v>43240</v>
      </c>
      <c r="H24" s="26">
        <v>0</v>
      </c>
      <c r="I24" s="27"/>
      <c r="J24" s="54" t="s">
        <v>15</v>
      </c>
      <c r="K24" s="51">
        <v>870</v>
      </c>
      <c r="L24" s="22">
        <v>91920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43241</v>
      </c>
      <c r="E25" s="24">
        <v>28933.599999999999</v>
      </c>
      <c r="F25" s="19"/>
      <c r="G25" s="159">
        <v>43241</v>
      </c>
      <c r="H25" s="26">
        <v>0</v>
      </c>
      <c r="I25" s="27"/>
      <c r="J25" s="55">
        <v>43222</v>
      </c>
      <c r="K25" s="51">
        <v>0</v>
      </c>
      <c r="L25" s="22">
        <v>28934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43242</v>
      </c>
      <c r="E26" s="24">
        <v>35234.550000000003</v>
      </c>
      <c r="F26" s="19"/>
      <c r="G26" s="159">
        <v>43242</v>
      </c>
      <c r="H26" s="26">
        <v>0</v>
      </c>
      <c r="I26" s="27"/>
      <c r="J26" s="56" t="s">
        <v>16</v>
      </c>
      <c r="K26" s="27">
        <v>900</v>
      </c>
      <c r="L26" s="22">
        <v>35234.5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43243</v>
      </c>
      <c r="E27" s="24">
        <v>54524.42</v>
      </c>
      <c r="F27" s="19"/>
      <c r="G27" s="159">
        <v>43243</v>
      </c>
      <c r="H27" s="26">
        <v>0</v>
      </c>
      <c r="I27" s="27"/>
      <c r="J27" s="116">
        <v>43226</v>
      </c>
      <c r="K27" s="27">
        <v>0</v>
      </c>
      <c r="L27" s="22">
        <v>54524.5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43244</v>
      </c>
      <c r="E28" s="24">
        <v>41143.550000000003</v>
      </c>
      <c r="F28" s="19"/>
      <c r="G28" s="159">
        <v>43244</v>
      </c>
      <c r="H28" s="26">
        <v>35</v>
      </c>
      <c r="I28" s="27"/>
      <c r="J28" s="57"/>
      <c r="K28" s="51">
        <v>0</v>
      </c>
      <c r="L28" s="22">
        <f>26108.5+15000</f>
        <v>41108.5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43245</v>
      </c>
      <c r="E29" s="24">
        <v>64666.95</v>
      </c>
      <c r="F29" s="19"/>
      <c r="G29" s="159">
        <v>43245</v>
      </c>
      <c r="H29" s="26">
        <v>0</v>
      </c>
      <c r="I29" s="27"/>
      <c r="J29" s="55"/>
      <c r="K29" s="51">
        <v>0</v>
      </c>
      <c r="L29" s="22">
        <v>64667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43246</v>
      </c>
      <c r="E30" s="24">
        <v>80081.05</v>
      </c>
      <c r="F30" s="19"/>
      <c r="G30" s="159">
        <v>43246</v>
      </c>
      <c r="H30" s="26">
        <v>30</v>
      </c>
      <c r="I30" s="27"/>
      <c r="J30" s="60" t="s">
        <v>18</v>
      </c>
      <c r="K30" s="51">
        <v>0</v>
      </c>
      <c r="L30" s="22">
        <f>50000+30051</f>
        <v>80051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43247</v>
      </c>
      <c r="E31" s="24">
        <v>89556.800000000003</v>
      </c>
      <c r="F31" s="19"/>
      <c r="G31" s="159">
        <v>43247</v>
      </c>
      <c r="H31" s="26">
        <v>0</v>
      </c>
      <c r="I31" s="61"/>
      <c r="J31" s="62"/>
      <c r="K31" s="51">
        <v>0</v>
      </c>
      <c r="L31" s="22">
        <v>89557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43248</v>
      </c>
      <c r="E32" s="24">
        <v>32258.47</v>
      </c>
      <c r="F32" s="19"/>
      <c r="G32" s="159">
        <v>43248</v>
      </c>
      <c r="H32" s="26">
        <v>0</v>
      </c>
      <c r="I32" s="61"/>
      <c r="J32" s="60"/>
      <c r="K32" s="29">
        <v>0</v>
      </c>
      <c r="L32" s="22">
        <v>32258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43249</v>
      </c>
      <c r="E33" s="24">
        <v>55447.18</v>
      </c>
      <c r="F33" s="19"/>
      <c r="G33" s="159">
        <v>43249</v>
      </c>
      <c r="H33" s="26">
        <v>0</v>
      </c>
      <c r="I33" s="27"/>
      <c r="J33" s="63"/>
      <c r="K33" s="38"/>
      <c r="L33" s="22">
        <v>55447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43250</v>
      </c>
      <c r="E34" s="24">
        <v>31665.9</v>
      </c>
      <c r="F34" s="19"/>
      <c r="G34" s="159">
        <v>43250</v>
      </c>
      <c r="H34" s="26">
        <v>0</v>
      </c>
      <c r="I34" s="27"/>
      <c r="J34" s="63"/>
      <c r="K34" s="38"/>
      <c r="L34" s="22">
        <v>31665.9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43251</v>
      </c>
      <c r="E35" s="24">
        <v>81595.89</v>
      </c>
      <c r="F35" s="19"/>
      <c r="G35" s="159">
        <v>43251</v>
      </c>
      <c r="H35" s="26">
        <v>0</v>
      </c>
      <c r="I35" s="27"/>
      <c r="J35" s="60"/>
      <c r="K35" s="29"/>
      <c r="L35" s="22">
        <v>81595.89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1667936.2899999998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1666660.5699999998</v>
      </c>
      <c r="G38" s="174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91900.62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75" t="s">
        <v>20</v>
      </c>
      <c r="H40" s="276"/>
      <c r="I40" s="178"/>
      <c r="J40" s="277">
        <f>H38+K38</f>
        <v>92130.62</v>
      </c>
      <c r="K40" s="278"/>
      <c r="L40" s="94"/>
      <c r="M40" s="95"/>
    </row>
    <row r="41" spans="1:14" ht="15.75" x14ac:dyDescent="0.25">
      <c r="A41" s="1"/>
      <c r="B41" s="179"/>
      <c r="C41" s="279" t="s">
        <v>21</v>
      </c>
      <c r="D41" s="279"/>
      <c r="E41" s="180">
        <f>E38-J40</f>
        <v>1574529.9499999997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5963.56</v>
      </c>
      <c r="F42" s="176"/>
      <c r="G42" s="176"/>
      <c r="H42" s="280" t="s">
        <v>26</v>
      </c>
      <c r="I42" s="280"/>
      <c r="J42" s="280">
        <f>E46</f>
        <v>172688.07999999981</v>
      </c>
      <c r="K42" s="287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-1591512.46</v>
      </c>
      <c r="F43" s="176"/>
      <c r="G43" s="176"/>
      <c r="H43" s="254" t="s">
        <v>1</v>
      </c>
      <c r="I43" s="254"/>
      <c r="J43" s="288">
        <f>-B4</f>
        <v>-116569.18</v>
      </c>
      <c r="K43" s="289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-11018.950000000186</v>
      </c>
      <c r="F44" s="176"/>
      <c r="G44" s="176"/>
      <c r="H44" s="257" t="s">
        <v>55</v>
      </c>
      <c r="I44" s="258"/>
      <c r="J44" s="259">
        <f>SUM(J41:K43)</f>
        <v>56118.89999999982</v>
      </c>
      <c r="K44" s="260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183707.03</v>
      </c>
      <c r="F45" s="176"/>
      <c r="G45" s="176"/>
      <c r="H45" s="71"/>
      <c r="I45" s="176"/>
      <c r="J45" s="281"/>
      <c r="K45" s="282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172688.07999999981</v>
      </c>
      <c r="F46" s="189"/>
      <c r="G46" s="189"/>
      <c r="H46" s="190"/>
      <c r="I46" s="191"/>
      <c r="J46" s="283"/>
      <c r="K46" s="284"/>
      <c r="L46" s="94"/>
      <c r="M46" s="95"/>
    </row>
    <row r="47" spans="1:14" ht="18.75" x14ac:dyDescent="0.25">
      <c r="A47" s="1"/>
      <c r="B47" s="5"/>
      <c r="E47" s="51"/>
      <c r="J47" s="285"/>
      <c r="K47" s="286"/>
      <c r="L47" s="94"/>
      <c r="M47" s="95"/>
    </row>
    <row r="48" spans="1:14" x14ac:dyDescent="0.25">
      <c r="A48" s="1"/>
      <c r="B48" s="5"/>
      <c r="C48" s="244"/>
      <c r="D48" s="244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26</vt:i4>
      </vt:variant>
    </vt:vector>
  </HeadingPairs>
  <TitlesOfParts>
    <vt:vector size="26" baseType="lpstr">
      <vt:lpstr>E N E R O     2 0 1 8    </vt:lpstr>
      <vt:lpstr>SALIDAS  ENERO   2018     </vt:lpstr>
      <vt:lpstr>F E B R E RO     2 0 1 8       </vt:lpstr>
      <vt:lpstr>SALIDAS  FEBRERO    2018    </vt:lpstr>
      <vt:lpstr>M A R Z O   2018     </vt:lpstr>
      <vt:lpstr>SALIDAS   MARZO   2018</vt:lpstr>
      <vt:lpstr>A B R I L   2018   </vt:lpstr>
      <vt:lpstr>SALIDAS    ABRIL   2018   </vt:lpstr>
      <vt:lpstr>M A Y O    2018      </vt:lpstr>
      <vt:lpstr>SALIDAS    MAYO     2018    </vt:lpstr>
      <vt:lpstr>JUNIO    2018     </vt:lpstr>
      <vt:lpstr>SALIDAS  JUNIO    2018    </vt:lpstr>
      <vt:lpstr> J U L I O     2018     </vt:lpstr>
      <vt:lpstr>SALIDAS   JULIO    2018    </vt:lpstr>
      <vt:lpstr>AGOSTO   2018    </vt:lpstr>
      <vt:lpstr>SALIDAS   AGOSTO   2018   </vt:lpstr>
      <vt:lpstr>SEPTIEMBRE     2018     </vt:lpstr>
      <vt:lpstr>SALIDAS  SEPTIEMBRE   2018   </vt:lpstr>
      <vt:lpstr>O C T U B R E     2018    </vt:lpstr>
      <vt:lpstr>SALIDAS   OCTUBRE   2018   </vt:lpstr>
      <vt:lpstr>NOVIEMBRE   2018     </vt:lpstr>
      <vt:lpstr>SALIDAS NOVIEMBRE 2018   </vt:lpstr>
      <vt:lpstr>DICIEMBRE   2018    </vt:lpstr>
      <vt:lpstr>SALIDAS   DICIEMBRE   2018  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2019-01-10T19:29:20Z</cp:lastPrinted>
  <dcterms:created xsi:type="dcterms:W3CDTF">2018-01-15T20:11:35Z</dcterms:created>
  <dcterms:modified xsi:type="dcterms:W3CDTF">2019-01-14T21:08:22Z</dcterms:modified>
</cp:coreProperties>
</file>