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4680" windowWidth="2955" windowHeight="3075" tabRatio="599" firstSheet="1" activeTab="4"/>
  </bookViews>
  <sheets>
    <sheet name="Gráfico1" sheetId="137" state="hidden" r:id="rId1"/>
    <sheet name="COMPRAS DEL MES " sheetId="38" r:id="rId2"/>
    <sheet name="PIERNA" sheetId="1" r:id="rId3"/>
    <sheet name="CONTRA   SWIFT     " sheetId="57" r:id="rId4"/>
    <sheet name="CONTRA EXCEL  " sheetId="129" r:id="rId5"/>
    <sheet name="CORBATA SMITHFIELD" sheetId="142" r:id="rId6"/>
    <sheet name="BUCHE  SEABOARD   " sheetId="146" r:id="rId7"/>
    <sheet name="ARRACHERA     " sheetId="136" r:id="rId8"/>
    <sheet name="CUERO PANCETA " sheetId="128" r:id="rId9"/>
    <sheet name="CORTES VARIOS       " sheetId="143" r:id="rId10"/>
    <sheet name="A T U N       " sheetId="130" r:id="rId11"/>
    <sheet name="SALMON" sheetId="8" r:id="rId12"/>
    <sheet name="CAMARON     " sheetId="135" r:id="rId13"/>
    <sheet name="MENUDO EXCELL   I B P" sheetId="40" r:id="rId14"/>
    <sheet name="ESPALDILLA CARNERO Y CORDERO   " sheetId="54" r:id="rId15"/>
    <sheet name="SESOS COPA" sheetId="14" r:id="rId16"/>
    <sheet name="SESOS     MARQUETA      " sheetId="141" r:id="rId17"/>
    <sheet name="FILETE  TILAPIA   " sheetId="65" r:id="rId18"/>
    <sheet name="FILETE  B A S A     " sheetId="139" r:id="rId19"/>
    <sheet name="PAPA ONDULADA        " sheetId="117" r:id="rId20"/>
    <sheet name="PAVO ENTERO" sheetId="94" state="hidden" r:id="rId21"/>
    <sheet name="CABEZA DE CERDO    " sheetId="125" r:id="rId22"/>
    <sheet name="LENGUA DE  CERDO    " sheetId="133" r:id="rId23"/>
    <sheet name="LOMO DE CAÑA    " sheetId="150" r:id="rId24"/>
    <sheet name="TARAS DE PLASTICO " sheetId="132" r:id="rId25"/>
    <sheet name="Hoja5" sheetId="134" r:id="rId26"/>
    <sheet name="Hoja1" sheetId="148" r:id="rId27"/>
  </sheets>
  <calcPr calcId="152511"/>
  <fileRecoveryPr autoRecover="0"/>
</workbook>
</file>

<file path=xl/calcChain.xml><?xml version="1.0" encoding="utf-8"?>
<calcChain xmlns="http://schemas.openxmlformats.org/spreadsheetml/2006/main">
  <c r="Q58" i="38" l="1"/>
  <c r="S37" i="38" l="1"/>
  <c r="Q11" i="38"/>
  <c r="Q15" i="38" l="1"/>
  <c r="Q57" i="38"/>
  <c r="Q61" i="38"/>
  <c r="N12" i="117" l="1"/>
  <c r="P12" i="117" s="1"/>
  <c r="N11" i="117"/>
  <c r="P11" i="117" s="1"/>
  <c r="N10" i="117"/>
  <c r="P10" i="117" s="1"/>
  <c r="N9" i="117"/>
  <c r="P9" i="117" s="1"/>
  <c r="N8" i="117"/>
  <c r="P8" i="117" s="1"/>
  <c r="F12" i="57"/>
  <c r="I12" i="57" s="1"/>
  <c r="I13" i="57" s="1"/>
  <c r="I14" i="57" s="1"/>
  <c r="I15" i="57" s="1"/>
  <c r="F13" i="57"/>
  <c r="F14" i="57"/>
  <c r="B12" i="57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I11" i="57"/>
  <c r="PU32" i="1" l="1"/>
  <c r="PW32" i="1"/>
  <c r="PW33" i="1" s="1"/>
  <c r="F8" i="136" l="1"/>
  <c r="S9" i="129" l="1"/>
  <c r="P10" i="54"/>
  <c r="P9" i="54"/>
  <c r="V9" i="129" l="1"/>
  <c r="S49" i="38" l="1"/>
  <c r="S50" i="38"/>
  <c r="S51" i="38"/>
  <c r="S52" i="38"/>
  <c r="S53" i="38"/>
  <c r="Q49" i="38"/>
  <c r="T112" i="38" l="1"/>
  <c r="T113" i="38"/>
  <c r="T115" i="38"/>
  <c r="T116" i="38"/>
  <c r="T117" i="38"/>
  <c r="T118" i="38"/>
  <c r="S112" i="38"/>
  <c r="S113" i="38"/>
  <c r="S114" i="38"/>
  <c r="T114" i="38" s="1"/>
  <c r="S115" i="38"/>
  <c r="S116" i="38"/>
  <c r="T56" i="38" l="1"/>
  <c r="T62" i="38"/>
  <c r="T63" i="38"/>
  <c r="T64" i="38"/>
  <c r="T65" i="38"/>
  <c r="S56" i="38"/>
  <c r="S57" i="38"/>
  <c r="S58" i="38"/>
  <c r="S59" i="38"/>
  <c r="T59" i="38" s="1"/>
  <c r="Q60" i="38"/>
  <c r="Q62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Q47" i="38" l="1"/>
  <c r="Q36" i="38"/>
  <c r="Q34" i="38"/>
  <c r="Q35" i="38"/>
  <c r="Q51" i="38"/>
  <c r="Q53" i="38"/>
  <c r="Q48" i="38"/>
  <c r="Q43" i="38"/>
  <c r="Q41" i="38"/>
  <c r="Q40" i="38"/>
  <c r="Q44" i="38"/>
  <c r="Q45" i="38"/>
  <c r="Q32" i="38"/>
  <c r="Q31" i="38"/>
  <c r="Q29" i="38"/>
  <c r="Q25" i="38"/>
  <c r="Q56" i="38"/>
  <c r="Q42" i="38"/>
  <c r="Q38" i="38"/>
  <c r="Q39" i="38"/>
  <c r="Q46" i="38"/>
  <c r="C60" i="38" l="1"/>
  <c r="Q37" i="38"/>
  <c r="Q52" i="38"/>
  <c r="Q50" i="38"/>
  <c r="Q27" i="38"/>
  <c r="Q33" i="38"/>
  <c r="Q54" i="38"/>
  <c r="H65" i="38" l="1"/>
  <c r="G65" i="38"/>
  <c r="F65" i="38"/>
  <c r="E65" i="38"/>
  <c r="D65" i="38"/>
  <c r="C65" i="38"/>
  <c r="B65" i="38"/>
  <c r="H64" i="38"/>
  <c r="G64" i="38"/>
  <c r="F64" i="38"/>
  <c r="E64" i="38"/>
  <c r="D64" i="38"/>
  <c r="C64" i="38"/>
  <c r="B64" i="38"/>
  <c r="H63" i="38"/>
  <c r="G63" i="38"/>
  <c r="F63" i="38"/>
  <c r="E63" i="38"/>
  <c r="B63" i="38"/>
  <c r="B61" i="1"/>
  <c r="B61" i="38" s="1"/>
  <c r="I114" i="38" l="1"/>
  <c r="F112" i="38"/>
  <c r="I112" i="38"/>
  <c r="I113" i="38"/>
  <c r="I115" i="38"/>
  <c r="M62" i="117" l="1"/>
  <c r="O63" i="117" s="1"/>
  <c r="N61" i="117"/>
  <c r="P61" i="117" s="1"/>
  <c r="N60" i="117"/>
  <c r="P60" i="117" s="1"/>
  <c r="N59" i="117"/>
  <c r="P59" i="117" s="1"/>
  <c r="N58" i="117"/>
  <c r="P58" i="117" s="1"/>
  <c r="N57" i="117"/>
  <c r="P57" i="117" s="1"/>
  <c r="N56" i="117"/>
  <c r="P56" i="117" s="1"/>
  <c r="N55" i="117"/>
  <c r="P55" i="117" s="1"/>
  <c r="N54" i="117"/>
  <c r="P54" i="117" s="1"/>
  <c r="N53" i="117"/>
  <c r="P53" i="117" s="1"/>
  <c r="N52" i="117"/>
  <c r="P52" i="117" s="1"/>
  <c r="P51" i="117"/>
  <c r="N51" i="117"/>
  <c r="N50" i="117"/>
  <c r="P50" i="117" s="1"/>
  <c r="N49" i="117"/>
  <c r="P49" i="117" s="1"/>
  <c r="N48" i="117"/>
  <c r="P48" i="117" s="1"/>
  <c r="P47" i="117"/>
  <c r="N47" i="117"/>
  <c r="N46" i="117"/>
  <c r="P46" i="117" s="1"/>
  <c r="N45" i="117"/>
  <c r="P45" i="117" s="1"/>
  <c r="N44" i="117"/>
  <c r="P44" i="117" s="1"/>
  <c r="P43" i="117"/>
  <c r="N43" i="117"/>
  <c r="N42" i="117"/>
  <c r="P42" i="117" s="1"/>
  <c r="N41" i="117"/>
  <c r="P41" i="117" s="1"/>
  <c r="N40" i="117"/>
  <c r="P40" i="117" s="1"/>
  <c r="P39" i="117"/>
  <c r="N39" i="117"/>
  <c r="N38" i="117"/>
  <c r="P38" i="117" s="1"/>
  <c r="N37" i="117"/>
  <c r="P37" i="117" s="1"/>
  <c r="N36" i="117"/>
  <c r="P36" i="117" s="1"/>
  <c r="P35" i="117"/>
  <c r="N35" i="117"/>
  <c r="N34" i="117"/>
  <c r="P34" i="117" s="1"/>
  <c r="N33" i="117"/>
  <c r="P33" i="117" s="1"/>
  <c r="N32" i="117"/>
  <c r="P32" i="117" s="1"/>
  <c r="P31" i="117"/>
  <c r="N31" i="117"/>
  <c r="N30" i="117"/>
  <c r="P30" i="117" s="1"/>
  <c r="N29" i="117"/>
  <c r="P29" i="117" s="1"/>
  <c r="N28" i="117"/>
  <c r="P28" i="117" s="1"/>
  <c r="P27" i="117"/>
  <c r="N27" i="117"/>
  <c r="N26" i="117"/>
  <c r="P26" i="117" s="1"/>
  <c r="N25" i="117"/>
  <c r="P25" i="117" s="1"/>
  <c r="N24" i="117"/>
  <c r="P24" i="117" s="1"/>
  <c r="P23" i="117"/>
  <c r="N23" i="117"/>
  <c r="N22" i="117"/>
  <c r="P22" i="117" s="1"/>
  <c r="N21" i="117"/>
  <c r="P21" i="117" s="1"/>
  <c r="N20" i="117"/>
  <c r="P20" i="117" s="1"/>
  <c r="P19" i="117"/>
  <c r="N19" i="117"/>
  <c r="N18" i="117"/>
  <c r="P18" i="117" s="1"/>
  <c r="N17" i="117"/>
  <c r="P17" i="117" s="1"/>
  <c r="N16" i="117"/>
  <c r="P16" i="117" s="1"/>
  <c r="P15" i="117"/>
  <c r="N15" i="117"/>
  <c r="N14" i="117"/>
  <c r="P14" i="117" s="1"/>
  <c r="N13" i="117"/>
  <c r="P13" i="117" s="1"/>
  <c r="E8" i="128"/>
  <c r="N62" i="117" l="1"/>
  <c r="H55" i="38"/>
  <c r="G55" i="38"/>
  <c r="F55" i="38"/>
  <c r="E55" i="38"/>
  <c r="D55" i="38"/>
  <c r="C55" i="38"/>
  <c r="B55" i="38"/>
  <c r="C54" i="38"/>
  <c r="B54" i="38"/>
  <c r="X52" i="65"/>
  <c r="Y54" i="65" s="1"/>
  <c r="AA51" i="65"/>
  <c r="Y51" i="65"/>
  <c r="Y50" i="65"/>
  <c r="AA50" i="65" s="1"/>
  <c r="AA49" i="65"/>
  <c r="Y49" i="65"/>
  <c r="Y48" i="65"/>
  <c r="AA48" i="65" s="1"/>
  <c r="AA47" i="65"/>
  <c r="Y47" i="65"/>
  <c r="Y46" i="65"/>
  <c r="AA46" i="65" s="1"/>
  <c r="AA45" i="65"/>
  <c r="Y45" i="65"/>
  <c r="Y44" i="65"/>
  <c r="AA44" i="65" s="1"/>
  <c r="AA43" i="65"/>
  <c r="Y43" i="65"/>
  <c r="Y42" i="65"/>
  <c r="AA42" i="65" s="1"/>
  <c r="AA41" i="65"/>
  <c r="Y41" i="65"/>
  <c r="Y40" i="65"/>
  <c r="AA40" i="65" s="1"/>
  <c r="AA39" i="65"/>
  <c r="Y39" i="65"/>
  <c r="Y38" i="65"/>
  <c r="AA38" i="65" s="1"/>
  <c r="AA37" i="65"/>
  <c r="Y37" i="65"/>
  <c r="Y36" i="65"/>
  <c r="AA36" i="65" s="1"/>
  <c r="AA35" i="65"/>
  <c r="Y35" i="65"/>
  <c r="Y34" i="65"/>
  <c r="AA34" i="65" s="1"/>
  <c r="AA33" i="65"/>
  <c r="Y33" i="65"/>
  <c r="Y32" i="65"/>
  <c r="AA32" i="65" s="1"/>
  <c r="AA31" i="65"/>
  <c r="Y31" i="65"/>
  <c r="Y30" i="65"/>
  <c r="AA30" i="65" s="1"/>
  <c r="AA29" i="65"/>
  <c r="Y29" i="65"/>
  <c r="Y28" i="65"/>
  <c r="AA28" i="65" s="1"/>
  <c r="AA27" i="65"/>
  <c r="Y27" i="65"/>
  <c r="Y26" i="65"/>
  <c r="AA26" i="65" s="1"/>
  <c r="AA25" i="65"/>
  <c r="Y25" i="65"/>
  <c r="Y24" i="65"/>
  <c r="AA24" i="65" s="1"/>
  <c r="AA23" i="65"/>
  <c r="Y23" i="65"/>
  <c r="Y22" i="65"/>
  <c r="AA22" i="65" s="1"/>
  <c r="AA21" i="65"/>
  <c r="Y21" i="65"/>
  <c r="Y20" i="65"/>
  <c r="AA20" i="65" s="1"/>
  <c r="AA19" i="65"/>
  <c r="Y19" i="65"/>
  <c r="Y18" i="65"/>
  <c r="AA18" i="65" s="1"/>
  <c r="AA17" i="65"/>
  <c r="Y17" i="65"/>
  <c r="Y16" i="65"/>
  <c r="AA16" i="65" s="1"/>
  <c r="AA15" i="65"/>
  <c r="Y15" i="65"/>
  <c r="Y14" i="65"/>
  <c r="AA14" i="65" s="1"/>
  <c r="AA13" i="65"/>
  <c r="Y13" i="65"/>
  <c r="Y12" i="65"/>
  <c r="AA12" i="65" s="1"/>
  <c r="AA11" i="65"/>
  <c r="Y11" i="65"/>
  <c r="Y10" i="65"/>
  <c r="AA10" i="65" s="1"/>
  <c r="Y9" i="65"/>
  <c r="Y52" i="65" s="1"/>
  <c r="M29" i="130"/>
  <c r="P32" i="130" s="1"/>
  <c r="K29" i="130"/>
  <c r="N28" i="130"/>
  <c r="P28" i="130" s="1"/>
  <c r="P27" i="130"/>
  <c r="N27" i="130"/>
  <c r="N26" i="130"/>
  <c r="P26" i="130" s="1"/>
  <c r="P25" i="130"/>
  <c r="N25" i="130"/>
  <c r="N24" i="130"/>
  <c r="P24" i="130" s="1"/>
  <c r="P23" i="130"/>
  <c r="N23" i="130"/>
  <c r="N22" i="130"/>
  <c r="P22" i="130" s="1"/>
  <c r="P21" i="130"/>
  <c r="N21" i="130"/>
  <c r="N20" i="130"/>
  <c r="P20" i="130" s="1"/>
  <c r="P19" i="130"/>
  <c r="N19" i="130"/>
  <c r="N18" i="130"/>
  <c r="P18" i="130" s="1"/>
  <c r="N17" i="130"/>
  <c r="P17" i="130" s="1"/>
  <c r="P16" i="130"/>
  <c r="N16" i="130"/>
  <c r="N15" i="130"/>
  <c r="P15" i="130" s="1"/>
  <c r="N14" i="130"/>
  <c r="P14" i="130" s="1"/>
  <c r="P13" i="130"/>
  <c r="N13" i="130"/>
  <c r="N12" i="130"/>
  <c r="P12" i="130" s="1"/>
  <c r="N11" i="130"/>
  <c r="P11" i="130" s="1"/>
  <c r="N10" i="130"/>
  <c r="P10" i="130" s="1"/>
  <c r="N9" i="130"/>
  <c r="P9" i="130" s="1"/>
  <c r="N8" i="130"/>
  <c r="P8" i="130" s="1"/>
  <c r="PG5" i="1"/>
  <c r="PP5" i="1"/>
  <c r="PY5" i="1"/>
  <c r="QH5" i="1"/>
  <c r="PC32" i="1"/>
  <c r="PE32" i="1"/>
  <c r="PE33" i="1" s="1"/>
  <c r="PL32" i="1"/>
  <c r="PN32" i="1"/>
  <c r="PN33" i="1" s="1"/>
  <c r="QD32" i="1"/>
  <c r="QF32" i="1"/>
  <c r="QF33" i="1" s="1"/>
  <c r="H56" i="38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AA9" i="65" l="1"/>
  <c r="AA52" i="65" s="1"/>
  <c r="AB5" i="65" s="1"/>
  <c r="AC5" i="65" s="1"/>
  <c r="P62" i="117"/>
  <c r="S8" i="117"/>
  <c r="S9" i="117" s="1"/>
  <c r="S10" i="117" s="1"/>
  <c r="S11" i="117" s="1"/>
  <c r="S12" i="117" s="1"/>
  <c r="S13" i="117" s="1"/>
  <c r="S14" i="117" s="1"/>
  <c r="S15" i="117" s="1"/>
  <c r="S16" i="117" s="1"/>
  <c r="S17" i="117" s="1"/>
  <c r="S18" i="117" s="1"/>
  <c r="S19" i="117" s="1"/>
  <c r="S20" i="117" s="1"/>
  <c r="S21" i="117" s="1"/>
  <c r="S22" i="117" s="1"/>
  <c r="S23" i="117" s="1"/>
  <c r="S24" i="117" s="1"/>
  <c r="S25" i="117" s="1"/>
  <c r="S26" i="117" s="1"/>
  <c r="S27" i="117" s="1"/>
  <c r="S28" i="117" s="1"/>
  <c r="S29" i="117" s="1"/>
  <c r="S30" i="117" s="1"/>
  <c r="S31" i="117" s="1"/>
  <c r="S32" i="117" s="1"/>
  <c r="S33" i="117" s="1"/>
  <c r="S34" i="117" s="1"/>
  <c r="S35" i="117" s="1"/>
  <c r="S36" i="117" s="1"/>
  <c r="S37" i="117" s="1"/>
  <c r="S38" i="117" s="1"/>
  <c r="S39" i="117" s="1"/>
  <c r="S40" i="117" s="1"/>
  <c r="S41" i="117" s="1"/>
  <c r="S42" i="117" s="1"/>
  <c r="S43" i="117" s="1"/>
  <c r="S44" i="117" s="1"/>
  <c r="S45" i="117" s="1"/>
  <c r="S46" i="117" s="1"/>
  <c r="S47" i="117" s="1"/>
  <c r="S48" i="117" s="1"/>
  <c r="S49" i="117" s="1"/>
  <c r="S50" i="117" s="1"/>
  <c r="S51" i="117" s="1"/>
  <c r="N29" i="130"/>
  <c r="P29" i="130"/>
  <c r="S8" i="130"/>
  <c r="S9" i="130" s="1"/>
  <c r="S10" i="130" s="1"/>
  <c r="S11" i="130" s="1"/>
  <c r="S12" i="130" s="1"/>
  <c r="S13" i="130" s="1"/>
  <c r="S14" i="130" s="1"/>
  <c r="S15" i="130" s="1"/>
  <c r="S16" i="130" s="1"/>
  <c r="S17" i="130" s="1"/>
  <c r="Q30" i="38"/>
  <c r="Q23" i="38"/>
  <c r="Q28" i="38"/>
  <c r="Q24" i="38"/>
  <c r="Z55" i="65" l="1"/>
  <c r="AD9" i="65"/>
  <c r="AD10" i="65" s="1"/>
  <c r="AD11" i="65" s="1"/>
  <c r="AD12" i="65" s="1"/>
  <c r="AD13" i="65" s="1"/>
  <c r="AD14" i="65" s="1"/>
  <c r="AD15" i="65" s="1"/>
  <c r="AD16" i="65" s="1"/>
  <c r="AD17" i="65" s="1"/>
  <c r="AD18" i="65" s="1"/>
  <c r="AD19" i="65" s="1"/>
  <c r="AD20" i="65" s="1"/>
  <c r="AD21" i="65" s="1"/>
  <c r="AD22" i="65" s="1"/>
  <c r="AD23" i="65" s="1"/>
  <c r="AD24" i="65" s="1"/>
  <c r="AD25" i="65" s="1"/>
  <c r="AD26" i="65" s="1"/>
  <c r="AD27" i="65" s="1"/>
  <c r="AD28" i="65" s="1"/>
  <c r="AD29" i="65" s="1"/>
  <c r="AD30" i="65" s="1"/>
  <c r="AD31" i="65" s="1"/>
  <c r="AD32" i="65" s="1"/>
  <c r="AD33" i="65" s="1"/>
  <c r="AD34" i="65" s="1"/>
  <c r="AD35" i="65" s="1"/>
  <c r="AD36" i="65" s="1"/>
  <c r="AD37" i="65" s="1"/>
  <c r="AD38" i="65" s="1"/>
  <c r="AD39" i="65" s="1"/>
  <c r="AD40" i="65" s="1"/>
  <c r="AD41" i="65" s="1"/>
  <c r="AD42" i="65" s="1"/>
  <c r="AD43" i="65" s="1"/>
  <c r="AD44" i="65" s="1"/>
  <c r="AD45" i="65" s="1"/>
  <c r="AD46" i="65" s="1"/>
  <c r="AD47" i="65" s="1"/>
  <c r="AD48" i="65" s="1"/>
  <c r="AD49" i="65" s="1"/>
  <c r="AD50" i="65" s="1"/>
  <c r="O65" i="117"/>
  <c r="Q5" i="117"/>
  <c r="R5" i="117" s="1"/>
  <c r="P31" i="130"/>
  <c r="Q5" i="130"/>
  <c r="R5" i="130" s="1"/>
  <c r="Q19" i="38"/>
  <c r="Q20" i="38"/>
  <c r="Q26" i="38" l="1"/>
  <c r="Q16" i="38"/>
  <c r="Q7" i="38"/>
  <c r="X77" i="129" l="1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AC10" i="129" s="1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L40" i="136"/>
  <c r="O43" i="136" s="1"/>
  <c r="J40" i="136"/>
  <c r="M39" i="136"/>
  <c r="O39" i="136" s="1"/>
  <c r="O38" i="136"/>
  <c r="M38" i="136"/>
  <c r="M37" i="136"/>
  <c r="O37" i="136" s="1"/>
  <c r="O36" i="136"/>
  <c r="M36" i="136"/>
  <c r="M35" i="136"/>
  <c r="O35" i="136" s="1"/>
  <c r="O34" i="136"/>
  <c r="M34" i="136"/>
  <c r="M33" i="136"/>
  <c r="O33" i="136" s="1"/>
  <c r="O32" i="136"/>
  <c r="M32" i="136"/>
  <c r="M31" i="136"/>
  <c r="O31" i="136" s="1"/>
  <c r="O30" i="136"/>
  <c r="M30" i="136"/>
  <c r="M29" i="136"/>
  <c r="O29" i="136" s="1"/>
  <c r="O28" i="136"/>
  <c r="M28" i="136"/>
  <c r="M27" i="136"/>
  <c r="O27" i="136" s="1"/>
  <c r="O26" i="136"/>
  <c r="M26" i="136"/>
  <c r="O25" i="136"/>
  <c r="M24" i="136"/>
  <c r="O24" i="136" s="1"/>
  <c r="M23" i="136"/>
  <c r="O23" i="136" s="1"/>
  <c r="M22" i="136"/>
  <c r="M40" i="136" s="1"/>
  <c r="P5" i="136" s="1"/>
  <c r="Q5" i="136" s="1"/>
  <c r="O21" i="136"/>
  <c r="O20" i="136"/>
  <c r="O19" i="136"/>
  <c r="O18" i="136"/>
  <c r="O17" i="136"/>
  <c r="O16" i="136"/>
  <c r="O15" i="136"/>
  <c r="O14" i="136"/>
  <c r="O13" i="136"/>
  <c r="O12" i="136"/>
  <c r="O11" i="136"/>
  <c r="O10" i="136"/>
  <c r="O9" i="136"/>
  <c r="O8" i="136"/>
  <c r="F21" i="136"/>
  <c r="F22" i="136"/>
  <c r="M93" i="14"/>
  <c r="O94" i="14" s="1"/>
  <c r="N92" i="14"/>
  <c r="P92" i="14" s="1"/>
  <c r="P91" i="14"/>
  <c r="N91" i="14"/>
  <c r="N90" i="14"/>
  <c r="P90" i="14" s="1"/>
  <c r="N89" i="14"/>
  <c r="P89" i="14" s="1"/>
  <c r="N88" i="14"/>
  <c r="P88" i="14" s="1"/>
  <c r="N87" i="14"/>
  <c r="P87" i="14" s="1"/>
  <c r="N86" i="14"/>
  <c r="P86" i="14" s="1"/>
  <c r="N85" i="14"/>
  <c r="P85" i="14" s="1"/>
  <c r="N84" i="14"/>
  <c r="P84" i="14" s="1"/>
  <c r="N83" i="14"/>
  <c r="P83" i="14" s="1"/>
  <c r="N82" i="14"/>
  <c r="P82" i="14" s="1"/>
  <c r="N81" i="14"/>
  <c r="P81" i="14" s="1"/>
  <c r="N80" i="14"/>
  <c r="P80" i="14" s="1"/>
  <c r="N79" i="14"/>
  <c r="P79" i="14" s="1"/>
  <c r="N78" i="14"/>
  <c r="P78" i="14" s="1"/>
  <c r="N77" i="14"/>
  <c r="P77" i="14" s="1"/>
  <c r="N76" i="14"/>
  <c r="P76" i="14" s="1"/>
  <c r="P75" i="14"/>
  <c r="N75" i="14"/>
  <c r="N74" i="14"/>
  <c r="P74" i="14" s="1"/>
  <c r="N73" i="14"/>
  <c r="P73" i="14" s="1"/>
  <c r="N72" i="14"/>
  <c r="P72" i="14" s="1"/>
  <c r="N71" i="14"/>
  <c r="P71" i="14" s="1"/>
  <c r="N70" i="14"/>
  <c r="P70" i="14" s="1"/>
  <c r="N69" i="14"/>
  <c r="P69" i="14" s="1"/>
  <c r="N68" i="14"/>
  <c r="P68" i="14" s="1"/>
  <c r="N67" i="14"/>
  <c r="P67" i="14" s="1"/>
  <c r="N66" i="14"/>
  <c r="P66" i="14" s="1"/>
  <c r="N65" i="14"/>
  <c r="P65" i="14" s="1"/>
  <c r="N64" i="14"/>
  <c r="P64" i="14" s="1"/>
  <c r="N63" i="14"/>
  <c r="P63" i="14" s="1"/>
  <c r="N62" i="14"/>
  <c r="P62" i="14" s="1"/>
  <c r="N61" i="14"/>
  <c r="P61" i="14" s="1"/>
  <c r="N60" i="14"/>
  <c r="P60" i="14" s="1"/>
  <c r="P59" i="14"/>
  <c r="N59" i="14"/>
  <c r="N58" i="14"/>
  <c r="P58" i="14" s="1"/>
  <c r="N57" i="14"/>
  <c r="P57" i="14" s="1"/>
  <c r="N56" i="14"/>
  <c r="P56" i="14" s="1"/>
  <c r="N55" i="14"/>
  <c r="P55" i="14" s="1"/>
  <c r="N54" i="14"/>
  <c r="P54" i="14" s="1"/>
  <c r="N53" i="14"/>
  <c r="P53" i="14" s="1"/>
  <c r="N52" i="14"/>
  <c r="P52" i="14" s="1"/>
  <c r="P51" i="14"/>
  <c r="N51" i="14"/>
  <c r="N50" i="14"/>
  <c r="P50" i="14" s="1"/>
  <c r="N49" i="14"/>
  <c r="P49" i="14" s="1"/>
  <c r="N48" i="14"/>
  <c r="P48" i="14" s="1"/>
  <c r="N47" i="14"/>
  <c r="P47" i="14" s="1"/>
  <c r="N46" i="14"/>
  <c r="P46" i="14" s="1"/>
  <c r="P45" i="14"/>
  <c r="N45" i="14"/>
  <c r="N44" i="14"/>
  <c r="P44" i="14" s="1"/>
  <c r="N43" i="14"/>
  <c r="P43" i="14" s="1"/>
  <c r="N42" i="14"/>
  <c r="P42" i="14" s="1"/>
  <c r="N41" i="14"/>
  <c r="P41" i="14" s="1"/>
  <c r="N40" i="14"/>
  <c r="P40" i="14" s="1"/>
  <c r="N39" i="14"/>
  <c r="P39" i="14" s="1"/>
  <c r="N38" i="14"/>
  <c r="P38" i="14" s="1"/>
  <c r="N37" i="14"/>
  <c r="P37" i="14" s="1"/>
  <c r="N36" i="14"/>
  <c r="P36" i="14" s="1"/>
  <c r="N35" i="14"/>
  <c r="P35" i="14" s="1"/>
  <c r="N34" i="14"/>
  <c r="P34" i="14" s="1"/>
  <c r="N33" i="14"/>
  <c r="P33" i="14" s="1"/>
  <c r="N32" i="14"/>
  <c r="P32" i="14" s="1"/>
  <c r="N31" i="14"/>
  <c r="P31" i="14" s="1"/>
  <c r="N30" i="14"/>
  <c r="P30" i="14" s="1"/>
  <c r="N29" i="14"/>
  <c r="P29" i="14" s="1"/>
  <c r="N28" i="14"/>
  <c r="P28" i="14" s="1"/>
  <c r="N27" i="14"/>
  <c r="P27" i="14" s="1"/>
  <c r="P26" i="14"/>
  <c r="N26" i="14"/>
  <c r="N25" i="14"/>
  <c r="P25" i="14" s="1"/>
  <c r="N24" i="14"/>
  <c r="P24" i="14" s="1"/>
  <c r="N23" i="14"/>
  <c r="P23" i="14" s="1"/>
  <c r="N22" i="14"/>
  <c r="P22" i="14" s="1"/>
  <c r="N21" i="14"/>
  <c r="P21" i="14" s="1"/>
  <c r="N20" i="14"/>
  <c r="P20" i="14" s="1"/>
  <c r="N19" i="14"/>
  <c r="P19" i="14" s="1"/>
  <c r="N18" i="14"/>
  <c r="P18" i="14" s="1"/>
  <c r="N17" i="14"/>
  <c r="P17" i="14" s="1"/>
  <c r="N16" i="14"/>
  <c r="P16" i="14" s="1"/>
  <c r="N15" i="14"/>
  <c r="P15" i="14" s="1"/>
  <c r="N14" i="14"/>
  <c r="P14" i="14" s="1"/>
  <c r="N13" i="14"/>
  <c r="P13" i="14" s="1"/>
  <c r="N12" i="14"/>
  <c r="P12" i="14" s="1"/>
  <c r="N11" i="14"/>
  <c r="P11" i="14" s="1"/>
  <c r="N10" i="14"/>
  <c r="N9" i="14"/>
  <c r="P9" i="14" s="1"/>
  <c r="N8" i="14"/>
  <c r="P8" i="14" s="1"/>
  <c r="S8" i="14" s="1"/>
  <c r="S9" i="14" l="1"/>
  <c r="Z77" i="129"/>
  <c r="Y82" i="129" s="1"/>
  <c r="O22" i="136"/>
  <c r="O40" i="136" s="1"/>
  <c r="O42" i="136" s="1"/>
  <c r="N93" i="14"/>
  <c r="P10" i="14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S84" i="14" s="1"/>
  <c r="S85" i="14" s="1"/>
  <c r="S86" i="14" s="1"/>
  <c r="S87" i="14" s="1"/>
  <c r="S88" i="14" s="1"/>
  <c r="S89" i="14" s="1"/>
  <c r="S90" i="14" s="1"/>
  <c r="S91" i="14" s="1"/>
  <c r="Q12" i="38"/>
  <c r="Q10" i="38"/>
  <c r="Q18" i="38"/>
  <c r="Q17" i="38"/>
  <c r="AA5" i="129" l="1"/>
  <c r="AB6" i="129" s="1"/>
  <c r="P93" i="14"/>
  <c r="O96" i="14" s="1"/>
  <c r="Q14" i="38"/>
  <c r="Q22" i="38"/>
  <c r="Q21" i="38"/>
  <c r="Q6" i="38"/>
  <c r="Q5" i="14" l="1"/>
  <c r="R5" i="14" s="1"/>
  <c r="Q13" i="38"/>
  <c r="Q4" i="38" l="1"/>
  <c r="Q5" i="38"/>
  <c r="Q8" i="38"/>
  <c r="Q9" i="38"/>
  <c r="K1" i="65" l="1"/>
  <c r="K1" i="54"/>
  <c r="K1" i="129"/>
  <c r="C44" i="150" l="1"/>
  <c r="E45" i="150" s="1"/>
  <c r="F21" i="54"/>
  <c r="B11" i="54"/>
  <c r="B12" i="54"/>
  <c r="B13" i="54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10" i="54"/>
  <c r="B9" i="54"/>
  <c r="F9" i="129" l="1"/>
  <c r="I9" i="129" s="1"/>
  <c r="F10" i="129"/>
  <c r="F11" i="129"/>
  <c r="F12" i="129"/>
  <c r="F13" i="129"/>
  <c r="F14" i="129"/>
  <c r="F15" i="129"/>
  <c r="F16" i="129"/>
  <c r="F17" i="129"/>
  <c r="F18" i="129"/>
  <c r="F19" i="129"/>
  <c r="F20" i="129"/>
  <c r="F21" i="129"/>
  <c r="F22" i="129"/>
  <c r="F23" i="129"/>
  <c r="F24" i="129"/>
  <c r="F26" i="129"/>
  <c r="F27" i="129"/>
  <c r="F28" i="129"/>
  <c r="L9" i="129"/>
  <c r="B9" i="129"/>
  <c r="B10" i="129" s="1"/>
  <c r="C77" i="129"/>
  <c r="E80" i="129" s="1"/>
  <c r="D14" i="117" l="1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I8" i="117" s="1"/>
  <c r="D9" i="139"/>
  <c r="F9" i="139" s="1"/>
  <c r="I9" i="117" l="1"/>
  <c r="I10" i="117" s="1"/>
  <c r="I11" i="117" s="1"/>
  <c r="I12" i="117" s="1"/>
  <c r="I13" i="117" s="1"/>
  <c r="I14" i="117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M52" i="65"/>
  <c r="N54" i="65" s="1"/>
  <c r="N51" i="65"/>
  <c r="P51" i="65" s="1"/>
  <c r="P50" i="65"/>
  <c r="N50" i="65"/>
  <c r="N49" i="65"/>
  <c r="P49" i="65" s="1"/>
  <c r="N48" i="65"/>
  <c r="P48" i="65" s="1"/>
  <c r="N47" i="65"/>
  <c r="P47" i="65" s="1"/>
  <c r="P46" i="65"/>
  <c r="N46" i="65"/>
  <c r="N45" i="65"/>
  <c r="P45" i="65" s="1"/>
  <c r="N44" i="65"/>
  <c r="P44" i="65" s="1"/>
  <c r="N43" i="65"/>
  <c r="P43" i="65" s="1"/>
  <c r="P42" i="65"/>
  <c r="N42" i="65"/>
  <c r="N41" i="65"/>
  <c r="P41" i="65" s="1"/>
  <c r="N40" i="65"/>
  <c r="P40" i="65" s="1"/>
  <c r="N39" i="65"/>
  <c r="P39" i="65" s="1"/>
  <c r="P38" i="65"/>
  <c r="N38" i="65"/>
  <c r="N37" i="65"/>
  <c r="P37" i="65" s="1"/>
  <c r="N36" i="65"/>
  <c r="P36" i="65" s="1"/>
  <c r="N35" i="65"/>
  <c r="P35" i="65" s="1"/>
  <c r="P34" i="65"/>
  <c r="N34" i="65"/>
  <c r="N33" i="65"/>
  <c r="P33" i="65" s="1"/>
  <c r="N32" i="65"/>
  <c r="P32" i="65" s="1"/>
  <c r="N31" i="65"/>
  <c r="P31" i="65" s="1"/>
  <c r="P30" i="65"/>
  <c r="N30" i="65"/>
  <c r="N29" i="65"/>
  <c r="P29" i="65" s="1"/>
  <c r="N28" i="65"/>
  <c r="P28" i="65" s="1"/>
  <c r="N27" i="65"/>
  <c r="P27" i="65" s="1"/>
  <c r="P26" i="65"/>
  <c r="N26" i="65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P9" i="65" s="1"/>
  <c r="P55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P52" i="65"/>
  <c r="S9" i="65"/>
  <c r="S10" i="65" s="1"/>
  <c r="S11" i="65" s="1"/>
  <c r="S12" i="65" s="1"/>
  <c r="S13" i="65" s="1"/>
  <c r="S14" i="65" s="1"/>
  <c r="S15" i="65" s="1"/>
  <c r="S16" i="65" s="1"/>
  <c r="S17" i="65" s="1"/>
  <c r="S18" i="65" s="1"/>
  <c r="S19" i="65" s="1"/>
  <c r="S20" i="65" s="1"/>
  <c r="S21" i="65" s="1"/>
  <c r="S22" i="65" s="1"/>
  <c r="S23" i="65" s="1"/>
  <c r="S24" i="65" s="1"/>
  <c r="S25" i="65" s="1"/>
  <c r="S26" i="65" s="1"/>
  <c r="S27" i="65" s="1"/>
  <c r="S28" i="65" s="1"/>
  <c r="S29" i="65" s="1"/>
  <c r="S30" i="65" s="1"/>
  <c r="S31" i="65" s="1"/>
  <c r="S32" i="65" s="1"/>
  <c r="S33" i="65" s="1"/>
  <c r="S34" i="65" s="1"/>
  <c r="S35" i="65" s="1"/>
  <c r="S36" i="65" s="1"/>
  <c r="S37" i="65" s="1"/>
  <c r="S38" i="65" s="1"/>
  <c r="S39" i="65" s="1"/>
  <c r="S40" i="65" s="1"/>
  <c r="S41" i="65" s="1"/>
  <c r="S42" i="65" s="1"/>
  <c r="S43" i="65" s="1"/>
  <c r="S44" i="65" s="1"/>
  <c r="S45" i="65" s="1"/>
  <c r="S46" i="65" s="1"/>
  <c r="S47" i="65" s="1"/>
  <c r="S48" i="65" s="1"/>
  <c r="S49" i="65" s="1"/>
  <c r="S50" i="65" s="1"/>
  <c r="N52" i="65"/>
  <c r="O60" i="54" l="1"/>
  <c r="Q5" i="65"/>
  <c r="R5" i="65" s="1"/>
  <c r="O55" i="65"/>
  <c r="S19" i="38" l="1"/>
  <c r="C62" i="117" l="1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I15" i="117" s="1"/>
  <c r="I16" i="117" l="1"/>
  <c r="I17" i="117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D62" i="117"/>
  <c r="F62" i="117"/>
  <c r="G5" i="117" l="1"/>
  <c r="H5" i="117" s="1"/>
  <c r="E65" i="117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P77" i="129"/>
  <c r="O82" i="129" l="1"/>
  <c r="Q5" i="129"/>
  <c r="R6" i="129" s="1"/>
  <c r="Y32" i="1" l="1"/>
  <c r="Y33" i="1" s="1"/>
  <c r="W32" i="1"/>
  <c r="P32" i="1"/>
  <c r="P33" i="1" s="1"/>
  <c r="N32" i="1"/>
  <c r="AA5" i="1"/>
  <c r="R5" i="1"/>
  <c r="D77" i="129" l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I10" i="129"/>
  <c r="I11" i="129" s="1"/>
  <c r="B11" i="129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I12" i="129" l="1"/>
  <c r="I13" i="129" s="1"/>
  <c r="I14" i="129" s="1"/>
  <c r="I15" i="129" s="1"/>
  <c r="I16" i="129" s="1"/>
  <c r="I17" i="129" s="1"/>
  <c r="F77" i="129"/>
  <c r="I18" i="129" l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E82" i="129"/>
  <c r="G5" i="129"/>
  <c r="H6" i="129" s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s="1"/>
  <c r="D9" i="40"/>
  <c r="F9" i="40" s="1"/>
  <c r="D8" i="40"/>
  <c r="F8" i="40" s="1"/>
  <c r="G5" i="54" l="1"/>
  <c r="H5" i="54" s="1"/>
  <c r="C62" i="40" l="1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I8" i="40" l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E67" i="40" l="1"/>
  <c r="G5" i="40"/>
  <c r="H5" i="40" s="1"/>
  <c r="C52" i="65" l="1"/>
  <c r="D54" i="65" s="1"/>
  <c r="D51" i="65"/>
  <c r="F51" i="65" s="1"/>
  <c r="D50" i="65"/>
  <c r="F50" i="65" s="1"/>
  <c r="D49" i="65"/>
  <c r="F49" i="65" s="1"/>
  <c r="D48" i="65"/>
  <c r="F48" i="65" s="1"/>
  <c r="F47" i="65"/>
  <c r="D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F39" i="65"/>
  <c r="D39" i="65"/>
  <c r="D38" i="65"/>
  <c r="F38" i="65" s="1"/>
  <c r="D37" i="65"/>
  <c r="F37" i="65" s="1"/>
  <c r="F36" i="65"/>
  <c r="D36" i="65"/>
  <c r="F35" i="65"/>
  <c r="D35" i="65"/>
  <c r="D34" i="65"/>
  <c r="F34" i="65" s="1"/>
  <c r="D33" i="65"/>
  <c r="F33" i="65" s="1"/>
  <c r="F32" i="65"/>
  <c r="D32" i="65"/>
  <c r="F31" i="65"/>
  <c r="D31" i="65"/>
  <c r="D30" i="65"/>
  <c r="F30" i="65" s="1"/>
  <c r="D29" i="65"/>
  <c r="F29" i="65" s="1"/>
  <c r="F28" i="65"/>
  <c r="D28" i="65"/>
  <c r="F27" i="65"/>
  <c r="D27" i="65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D52" i="65" l="1"/>
  <c r="F9" i="65"/>
  <c r="C61" i="139"/>
  <c r="D63" i="139" s="1"/>
  <c r="B11" i="139"/>
  <c r="D11" i="139" s="1"/>
  <c r="F11" i="139" s="1"/>
  <c r="D10" i="139"/>
  <c r="F10" i="139" s="1"/>
  <c r="F52" i="65" l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B12" i="139"/>
  <c r="E55" i="65" l="1"/>
  <c r="G5" i="65"/>
  <c r="H5" i="65" s="1"/>
  <c r="I9" i="139"/>
  <c r="I10" i="139" s="1"/>
  <c r="I11" i="139" s="1"/>
  <c r="D12" i="139"/>
  <c r="B13" i="139"/>
  <c r="S107" i="38"/>
  <c r="T107" i="38" s="1"/>
  <c r="S108" i="38"/>
  <c r="T108" i="38" s="1"/>
  <c r="S109" i="38"/>
  <c r="T109" i="38" s="1"/>
  <c r="D13" i="139" l="1"/>
  <c r="F13" i="139" s="1"/>
  <c r="B14" i="139"/>
  <c r="F12" i="139"/>
  <c r="I12" i="139" s="1"/>
  <c r="I13" i="139" l="1"/>
  <c r="D14" i="139"/>
  <c r="F14" i="139" s="1"/>
  <c r="B15" i="139"/>
  <c r="S17" i="38"/>
  <c r="S13" i="38"/>
  <c r="S14" i="38"/>
  <c r="I14" i="139" l="1"/>
  <c r="D15" i="139"/>
  <c r="B16" i="139"/>
  <c r="D16" i="139" l="1"/>
  <c r="F16" i="139" s="1"/>
  <c r="B17" i="139"/>
  <c r="F15" i="139"/>
  <c r="I15" i="139" s="1"/>
  <c r="I16" i="139" l="1"/>
  <c r="D17" i="139"/>
  <c r="B18" i="139"/>
  <c r="I107" i="38"/>
  <c r="D18" i="139" l="1"/>
  <c r="F18" i="139" s="1"/>
  <c r="B19" i="139"/>
  <c r="F17" i="139"/>
  <c r="I17" i="139" s="1"/>
  <c r="I18" i="139" l="1"/>
  <c r="D19" i="139"/>
  <c r="F19" i="139" s="1"/>
  <c r="B20" i="139"/>
  <c r="I19" i="139" l="1"/>
  <c r="D20" i="139"/>
  <c r="F20" i="139" s="1"/>
  <c r="B21" i="139"/>
  <c r="I20" i="139" l="1"/>
  <c r="D21" i="139"/>
  <c r="F21" i="139" s="1"/>
  <c r="B22" i="139"/>
  <c r="I21" i="139" l="1"/>
  <c r="D22" i="139"/>
  <c r="F22" i="139" s="1"/>
  <c r="B23" i="139"/>
  <c r="I22" i="139" l="1"/>
  <c r="D23" i="139"/>
  <c r="F23" i="139" s="1"/>
  <c r="B24" i="139"/>
  <c r="D43" i="150"/>
  <c r="F43" i="150" s="1"/>
  <c r="D42" i="150"/>
  <c r="F42" i="150" s="1"/>
  <c r="D41" i="150"/>
  <c r="F41" i="150" s="1"/>
  <c r="F40" i="150"/>
  <c r="D40" i="150"/>
  <c r="D39" i="150"/>
  <c r="F39" i="150" s="1"/>
  <c r="D38" i="150"/>
  <c r="F38" i="150" s="1"/>
  <c r="D37" i="150"/>
  <c r="F37" i="150" s="1"/>
  <c r="F36" i="150"/>
  <c r="D36" i="150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23" i="139" l="1"/>
  <c r="D24" i="139"/>
  <c r="F24" i="139" s="1"/>
  <c r="B25" i="139"/>
  <c r="F44" i="150"/>
  <c r="E47" i="150" s="1"/>
  <c r="D44" i="150"/>
  <c r="I8" i="150"/>
  <c r="I9" i="150" s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F29" i="130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D29" i="130"/>
  <c r="I24" i="139" l="1"/>
  <c r="D25" i="139"/>
  <c r="F25" i="139" s="1"/>
  <c r="B26" i="139"/>
  <c r="G5" i="150"/>
  <c r="H5" i="150" s="1"/>
  <c r="G5" i="130"/>
  <c r="H5" i="130" s="1"/>
  <c r="F31" i="130"/>
  <c r="B4" i="1"/>
  <c r="T1" i="1"/>
  <c r="AC1" i="1" s="1"/>
  <c r="AL1" i="1" s="1"/>
  <c r="AH32" i="1"/>
  <c r="AH33" i="1" s="1"/>
  <c r="AF32" i="1"/>
  <c r="AJ5" i="1"/>
  <c r="I25" i="139" l="1"/>
  <c r="D26" i="139"/>
  <c r="F26" i="139" s="1"/>
  <c r="B27" i="139"/>
  <c r="I26" i="139" l="1"/>
  <c r="D27" i="139"/>
  <c r="F27" i="139" s="1"/>
  <c r="I27" i="139" s="1"/>
  <c r="B28" i="139"/>
  <c r="B9" i="125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D28" i="139" l="1"/>
  <c r="F28" i="139" s="1"/>
  <c r="I28" i="139" s="1"/>
  <c r="B29" i="139"/>
  <c r="D29" i="139" l="1"/>
  <c r="F29" i="139" s="1"/>
  <c r="I29" i="139" s="1"/>
  <c r="B30" i="139"/>
  <c r="D30" i="139" l="1"/>
  <c r="F30" i="139" s="1"/>
  <c r="I30" i="139" s="1"/>
  <c r="B31" i="139"/>
  <c r="D31" i="139" l="1"/>
  <c r="F31" i="139" s="1"/>
  <c r="I31" i="139" s="1"/>
  <c r="B32" i="139"/>
  <c r="D32" i="139" l="1"/>
  <c r="F32" i="139" s="1"/>
  <c r="I32" i="139" s="1"/>
  <c r="B33" i="139"/>
  <c r="C93" i="14"/>
  <c r="E94" i="14" s="1"/>
  <c r="F92" i="14"/>
  <c r="D92" i="14"/>
  <c r="D91" i="14"/>
  <c r="F91" i="14" s="1"/>
  <c r="D90" i="14"/>
  <c r="F90" i="14" s="1"/>
  <c r="D89" i="14"/>
  <c r="F89" i="14" s="1"/>
  <c r="F88" i="14"/>
  <c r="D88" i="14"/>
  <c r="D87" i="14"/>
  <c r="F87" i="14" s="1"/>
  <c r="D86" i="14"/>
  <c r="F86" i="14" s="1"/>
  <c r="D85" i="14"/>
  <c r="F85" i="14" s="1"/>
  <c r="F84" i="14"/>
  <c r="D84" i="14"/>
  <c r="D83" i="14"/>
  <c r="F83" i="14" s="1"/>
  <c r="D82" i="14"/>
  <c r="F82" i="14" s="1"/>
  <c r="D81" i="14"/>
  <c r="F81" i="14" s="1"/>
  <c r="F80" i="14"/>
  <c r="D80" i="14"/>
  <c r="D79" i="14"/>
  <c r="F79" i="14" s="1"/>
  <c r="D78" i="14"/>
  <c r="F78" i="14" s="1"/>
  <c r="D77" i="14"/>
  <c r="F77" i="14" s="1"/>
  <c r="F76" i="14"/>
  <c r="D76" i="14"/>
  <c r="D75" i="14"/>
  <c r="F75" i="14" s="1"/>
  <c r="D74" i="14"/>
  <c r="F74" i="14" s="1"/>
  <c r="D73" i="14"/>
  <c r="F73" i="14" s="1"/>
  <c r="F72" i="14"/>
  <c r="D72" i="14"/>
  <c r="D71" i="14"/>
  <c r="F71" i="14" s="1"/>
  <c r="D70" i="14"/>
  <c r="F70" i="14" s="1"/>
  <c r="D69" i="14"/>
  <c r="F69" i="14" s="1"/>
  <c r="F68" i="14"/>
  <c r="D68" i="14"/>
  <c r="D67" i="14"/>
  <c r="F67" i="14" s="1"/>
  <c r="D66" i="14"/>
  <c r="F66" i="14" s="1"/>
  <c r="D65" i="14"/>
  <c r="F65" i="14" s="1"/>
  <c r="F64" i="14"/>
  <c r="D64" i="14"/>
  <c r="D63" i="14"/>
  <c r="F63" i="14" s="1"/>
  <c r="D62" i="14"/>
  <c r="F62" i="14" s="1"/>
  <c r="D61" i="14"/>
  <c r="F61" i="14" s="1"/>
  <c r="F60" i="14"/>
  <c r="D60" i="14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F32" i="14"/>
  <c r="D32" i="14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F8" i="14" s="1"/>
  <c r="I8" i="14" s="1"/>
  <c r="D33" i="139" l="1"/>
  <c r="F33" i="139" s="1"/>
  <c r="I33" i="139" s="1"/>
  <c r="B34" i="139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93" i="14"/>
  <c r="F93" i="14"/>
  <c r="D34" i="139" l="1"/>
  <c r="F34" i="139" s="1"/>
  <c r="I34" i="139" s="1"/>
  <c r="B35" i="139"/>
  <c r="E96" i="14"/>
  <c r="G5" i="14"/>
  <c r="H5" i="14" s="1"/>
  <c r="S102" i="38"/>
  <c r="D35" i="139" l="1"/>
  <c r="F35" i="139" s="1"/>
  <c r="I35" i="139" s="1"/>
  <c r="B36" i="139"/>
  <c r="D36" i="139" l="1"/>
  <c r="F36" i="139" s="1"/>
  <c r="I36" i="139" s="1"/>
  <c r="B37" i="139"/>
  <c r="D37" i="139" l="1"/>
  <c r="F37" i="139" s="1"/>
  <c r="I37" i="139" s="1"/>
  <c r="B38" i="139"/>
  <c r="D38" i="139" l="1"/>
  <c r="F38" i="139" s="1"/>
  <c r="I38" i="139" s="1"/>
  <c r="B39" i="139"/>
  <c r="D39" i="139" l="1"/>
  <c r="F39" i="139" s="1"/>
  <c r="I39" i="139" s="1"/>
  <c r="B40" i="139"/>
  <c r="S103" i="38"/>
  <c r="D40" i="139" l="1"/>
  <c r="F40" i="139" s="1"/>
  <c r="I40" i="139" s="1"/>
  <c r="B41" i="139"/>
  <c r="S117" i="38"/>
  <c r="S118" i="38"/>
  <c r="S119" i="38"/>
  <c r="S120" i="38"/>
  <c r="I118" i="38"/>
  <c r="D41" i="139" l="1"/>
  <c r="F41" i="139" s="1"/>
  <c r="I41" i="139" s="1"/>
  <c r="B42" i="139"/>
  <c r="T119" i="38"/>
  <c r="T120" i="38"/>
  <c r="I117" i="38"/>
  <c r="I119" i="38"/>
  <c r="I120" i="38"/>
  <c r="I121" i="38"/>
  <c r="I122" i="38"/>
  <c r="I123" i="38"/>
  <c r="D42" i="139" l="1"/>
  <c r="F42" i="139" s="1"/>
  <c r="I42" i="139" s="1"/>
  <c r="B43" i="139"/>
  <c r="D43" i="139" l="1"/>
  <c r="F43" i="139" s="1"/>
  <c r="I43" i="139" s="1"/>
  <c r="B44" i="139"/>
  <c r="D44" i="139" l="1"/>
  <c r="F44" i="139" s="1"/>
  <c r="I44" i="139" s="1"/>
  <c r="B45" i="139"/>
  <c r="D45" i="139" l="1"/>
  <c r="F45" i="139" s="1"/>
  <c r="I45" i="139" s="1"/>
  <c r="B46" i="139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1" i="57"/>
  <c r="F10" i="57"/>
  <c r="F9" i="57"/>
  <c r="I9" i="57" s="1"/>
  <c r="B9" i="57"/>
  <c r="B10" i="57" s="1"/>
  <c r="B11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I10" i="57" l="1"/>
  <c r="D46" i="139"/>
  <c r="F46" i="139" s="1"/>
  <c r="I46" i="139" s="1"/>
  <c r="B47" i="139"/>
  <c r="I16" i="57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47" i="139" l="1"/>
  <c r="F47" i="139" s="1"/>
  <c r="I47" i="139" s="1"/>
  <c r="B48" i="139"/>
  <c r="H6" i="57"/>
  <c r="E83" i="57"/>
  <c r="D48" i="139" l="1"/>
  <c r="F48" i="139" s="1"/>
  <c r="I48" i="139" s="1"/>
  <c r="B49" i="139"/>
  <c r="D23" i="1"/>
  <c r="D49" i="139" l="1"/>
  <c r="F49" i="139" s="1"/>
  <c r="I49" i="139" s="1"/>
  <c r="B50" i="139"/>
  <c r="D50" i="139" l="1"/>
  <c r="F50" i="139" s="1"/>
  <c r="I50" i="139" s="1"/>
  <c r="B51" i="139"/>
  <c r="F10" i="136"/>
  <c r="F11" i="136"/>
  <c r="F12" i="136"/>
  <c r="F13" i="136"/>
  <c r="F14" i="136"/>
  <c r="F15" i="136"/>
  <c r="F16" i="136"/>
  <c r="F17" i="136"/>
  <c r="F18" i="136"/>
  <c r="F19" i="136"/>
  <c r="F20" i="136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D54" i="139" l="1"/>
  <c r="F54" i="139" s="1"/>
  <c r="I54" i="139" s="1"/>
  <c r="B55" i="139"/>
  <c r="D55" i="139" l="1"/>
  <c r="F55" i="139" s="1"/>
  <c r="I55" i="139" s="1"/>
  <c r="B56" i="139"/>
  <c r="D56" i="139" l="1"/>
  <c r="F56" i="139" s="1"/>
  <c r="I56" i="139" s="1"/>
  <c r="B57" i="139"/>
  <c r="I109" i="38"/>
  <c r="D57" i="139" l="1"/>
  <c r="F57" i="139" s="1"/>
  <c r="I57" i="139" s="1"/>
  <c r="B58" i="139"/>
  <c r="D58" i="139" l="1"/>
  <c r="F58" i="139" s="1"/>
  <c r="I58" i="139" s="1"/>
  <c r="B59" i="139"/>
  <c r="D59" i="139" l="1"/>
  <c r="F59" i="139" s="1"/>
  <c r="I59" i="139" s="1"/>
  <c r="B60" i="139"/>
  <c r="D60" i="139" s="1"/>
  <c r="F60" i="139" l="1"/>
  <c r="F61" i="139" s="1"/>
  <c r="D61" i="139"/>
  <c r="G5" i="139" l="1"/>
  <c r="H5" i="139" s="1"/>
  <c r="E64" i="139"/>
  <c r="S104" i="38"/>
  <c r="T104" i="38" s="1"/>
  <c r="I104" i="38"/>
  <c r="T102" i="38"/>
  <c r="I102" i="38"/>
  <c r="I103" i="38"/>
  <c r="I105" i="38"/>
  <c r="S122" i="38" l="1"/>
  <c r="T122" i="38" s="1"/>
  <c r="S123" i="38"/>
  <c r="T123" i="38" s="1"/>
  <c r="S124" i="38"/>
  <c r="T124" i="38" s="1"/>
  <c r="S125" i="38"/>
  <c r="T125" i="38" s="1"/>
  <c r="S126" i="38"/>
  <c r="T126" i="38" s="1"/>
  <c r="C26" i="8" l="1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26" i="8" l="1"/>
  <c r="F8" i="8"/>
  <c r="F26" i="8" s="1"/>
  <c r="G5" i="8" s="1"/>
  <c r="H5" i="8" l="1"/>
  <c r="F28" i="8"/>
  <c r="S127" i="38" l="1"/>
  <c r="S128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C40" i="136" l="1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9" i="136"/>
  <c r="F40" i="136" l="1"/>
  <c r="F42" i="136" s="1"/>
  <c r="D40" i="136"/>
  <c r="G5" i="136" s="1"/>
  <c r="H5" i="136" l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l="1"/>
  <c r="I13" i="146" s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F30" i="146"/>
  <c r="F40" i="146" s="1"/>
  <c r="F42" i="146" s="1"/>
  <c r="I30" i="146" l="1"/>
  <c r="I31" i="146" s="1"/>
  <c r="I32" i="146" s="1"/>
  <c r="I33" i="146" s="1"/>
  <c r="I34" i="146" s="1"/>
  <c r="I35" i="146" s="1"/>
  <c r="I36" i="146" s="1"/>
  <c r="I37" i="146" s="1"/>
  <c r="I38" i="146" s="1"/>
  <c r="H5" i="146"/>
  <c r="CC5" i="1" l="1"/>
  <c r="D8" i="141" l="1"/>
  <c r="F8" i="141" s="1"/>
  <c r="I8" i="141" s="1"/>
  <c r="T127" i="38" l="1"/>
  <c r="I127" i="38"/>
  <c r="I126" i="38" l="1"/>
  <c r="S121" i="38" l="1"/>
  <c r="T121" i="38" s="1"/>
  <c r="T128" i="38"/>
  <c r="S129" i="38"/>
  <c r="T129" i="38" s="1"/>
  <c r="S130" i="38"/>
  <c r="T130" i="38" s="1"/>
  <c r="C29" i="143" l="1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F17" i="143"/>
  <c r="F16" i="143"/>
  <c r="F15" i="143"/>
  <c r="F14" i="143"/>
  <c r="F13" i="143"/>
  <c r="F12" i="143"/>
  <c r="F11" i="143"/>
  <c r="F10" i="143"/>
  <c r="F9" i="143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G6" i="125" l="1"/>
  <c r="H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F31" i="143" l="1"/>
  <c r="G5" i="143"/>
  <c r="H5" i="143" s="1"/>
  <c r="G5" i="135"/>
  <c r="H5" i="135" s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l="1"/>
  <c r="G5" i="142"/>
  <c r="H6" i="142" s="1"/>
  <c r="I10" i="14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HF32" i="1" l="1"/>
  <c r="HD32" i="1"/>
  <c r="HH5" i="1"/>
  <c r="GW32" i="1"/>
  <c r="GU32" i="1"/>
  <c r="GY5" i="1"/>
  <c r="GW33" i="1" l="1"/>
  <c r="HF33" i="1"/>
  <c r="IG32" i="1"/>
  <c r="IE32" i="1"/>
  <c r="HX32" i="1"/>
  <c r="HV32" i="1"/>
  <c r="II5" i="1"/>
  <c r="HZ5" i="1"/>
  <c r="HX33" i="1" l="1"/>
  <c r="IG33" i="1"/>
  <c r="HQ5" i="1" l="1"/>
  <c r="HM32" i="1"/>
  <c r="HO32" i="1"/>
  <c r="HO33" i="1" l="1"/>
  <c r="BY32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T32" i="1"/>
  <c r="DR32" i="1"/>
  <c r="DK32" i="1"/>
  <c r="DM5" i="1" s="1"/>
  <c r="DI32" i="1"/>
  <c r="DB32" i="1"/>
  <c r="CZ32" i="1"/>
  <c r="GP5" i="1"/>
  <c r="GG5" i="1"/>
  <c r="FX5" i="1"/>
  <c r="FO5" i="1"/>
  <c r="FF5" i="1"/>
  <c r="EW5" i="1"/>
  <c r="EN5" i="1"/>
  <c r="EE5" i="1"/>
  <c r="DV5" i="1"/>
  <c r="DD5" i="1"/>
  <c r="GE33" i="1" l="1"/>
  <c r="EU33" i="1"/>
  <c r="DK33" i="1"/>
  <c r="GN33" i="1"/>
  <c r="FV33" i="1"/>
  <c r="FD33" i="1"/>
  <c r="EL33" i="1"/>
  <c r="EC33" i="1"/>
  <c r="DT33" i="1"/>
  <c r="DB33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2" i="1" l="1"/>
  <c r="IY33" i="1" s="1"/>
  <c r="IW32" i="1"/>
  <c r="JA5" i="1"/>
  <c r="JH32" i="1"/>
  <c r="JF32" i="1"/>
  <c r="JJ5" i="1"/>
  <c r="JQ32" i="1"/>
  <c r="JQ33" i="1" s="1"/>
  <c r="JO32" i="1"/>
  <c r="JS5" i="1"/>
  <c r="JH33" i="1" l="1"/>
  <c r="IP32" i="1" l="1"/>
  <c r="IP33" i="1" s="1"/>
  <c r="IN32" i="1"/>
  <c r="IR5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2" i="1" l="1"/>
  <c r="AQ33" i="1" s="1"/>
  <c r="AO32" i="1"/>
  <c r="AS5" i="1"/>
  <c r="I124" i="38" l="1"/>
  <c r="S101" i="38" l="1"/>
  <c r="S106" i="38"/>
  <c r="T106" i="38" s="1"/>
  <c r="S110" i="38"/>
  <c r="T110" i="38" s="1"/>
  <c r="S111" i="38"/>
  <c r="T111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2" i="1"/>
  <c r="I91" i="1"/>
  <c r="I90" i="1"/>
  <c r="I89" i="1"/>
  <c r="H88" i="1"/>
  <c r="H93" i="38" s="1"/>
  <c r="G88" i="1"/>
  <c r="F88" i="1"/>
  <c r="F93" i="38" s="1"/>
  <c r="E88" i="1"/>
  <c r="E93" i="38" s="1"/>
  <c r="D88" i="1"/>
  <c r="D93" i="38" s="1"/>
  <c r="C88" i="1"/>
  <c r="B88" i="1"/>
  <c r="B93" i="38" s="1"/>
  <c r="H87" i="1"/>
  <c r="H92" i="38" s="1"/>
  <c r="G87" i="1"/>
  <c r="G92" i="38" s="1"/>
  <c r="F87" i="1"/>
  <c r="E87" i="1"/>
  <c r="E92" i="38" s="1"/>
  <c r="D87" i="1"/>
  <c r="D92" i="38" s="1"/>
  <c r="C87" i="1"/>
  <c r="C92" i="38" s="1"/>
  <c r="B87" i="1"/>
  <c r="H86" i="1"/>
  <c r="H91" i="38" s="1"/>
  <c r="G86" i="1"/>
  <c r="G91" i="38" s="1"/>
  <c r="F86" i="1"/>
  <c r="E86" i="1"/>
  <c r="D86" i="1"/>
  <c r="D91" i="38" s="1"/>
  <c r="C86" i="1"/>
  <c r="C91" i="38" s="1"/>
  <c r="B86" i="1"/>
  <c r="B91" i="38" s="1"/>
  <c r="H85" i="1"/>
  <c r="G85" i="1"/>
  <c r="G90" i="38" s="1"/>
  <c r="F85" i="1"/>
  <c r="I85" i="1" s="1"/>
  <c r="E85" i="1"/>
  <c r="E90" i="38" s="1"/>
  <c r="D85" i="1"/>
  <c r="C85" i="1"/>
  <c r="C90" i="38" s="1"/>
  <c r="B85" i="1"/>
  <c r="B90" i="38" s="1"/>
  <c r="H84" i="1"/>
  <c r="H89" i="38" s="1"/>
  <c r="G84" i="1"/>
  <c r="F84" i="1"/>
  <c r="F89" i="38" s="1"/>
  <c r="E84" i="1"/>
  <c r="E89" i="38" s="1"/>
  <c r="D84" i="1"/>
  <c r="D89" i="38" s="1"/>
  <c r="C84" i="1"/>
  <c r="B84" i="1"/>
  <c r="B89" i="38" s="1"/>
  <c r="H83" i="1"/>
  <c r="H88" i="38" s="1"/>
  <c r="G83" i="1"/>
  <c r="F83" i="1"/>
  <c r="E83" i="1"/>
  <c r="E88" i="38" s="1"/>
  <c r="D83" i="1"/>
  <c r="D88" i="38" s="1"/>
  <c r="C83" i="1"/>
  <c r="C88" i="38" s="1"/>
  <c r="B83" i="1"/>
  <c r="H82" i="1"/>
  <c r="H87" i="38" s="1"/>
  <c r="G82" i="1"/>
  <c r="G87" i="38" s="1"/>
  <c r="F82" i="1"/>
  <c r="E82" i="1"/>
  <c r="D82" i="1"/>
  <c r="D87" i="38" s="1"/>
  <c r="C82" i="1"/>
  <c r="C87" i="38" s="1"/>
  <c r="B82" i="1"/>
  <c r="B87" i="38" s="1"/>
  <c r="H81" i="1"/>
  <c r="G81" i="1"/>
  <c r="G86" i="38" s="1"/>
  <c r="F81" i="1"/>
  <c r="I81" i="1" s="1"/>
  <c r="E81" i="1"/>
  <c r="E86" i="38" s="1"/>
  <c r="D81" i="1"/>
  <c r="C81" i="1"/>
  <c r="C86" i="38" s="1"/>
  <c r="B81" i="1"/>
  <c r="B86" i="38" s="1"/>
  <c r="H80" i="1"/>
  <c r="H85" i="38" s="1"/>
  <c r="G80" i="1"/>
  <c r="F80" i="1"/>
  <c r="F85" i="38" s="1"/>
  <c r="E80" i="1"/>
  <c r="E85" i="38" s="1"/>
  <c r="D80" i="1"/>
  <c r="D85" i="38" s="1"/>
  <c r="C80" i="1"/>
  <c r="B80" i="1"/>
  <c r="B85" i="38" s="1"/>
  <c r="H79" i="1"/>
  <c r="H84" i="38" s="1"/>
  <c r="G79" i="1"/>
  <c r="G84" i="38" s="1"/>
  <c r="F79" i="1"/>
  <c r="E79" i="1"/>
  <c r="E84" i="38" s="1"/>
  <c r="D79" i="1"/>
  <c r="D84" i="38" s="1"/>
  <c r="C79" i="1"/>
  <c r="C84" i="38" s="1"/>
  <c r="B79" i="1"/>
  <c r="H78" i="1"/>
  <c r="H83" i="38" s="1"/>
  <c r="G78" i="1"/>
  <c r="G83" i="38" s="1"/>
  <c r="F78" i="1"/>
  <c r="E78" i="1"/>
  <c r="D78" i="1"/>
  <c r="D83" i="38" s="1"/>
  <c r="C78" i="1"/>
  <c r="C83" i="38" s="1"/>
  <c r="B78" i="1"/>
  <c r="B83" i="38" s="1"/>
  <c r="H77" i="1"/>
  <c r="G77" i="1"/>
  <c r="G82" i="38" s="1"/>
  <c r="F77" i="1"/>
  <c r="I77" i="1" s="1"/>
  <c r="E77" i="1"/>
  <c r="E82" i="38" s="1"/>
  <c r="D77" i="1"/>
  <c r="C77" i="1"/>
  <c r="B77" i="1"/>
  <c r="B82" i="38" s="1"/>
  <c r="H76" i="1"/>
  <c r="H81" i="38" s="1"/>
  <c r="G76" i="1"/>
  <c r="F76" i="1"/>
  <c r="F81" i="38" s="1"/>
  <c r="E76" i="1"/>
  <c r="E81" i="38" s="1"/>
  <c r="D76" i="1"/>
  <c r="D81" i="38" s="1"/>
  <c r="C76" i="1"/>
  <c r="B76" i="1"/>
  <c r="B81" i="38" s="1"/>
  <c r="H75" i="1"/>
  <c r="H80" i="38" s="1"/>
  <c r="G75" i="1"/>
  <c r="G80" i="38" s="1"/>
  <c r="F75" i="1"/>
  <c r="E75" i="1"/>
  <c r="E80" i="38" s="1"/>
  <c r="D75" i="1"/>
  <c r="D80" i="38" s="1"/>
  <c r="C75" i="1"/>
  <c r="C80" i="38" s="1"/>
  <c r="B75" i="1"/>
  <c r="H74" i="1"/>
  <c r="H79" i="38" s="1"/>
  <c r="G74" i="1"/>
  <c r="G79" i="38" s="1"/>
  <c r="F74" i="1"/>
  <c r="E74" i="1"/>
  <c r="D74" i="1"/>
  <c r="D79" i="38" s="1"/>
  <c r="C74" i="1"/>
  <c r="C79" i="38" s="1"/>
  <c r="B74" i="1"/>
  <c r="B79" i="38" s="1"/>
  <c r="H73" i="1"/>
  <c r="G73" i="1"/>
  <c r="G78" i="38" s="1"/>
  <c r="F73" i="1"/>
  <c r="I73" i="1" s="1"/>
  <c r="E73" i="1"/>
  <c r="E78" i="38" s="1"/>
  <c r="D73" i="1"/>
  <c r="C73" i="1"/>
  <c r="C78" i="38" s="1"/>
  <c r="B73" i="1"/>
  <c r="B78" i="38" s="1"/>
  <c r="H72" i="1"/>
  <c r="H77" i="38" s="1"/>
  <c r="G72" i="1"/>
  <c r="F72" i="1"/>
  <c r="F77" i="38" s="1"/>
  <c r="E72" i="1"/>
  <c r="E77" i="38" s="1"/>
  <c r="D72" i="1"/>
  <c r="D77" i="38" s="1"/>
  <c r="C72" i="1"/>
  <c r="B72" i="1"/>
  <c r="B77" i="38" s="1"/>
  <c r="H71" i="1"/>
  <c r="H76" i="38" s="1"/>
  <c r="G71" i="1"/>
  <c r="G76" i="38" s="1"/>
  <c r="F71" i="1"/>
  <c r="E71" i="1"/>
  <c r="E76" i="38" s="1"/>
  <c r="D71" i="1"/>
  <c r="D76" i="38" s="1"/>
  <c r="C71" i="1"/>
  <c r="B71" i="1"/>
  <c r="H70" i="1"/>
  <c r="H75" i="38" s="1"/>
  <c r="G70" i="1"/>
  <c r="G75" i="38" s="1"/>
  <c r="F70" i="1"/>
  <c r="F75" i="38" s="1"/>
  <c r="E70" i="1"/>
  <c r="D70" i="1"/>
  <c r="D75" i="38" s="1"/>
  <c r="C70" i="1"/>
  <c r="C75" i="38" s="1"/>
  <c r="B70" i="1"/>
  <c r="B75" i="38" s="1"/>
  <c r="H69" i="1"/>
  <c r="G69" i="1"/>
  <c r="G74" i="38" s="1"/>
  <c r="F69" i="1"/>
  <c r="I69" i="1" s="1"/>
  <c r="E69" i="1"/>
  <c r="E74" i="38" s="1"/>
  <c r="D69" i="1"/>
  <c r="C69" i="1"/>
  <c r="C74" i="38" s="1"/>
  <c r="B69" i="1"/>
  <c r="B74" i="38" s="1"/>
  <c r="H68" i="1"/>
  <c r="H73" i="38" s="1"/>
  <c r="G68" i="1"/>
  <c r="F68" i="1"/>
  <c r="F73" i="38" s="1"/>
  <c r="E68" i="1"/>
  <c r="E73" i="38" s="1"/>
  <c r="D68" i="1"/>
  <c r="D73" i="38" s="1"/>
  <c r="C68" i="1"/>
  <c r="B68" i="1"/>
  <c r="B73" i="38" s="1"/>
  <c r="H67" i="1"/>
  <c r="H72" i="38" s="1"/>
  <c r="G67" i="1"/>
  <c r="G72" i="38" s="1"/>
  <c r="F67" i="1"/>
  <c r="E67" i="1"/>
  <c r="E72" i="38" s="1"/>
  <c r="D67" i="1"/>
  <c r="D72" i="38" s="1"/>
  <c r="C67" i="1"/>
  <c r="C72" i="38" s="1"/>
  <c r="B67" i="1"/>
  <c r="H66" i="1"/>
  <c r="H71" i="38" s="1"/>
  <c r="G66" i="1"/>
  <c r="G71" i="38" s="1"/>
  <c r="F66" i="1"/>
  <c r="F71" i="38" s="1"/>
  <c r="E66" i="1"/>
  <c r="D66" i="1"/>
  <c r="D71" i="38" s="1"/>
  <c r="C66" i="1"/>
  <c r="C71" i="38" s="1"/>
  <c r="B66" i="1"/>
  <c r="B71" i="38" s="1"/>
  <c r="H65" i="1"/>
  <c r="G65" i="1"/>
  <c r="G70" i="38" s="1"/>
  <c r="F65" i="1"/>
  <c r="I65" i="1" s="1"/>
  <c r="E65" i="1"/>
  <c r="E70" i="38" s="1"/>
  <c r="D65" i="1"/>
  <c r="C65" i="1"/>
  <c r="C70" i="38" s="1"/>
  <c r="B65" i="1"/>
  <c r="B70" i="38" s="1"/>
  <c r="H64" i="1"/>
  <c r="H69" i="38" s="1"/>
  <c r="G64" i="1"/>
  <c r="F64" i="1"/>
  <c r="F69" i="38" s="1"/>
  <c r="E64" i="1"/>
  <c r="E69" i="38" s="1"/>
  <c r="D64" i="1"/>
  <c r="D69" i="38" s="1"/>
  <c r="C64" i="1"/>
  <c r="B64" i="1"/>
  <c r="B69" i="38" s="1"/>
  <c r="H63" i="1"/>
  <c r="H68" i="38" s="1"/>
  <c r="G63" i="1"/>
  <c r="G68" i="38" s="1"/>
  <c r="F63" i="1"/>
  <c r="E63" i="1"/>
  <c r="E68" i="38" s="1"/>
  <c r="D63" i="1"/>
  <c r="D68" i="38" s="1"/>
  <c r="C63" i="1"/>
  <c r="C68" i="38" s="1"/>
  <c r="B63" i="1"/>
  <c r="H62" i="1"/>
  <c r="G62" i="1"/>
  <c r="F62" i="1"/>
  <c r="E62" i="1"/>
  <c r="D62" i="1"/>
  <c r="C62" i="1"/>
  <c r="B62" i="1"/>
  <c r="H61" i="1"/>
  <c r="H61" i="38" s="1"/>
  <c r="G61" i="1"/>
  <c r="F61" i="1"/>
  <c r="E61" i="1"/>
  <c r="D61" i="1"/>
  <c r="D61" i="38" s="1"/>
  <c r="C61" i="1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E43" i="1"/>
  <c r="E43" i="38" s="1"/>
  <c r="D43" i="1"/>
  <c r="D43" i="38" s="1"/>
  <c r="C43" i="1"/>
  <c r="B43" i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CS32" i="1"/>
  <c r="CQ32" i="1"/>
  <c r="CJ32" i="1"/>
  <c r="CJ33" i="1" s="1"/>
  <c r="CH32" i="1"/>
  <c r="CA32" i="1"/>
  <c r="BR32" i="1"/>
  <c r="BP32" i="1"/>
  <c r="BI32" i="1"/>
  <c r="BG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5" i="38"/>
  <c r="M145" i="38"/>
  <c r="K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I130" i="38"/>
  <c r="I129" i="38"/>
  <c r="I128" i="38"/>
  <c r="I125" i="38"/>
  <c r="I116" i="38"/>
  <c r="I111" i="38"/>
  <c r="I110" i="38"/>
  <c r="I108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S77" i="38"/>
  <c r="G77" i="38"/>
  <c r="C77" i="38"/>
  <c r="S76" i="38"/>
  <c r="F76" i="38"/>
  <c r="C76" i="38"/>
  <c r="B76" i="38"/>
  <c r="S75" i="38"/>
  <c r="E75" i="38"/>
  <c r="S74" i="38"/>
  <c r="H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S66" i="38"/>
  <c r="S65" i="38"/>
  <c r="S64" i="38"/>
  <c r="S63" i="38"/>
  <c r="S62" i="38"/>
  <c r="S61" i="38"/>
  <c r="T61" i="38" s="1"/>
  <c r="S60" i="38"/>
  <c r="T60" i="38" s="1"/>
  <c r="S55" i="38"/>
  <c r="S54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T41" i="38" s="1"/>
  <c r="D41" i="38"/>
  <c r="S40" i="38"/>
  <c r="C40" i="38"/>
  <c r="S39" i="38"/>
  <c r="T39" i="38" s="1"/>
  <c r="S38" i="38"/>
  <c r="T38" i="38" s="1"/>
  <c r="S36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E61" i="38" l="1"/>
  <c r="B62" i="38"/>
  <c r="F62" i="38"/>
  <c r="E62" i="38"/>
  <c r="I61" i="1"/>
  <c r="F61" i="38"/>
  <c r="C62" i="38"/>
  <c r="C63" i="38"/>
  <c r="G62" i="38"/>
  <c r="C61" i="38"/>
  <c r="G61" i="38"/>
  <c r="D63" i="38"/>
  <c r="D62" i="38"/>
  <c r="H62" i="38"/>
  <c r="H60" i="38"/>
  <c r="F60" i="38"/>
  <c r="I60" i="38" s="1"/>
  <c r="E60" i="38"/>
  <c r="D60" i="38"/>
  <c r="B60" i="38"/>
  <c r="H59" i="38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T37" i="38"/>
  <c r="T32" i="38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48" i="38"/>
  <c r="T54" i="38"/>
  <c r="F78" i="38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69" i="38"/>
  <c r="T70" i="38"/>
  <c r="AZ33" i="1"/>
  <c r="I70" i="1"/>
  <c r="I74" i="1"/>
  <c r="I78" i="1"/>
  <c r="I82" i="1"/>
  <c r="I86" i="1"/>
  <c r="I31" i="1"/>
  <c r="T3" i="38"/>
  <c r="F70" i="38"/>
  <c r="I70" i="38" s="1"/>
  <c r="F83" i="38"/>
  <c r="I83" i="38" s="1"/>
  <c r="F86" i="38"/>
  <c r="I86" i="38" s="1"/>
  <c r="F87" i="38"/>
  <c r="I87" i="38" s="1"/>
  <c r="I66" i="38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F34" i="94"/>
  <c r="G6" i="94" s="1"/>
  <c r="H6" i="94" s="1"/>
  <c r="AB16" i="38"/>
  <c r="AC16" i="38" s="1"/>
  <c r="AB20" i="38"/>
  <c r="AC20" i="38" s="1"/>
  <c r="I58" i="1"/>
  <c r="I62" i="1"/>
  <c r="I66" i="1"/>
  <c r="I33" i="1"/>
  <c r="T68" i="38"/>
  <c r="T84" i="38"/>
  <c r="T66" i="38"/>
  <c r="T67" i="38"/>
  <c r="T73" i="38"/>
  <c r="I63" i="38"/>
  <c r="I62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CS33" i="1"/>
  <c r="CA33" i="1"/>
  <c r="BR33" i="1"/>
  <c r="BI33" i="1"/>
  <c r="I47" i="1"/>
  <c r="I47" i="38" s="1"/>
  <c r="F47" i="38"/>
  <c r="ZF33" i="1"/>
  <c r="I58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45" i="38"/>
  <c r="G145" i="38" l="1"/>
  <c r="I59" i="38"/>
  <c r="I145" i="38"/>
  <c r="H145" i="38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<sst xmlns="http://schemas.openxmlformats.org/spreadsheetml/2006/main" count="4140" uniqueCount="688">
  <si>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</si>
  <si>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</si>
  <si>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</si>
  <si>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</si>
  <si>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</si>
  <si>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</si>
  <si>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</si>
  <si>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</si>
  <si>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</si>
  <si>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</si>
  <si>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</si>
  <si>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</si>
  <si>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</si>
  <si>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</si>
  <si>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</si>
  <si>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</si>
  <si>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</si>
  <si>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</si>
  <si>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</si>
  <si>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</si>
  <si>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</si>
  <si>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</si>
  <si>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</si>
  <si>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</si>
  <si>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</si>
  <si>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</si>
  <si>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</si>
  <si>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</si>
  <si>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</si>
  <si>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</si>
  <si>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</si>
  <si>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</si>
  <si>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</si>
  <si>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</si>
  <si>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</si>
  <si>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</si>
  <si>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</si>
  <si>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</si>
  <si>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</si>
  <si>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</si>
  <si>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</si>
  <si>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</si>
  <si>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</si>
  <si>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</si>
  <si>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</si>
  <si>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</si>
  <si>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</si>
  <si>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</si>
  <si>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</si>
  <si>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</si>
  <si>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</si>
  <si>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</si>
  <si>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</si>
  <si>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</si>
  <si>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</si>
  <si>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</si>
  <si>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</si>
  <si>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</si>
  <si>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</si>
  <si>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</si>
  <si>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</si>
  <si>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</si>
  <si>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</si>
  <si>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</si>
  <si>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</si>
  <si>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</si>
  <si>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</si>
  <si>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</si>
  <si>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</si>
  <si>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</si>
  <si>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</si>
  <si>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</si>
  <si>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</si>
  <si>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</si>
  <si>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</si>
  <si>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</si>
  <si>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</si>
  <si>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</si>
  <si>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</si>
  <si>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</si>
  <si>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</si>
  <si>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</si>
  <si>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</si>
  <si>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</si>
  <si>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</si>
  <si>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</si>
  <si>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</si>
  <si>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SALIDAS KG</t>
  </si>
  <si>
    <t>&lt;</t>
  </si>
  <si>
    <t>}</t>
  </si>
  <si>
    <t xml:space="preserve">SESOS DE COPA </t>
  </si>
  <si>
    <t>MARIMEX BCS DE RL</t>
  </si>
  <si>
    <t xml:space="preserve">ABASTECEDORA DE CARNES </t>
  </si>
  <si>
    <t>FRESCAS ROEL</t>
  </si>
  <si>
    <t xml:space="preserve">MARIMEX BC DE RL </t>
  </si>
  <si>
    <t xml:space="preserve">                                                                                                                             </t>
  </si>
  <si>
    <t>SESOS MARQUETA</t>
  </si>
  <si>
    <t>477 R</t>
  </si>
  <si>
    <t>ABASTECEDORA DE CARNES FRESCAS ROEL</t>
  </si>
  <si>
    <t>491 R</t>
  </si>
  <si>
    <t>SEABOARD FOODS</t>
  </si>
  <si>
    <t xml:space="preserve">SEABOARD FOODS </t>
  </si>
  <si>
    <t>1140 KG</t>
  </si>
  <si>
    <t>573 R</t>
  </si>
  <si>
    <t>588 R</t>
  </si>
  <si>
    <t>591 R</t>
  </si>
  <si>
    <t>LENGUA DE CERDO</t>
  </si>
  <si>
    <t>596 R</t>
  </si>
  <si>
    <t>610 R</t>
  </si>
  <si>
    <t>625 R</t>
  </si>
  <si>
    <t>633 R</t>
  </si>
  <si>
    <t>638 R</t>
  </si>
  <si>
    <t xml:space="preserve">CONTRA </t>
  </si>
  <si>
    <t>LOMO DE CAÑA</t>
  </si>
  <si>
    <t>663 R</t>
  </si>
  <si>
    <t>684 R</t>
  </si>
  <si>
    <t>685 R</t>
  </si>
  <si>
    <t>696 R</t>
  </si>
  <si>
    <t>697 R</t>
  </si>
  <si>
    <t>720 R</t>
  </si>
  <si>
    <t>734 R</t>
  </si>
  <si>
    <t>740 R</t>
  </si>
  <si>
    <t>757 R</t>
  </si>
  <si>
    <t>759 R</t>
  </si>
  <si>
    <t>763 R</t>
  </si>
  <si>
    <t>764 R</t>
  </si>
  <si>
    <t>781 R</t>
  </si>
  <si>
    <t>784 R</t>
  </si>
  <si>
    <t>EXCELL</t>
  </si>
  <si>
    <t>798 R</t>
  </si>
  <si>
    <t>819 R</t>
  </si>
  <si>
    <t>822 R</t>
  </si>
  <si>
    <t>829 R</t>
  </si>
  <si>
    <t>832 R</t>
  </si>
  <si>
    <t>838 R</t>
  </si>
  <si>
    <t>842 R</t>
  </si>
  <si>
    <t>848 R</t>
  </si>
  <si>
    <t>851 R</t>
  </si>
  <si>
    <t>863 R</t>
  </si>
  <si>
    <t>856 R</t>
  </si>
  <si>
    <t>CARNERO</t>
  </si>
  <si>
    <t>GUILLERMO EDUARDO MUÑOZ MONTERO</t>
  </si>
  <si>
    <t>879 R</t>
  </si>
  <si>
    <t>875 R</t>
  </si>
  <si>
    <t>895 R</t>
  </si>
  <si>
    <t>896 R</t>
  </si>
  <si>
    <t>911 R</t>
  </si>
  <si>
    <t>918 R</t>
  </si>
  <si>
    <t>928 R</t>
  </si>
  <si>
    <t>920 R</t>
  </si>
  <si>
    <t>921 R</t>
  </si>
  <si>
    <t>924 R</t>
  </si>
  <si>
    <t>940 R</t>
  </si>
  <si>
    <t>812 R</t>
  </si>
  <si>
    <t>944 R</t>
  </si>
  <si>
    <t>945 R</t>
  </si>
  <si>
    <t>CONTRA SWIFT</t>
  </si>
  <si>
    <t>CORBATA SMITHFIELD</t>
  </si>
  <si>
    <t>PAPA ONDULADA</t>
  </si>
  <si>
    <t xml:space="preserve">RYC ALIMENTOS SA DE CV </t>
  </si>
  <si>
    <t>RYC ALIMENTOS SA C V</t>
  </si>
  <si>
    <t>953 R</t>
  </si>
  <si>
    <t>959 R</t>
  </si>
  <si>
    <t>960 R</t>
  </si>
  <si>
    <t>961 R</t>
  </si>
  <si>
    <t>962 R</t>
  </si>
  <si>
    <t>963 R</t>
  </si>
  <si>
    <t>974 R</t>
  </si>
  <si>
    <t>980 R</t>
  </si>
  <si>
    <t>991 R</t>
  </si>
  <si>
    <t>989 R</t>
  </si>
  <si>
    <t>982 R</t>
  </si>
  <si>
    <t>992 R</t>
  </si>
  <si>
    <t>996 R</t>
  </si>
  <si>
    <t>997 R</t>
  </si>
  <si>
    <t>0006 S</t>
  </si>
  <si>
    <t>0008 S</t>
  </si>
  <si>
    <t>0018 S</t>
  </si>
  <si>
    <t>0025 S</t>
  </si>
  <si>
    <t>0027 S</t>
  </si>
  <si>
    <t>0028 S</t>
  </si>
  <si>
    <t>0029 S</t>
  </si>
  <si>
    <t>0030 S</t>
  </si>
  <si>
    <t>0031 S</t>
  </si>
  <si>
    <t>0032 S</t>
  </si>
  <si>
    <t>0033 S</t>
  </si>
  <si>
    <t>0036 S</t>
  </si>
  <si>
    <t>0039 S</t>
  </si>
  <si>
    <t>0040 S</t>
  </si>
  <si>
    <t>0048 S</t>
  </si>
  <si>
    <t>0049 S</t>
  </si>
  <si>
    <t>0050 S</t>
  </si>
  <si>
    <t>0051 S</t>
  </si>
  <si>
    <t>0053 S</t>
  </si>
  <si>
    <t>0054 S</t>
  </si>
  <si>
    <t>0060 S</t>
  </si>
  <si>
    <t>0066 S</t>
  </si>
  <si>
    <t>0067 S</t>
  </si>
  <si>
    <t>0072 S</t>
  </si>
  <si>
    <t>0073 S</t>
  </si>
  <si>
    <t>0077 S</t>
  </si>
  <si>
    <t>0082 S</t>
  </si>
  <si>
    <t>0083 S</t>
  </si>
  <si>
    <t>0086 S</t>
  </si>
  <si>
    <t>0090 S</t>
  </si>
  <si>
    <t>0094 S</t>
  </si>
  <si>
    <t>0095 S</t>
  </si>
  <si>
    <t>0098 S</t>
  </si>
  <si>
    <t>0095 D</t>
  </si>
  <si>
    <t>ENTRADAS DEL MES DE DICIEMBRE 2018</t>
  </si>
  <si>
    <t>TOTAL DE ENTRADAS DEL MES    DICIEMBRE      2 0 1 8</t>
  </si>
  <si>
    <t>INVENTARIO     DEL MES DE NOVIEMBRE 2018</t>
  </si>
  <si>
    <t>INVENTARIO DE NOVIEMBRE 2018</t>
  </si>
  <si>
    <t>INVENTARIO     DEL MES DE   NOVIEMBRE      2018</t>
  </si>
  <si>
    <t>INVENTARIO    DEL MES DE   NOVIEMBRE     2018</t>
  </si>
  <si>
    <t>INVENTARIO     DEL MES DE     NOVIEMBRE     2018</t>
  </si>
  <si>
    <t>INVENTARIO     DEL MES DE     NOVIEMBRE          2018</t>
  </si>
  <si>
    <t>INVENTARIO DEL MES DE  NOVIEMBRE     2018</t>
  </si>
  <si>
    <t>INVENTARIO DEL MES DE NOVIEMBRE  2018</t>
  </si>
  <si>
    <t>INVENTARIO    DEL MES DE NOVIEMBRE 2018</t>
  </si>
  <si>
    <t>INVENTARIO      DEL MES DE    NOVIEMBRE       2018</t>
  </si>
  <si>
    <t>INVENTARIO       DEL MES DE NOVIEMBRE 2018</t>
  </si>
  <si>
    <t>Seaboard</t>
  </si>
  <si>
    <t>PED. 31744093</t>
  </si>
  <si>
    <t>PED. 31747900</t>
  </si>
  <si>
    <t>SMITHFIELD FARMLAND</t>
  </si>
  <si>
    <t>Smithfield</t>
  </si>
  <si>
    <t>PED.31743635</t>
  </si>
  <si>
    <t>PED. 31951683</t>
  </si>
  <si>
    <t>PED. 31952207</t>
  </si>
  <si>
    <t>PED. 31903674</t>
  </si>
  <si>
    <t>NLSE18-101</t>
  </si>
  <si>
    <t>NLSE18-105</t>
  </si>
  <si>
    <t>NL18-114</t>
  </si>
  <si>
    <t>NL18-97</t>
  </si>
  <si>
    <t>NLSE18-102</t>
  </si>
  <si>
    <t>NLSE18-106</t>
  </si>
  <si>
    <t xml:space="preserve">Transfer S 30-Nov </t>
  </si>
  <si>
    <t xml:space="preserve">Transfer S 29-Nov </t>
  </si>
  <si>
    <t xml:space="preserve">Transfer S 27-Nov </t>
  </si>
  <si>
    <t xml:space="preserve">Transfer S 26-Nov </t>
  </si>
  <si>
    <t xml:space="preserve">Transfer B 3-Dic </t>
  </si>
  <si>
    <t xml:space="preserve">Tranfer B 5-Dic </t>
  </si>
  <si>
    <t xml:space="preserve">Transfer S 5-Dic </t>
  </si>
  <si>
    <t>Transfer S 6-Dic</t>
  </si>
  <si>
    <t>SIOUXPREME PACKING</t>
  </si>
  <si>
    <t>SIOUX</t>
  </si>
  <si>
    <t>PED. 31812900</t>
  </si>
  <si>
    <t xml:space="preserve">SIOUXPREME PACKING Co </t>
  </si>
  <si>
    <t>PED. 31814242</t>
  </si>
  <si>
    <t>ENTRADA DEL MES DE DICIEMBRE 2018</t>
  </si>
  <si>
    <t xml:space="preserve">MARIMEX S DE RL </t>
  </si>
  <si>
    <t>CAMARON</t>
  </si>
  <si>
    <t>SALMON</t>
  </si>
  <si>
    <t xml:space="preserve">ADAMS INT MORELIA </t>
  </si>
  <si>
    <t>IDEAL TRADING</t>
  </si>
  <si>
    <t xml:space="preserve">I B P </t>
  </si>
  <si>
    <t>PED. 31814625</t>
  </si>
  <si>
    <t>TYSON FRESH MEAT</t>
  </si>
  <si>
    <t>PED. 31847947</t>
  </si>
  <si>
    <t>PED. 31813312</t>
  </si>
  <si>
    <t>TYSON FRESH MEATS</t>
  </si>
  <si>
    <t>PED. 31847770</t>
  </si>
  <si>
    <t>PED. 32009226</t>
  </si>
  <si>
    <t>NLP-049</t>
  </si>
  <si>
    <t>NLP-066</t>
  </si>
  <si>
    <t>PU-17155</t>
  </si>
  <si>
    <t>Cuero panceta</t>
  </si>
  <si>
    <t>PU-66548</t>
  </si>
  <si>
    <t>NLP-054</t>
  </si>
  <si>
    <t>E-4472</t>
  </si>
  <si>
    <t>NL18-96</t>
  </si>
  <si>
    <t>E-4473</t>
  </si>
  <si>
    <t>NL18-118</t>
  </si>
  <si>
    <t>PU-66667</t>
  </si>
  <si>
    <t>2927-A</t>
  </si>
  <si>
    <t xml:space="preserve">Transfer S 21-Nov </t>
  </si>
  <si>
    <t>PED. 32009228</t>
  </si>
  <si>
    <t>PED. 32009227</t>
  </si>
  <si>
    <t>PED.32083636</t>
  </si>
  <si>
    <t>SMITHFIELD FRESH MEATS</t>
  </si>
  <si>
    <t>PED. 32083638</t>
  </si>
  <si>
    <t>PED. 32084156</t>
  </si>
  <si>
    <t>PED. 32095363</t>
  </si>
  <si>
    <t>PED. 32128646</t>
  </si>
  <si>
    <t>SMITHFIELD  FRESH MEATS</t>
  </si>
  <si>
    <t>PED. 32127894</t>
  </si>
  <si>
    <t>NLSE18-103</t>
  </si>
  <si>
    <t>NLSE18-107</t>
  </si>
  <si>
    <t>NL18-98</t>
  </si>
  <si>
    <t>NL18-99</t>
  </si>
  <si>
    <t>NLP-050</t>
  </si>
  <si>
    <t>NLP-055</t>
  </si>
  <si>
    <t>NL18-115</t>
  </si>
  <si>
    <t>NL18-119</t>
  </si>
  <si>
    <t xml:space="preserve">Transfer S 6-Dic </t>
  </si>
  <si>
    <t xml:space="preserve">Transfer S 11-Dic </t>
  </si>
  <si>
    <t xml:space="preserve">Transfer S 14-Dic </t>
  </si>
  <si>
    <t xml:space="preserve">Transfer S 3-Dic </t>
  </si>
  <si>
    <t>Transfer S 3-Dic</t>
  </si>
  <si>
    <t xml:space="preserve">Transfer S 4-Dic </t>
  </si>
  <si>
    <t>Transfer B  5-Dic</t>
  </si>
  <si>
    <t>Transfer B 5 Dic</t>
  </si>
  <si>
    <t>ENTRADA DEL MES DE DICIEMBRE  2018</t>
  </si>
  <si>
    <t>COMERCIALIZADORA INT MANSIVA</t>
  </si>
  <si>
    <t>PED. 32173278</t>
  </si>
  <si>
    <t xml:space="preserve">X.O  DE ORIENTE  SA DE CV </t>
  </si>
  <si>
    <t>ARRACHERA TEXANA</t>
  </si>
  <si>
    <t>ARRACHERA  NATURAL</t>
  </si>
  <si>
    <t xml:space="preserve">X.O, DE ORIENTE SA DE CV </t>
  </si>
  <si>
    <t>CORTES</t>
  </si>
  <si>
    <t>PED. 32247488</t>
  </si>
  <si>
    <t>SMTHFIELD FARMLAND</t>
  </si>
  <si>
    <t>PED.32246261</t>
  </si>
  <si>
    <t>PED.32128976</t>
  </si>
  <si>
    <t>PED. 32245334</t>
  </si>
  <si>
    <t>PED. 32303651</t>
  </si>
  <si>
    <t>PED. 32303653</t>
  </si>
  <si>
    <t>PED. 32303269</t>
  </si>
  <si>
    <t>MANSIVA</t>
  </si>
  <si>
    <t>SESOS DE COPA</t>
  </si>
  <si>
    <t>PU-66792</t>
  </si>
  <si>
    <t>NLSE18-108</t>
  </si>
  <si>
    <t>X O DE ORIENTE SA DE CV</t>
  </si>
  <si>
    <t>PUFE-51160</t>
  </si>
  <si>
    <t>ARRACHERA NATURAL</t>
  </si>
  <si>
    <t>PUFE-51164</t>
  </si>
  <si>
    <t>CORTES VARIOS</t>
  </si>
  <si>
    <t>PUFE-51158</t>
  </si>
  <si>
    <t>PU-66867</t>
  </si>
  <si>
    <t>NLP-063</t>
  </si>
  <si>
    <t>NL18-100</t>
  </si>
  <si>
    <t>NL18-116</t>
  </si>
  <si>
    <t>CONTRA EXCEL</t>
  </si>
  <si>
    <t>NLSE18-109</t>
  </si>
  <si>
    <t>NL18-117</t>
  </si>
  <si>
    <t>NLSE18-110</t>
  </si>
  <si>
    <t>NLSE18-111</t>
  </si>
  <si>
    <t xml:space="preserve">Transfer B 7-Dic </t>
  </si>
  <si>
    <t>Transfer B  10-Dic</t>
  </si>
  <si>
    <t>Transfer B 10-Dic</t>
  </si>
  <si>
    <t xml:space="preserve">Transfer B 11-Dic </t>
  </si>
  <si>
    <t xml:space="preserve">Transfer B 13-Dic </t>
  </si>
  <si>
    <t xml:space="preserve">Transfer B 14-Dic </t>
  </si>
  <si>
    <t xml:space="preserve">Transfer B 17-Dic </t>
  </si>
  <si>
    <t xml:space="preserve">Transfer B 18-Dic </t>
  </si>
  <si>
    <t>Transfer B 18-Dic</t>
  </si>
  <si>
    <t xml:space="preserve">Transfer S 7-Dic </t>
  </si>
  <si>
    <t xml:space="preserve">Transfer S 10-Dic </t>
  </si>
  <si>
    <t>Transfer S 11-Dic</t>
  </si>
  <si>
    <t>Transf3r S 13-Dic</t>
  </si>
  <si>
    <t>Transfer S 13-Dic</t>
  </si>
  <si>
    <t xml:space="preserve">Transfer S 17-Dic </t>
  </si>
  <si>
    <t xml:space="preserve">Transfer S 18-Dic </t>
  </si>
  <si>
    <t xml:space="preserve">Transfer S 19-Dic </t>
  </si>
  <si>
    <t xml:space="preserve">Transfer S 21-Dic </t>
  </si>
  <si>
    <t xml:space="preserve">Transfer S 24-Dic </t>
  </si>
  <si>
    <t>H-C0653</t>
  </si>
  <si>
    <t>SMITHFIELD FARMALND</t>
  </si>
  <si>
    <t>PED. 32357668</t>
  </si>
  <si>
    <t>PED. 32357161</t>
  </si>
  <si>
    <t>PED, 32357670</t>
  </si>
  <si>
    <t>PED. 32396872</t>
  </si>
  <si>
    <t>PED. 32423457</t>
  </si>
  <si>
    <t>PED. 32422992</t>
  </si>
  <si>
    <t>PED. 32431056</t>
  </si>
  <si>
    <t>Saaboard</t>
  </si>
  <si>
    <t>PED. 32461677</t>
  </si>
  <si>
    <t>PED. 32522436</t>
  </si>
  <si>
    <t>SMITHFIELF FARMLAND</t>
  </si>
  <si>
    <t>PED. 32582510</t>
  </si>
  <si>
    <t>PED. 32582936</t>
  </si>
  <si>
    <t>PED.32462128</t>
  </si>
  <si>
    <t>PED. 32432908</t>
  </si>
  <si>
    <t>PED. 32582508</t>
  </si>
  <si>
    <t>PED. 32522435</t>
  </si>
  <si>
    <t>PED.32582934</t>
  </si>
  <si>
    <t>PED. 32617670</t>
  </si>
  <si>
    <t>PED. 32617977</t>
  </si>
  <si>
    <t>PED. 32617669</t>
  </si>
  <si>
    <t>Seboard</t>
  </si>
  <si>
    <t>PED. 32582934</t>
  </si>
  <si>
    <t>PU-17368</t>
  </si>
  <si>
    <t>FILETE DE TILAPIA</t>
  </si>
  <si>
    <t>NL18-102</t>
  </si>
  <si>
    <t>NLP-056</t>
  </si>
  <si>
    <t>NLP-051</t>
  </si>
  <si>
    <t>NLP-064</t>
  </si>
  <si>
    <t>NL18-103</t>
  </si>
  <si>
    <t>NL18-104</t>
  </si>
  <si>
    <t>NL18-106</t>
  </si>
  <si>
    <t>NLSE18-113</t>
  </si>
  <si>
    <t>NLSE18-114</t>
  </si>
  <si>
    <t>NL18-101R</t>
  </si>
  <si>
    <t>NLSE18-115</t>
  </si>
  <si>
    <t>NLSE18-112</t>
  </si>
  <si>
    <t>NLSE18-122</t>
  </si>
  <si>
    <t>NL18-107</t>
  </si>
  <si>
    <t>NLP-065</t>
  </si>
  <si>
    <t>NLSE18-116</t>
  </si>
  <si>
    <t>NLP-052</t>
  </si>
  <si>
    <t>L-3797</t>
  </si>
  <si>
    <t>NLP-057</t>
  </si>
  <si>
    <t>CABEZA DE CERDO</t>
  </si>
  <si>
    <t>SEBOARD FOODS</t>
  </si>
  <si>
    <t>PED. 32638203</t>
  </si>
  <si>
    <t>PED. 32638887</t>
  </si>
  <si>
    <t>PU-66986</t>
  </si>
  <si>
    <t>PAPA ONDULADA 1/2</t>
  </si>
  <si>
    <t>PU-67121</t>
  </si>
  <si>
    <t>CABEZA DE PUERCO</t>
  </si>
  <si>
    <t>NLSE18-123</t>
  </si>
  <si>
    <t>L-3820</t>
  </si>
  <si>
    <t>xxxxxx</t>
  </si>
  <si>
    <t>PED. 32676185</t>
  </si>
  <si>
    <t>Hormel</t>
  </si>
  <si>
    <t>PED. 32725914</t>
  </si>
  <si>
    <t>PED. 32725159</t>
  </si>
  <si>
    <t>PED. 32731255</t>
  </si>
  <si>
    <t>PU-67266</t>
  </si>
  <si>
    <t>NL18-109</t>
  </si>
  <si>
    <t>NLSE18-117</t>
  </si>
  <si>
    <t>NL18-110</t>
  </si>
  <si>
    <t>NLSE18-118</t>
  </si>
  <si>
    <t>2821-A</t>
  </si>
  <si>
    <t>Transfer S 20-Dic</t>
  </si>
  <si>
    <t>Transfer S 21-Dic</t>
  </si>
  <si>
    <t>Transfer S 24-Dic</t>
  </si>
  <si>
    <t xml:space="preserve">Tranfer S 24-Dic </t>
  </si>
  <si>
    <t>Transfer S 26-Dic</t>
  </si>
  <si>
    <t>Transrer S 26-Dic</t>
  </si>
  <si>
    <t>Transfer S 27-Dic</t>
  </si>
  <si>
    <t>Transfer S 28-Dic</t>
  </si>
  <si>
    <t xml:space="preserve">Transfer S 28-Dic </t>
  </si>
  <si>
    <t xml:space="preserve">Transfer S 31-Dic </t>
  </si>
  <si>
    <t>TransferS 31-Dic</t>
  </si>
  <si>
    <t>Transfer S 31-Dic</t>
  </si>
  <si>
    <t>Transfer S 10-Dic</t>
  </si>
  <si>
    <t>Transfer S 17-Dic</t>
  </si>
  <si>
    <t>Transfer S 18-Dic</t>
  </si>
  <si>
    <t>20826-A</t>
  </si>
  <si>
    <t>Transfer S 19-Dic</t>
  </si>
  <si>
    <t>PED. 326976184</t>
  </si>
  <si>
    <t>LA ROTONDA</t>
  </si>
  <si>
    <t>PED. 32731838</t>
  </si>
  <si>
    <t>Nota Credito</t>
  </si>
  <si>
    <t>NL18-111</t>
  </si>
  <si>
    <t>NL18-108</t>
  </si>
  <si>
    <t>Transfer B 21-Dic</t>
  </si>
  <si>
    <t>Transfer B 24-Dic</t>
  </si>
  <si>
    <t>Transfer B  24-Dic</t>
  </si>
  <si>
    <t>Transfer B 26-Dic</t>
  </si>
  <si>
    <t>Transfer B 27-Dic</t>
  </si>
  <si>
    <t>Transfer B 28-Dic</t>
  </si>
  <si>
    <t>Transfer B 31-Dic</t>
  </si>
  <si>
    <t>Transfer  B 31-Dic</t>
  </si>
  <si>
    <t>Transfer B 19-Dic</t>
  </si>
  <si>
    <t>Transfer B 20-Dic</t>
  </si>
  <si>
    <t>Transfrer B 20-Dic</t>
  </si>
  <si>
    <t>NL18-105</t>
  </si>
  <si>
    <t xml:space="preserve">Transfer B 20-Dic </t>
  </si>
  <si>
    <t>114 S</t>
  </si>
  <si>
    <t>112 S</t>
  </si>
  <si>
    <t>122 S</t>
  </si>
  <si>
    <t>132 S</t>
  </si>
  <si>
    <t>152 S</t>
  </si>
  <si>
    <t>162 S</t>
  </si>
  <si>
    <t>172 S</t>
  </si>
  <si>
    <t>101 S</t>
  </si>
  <si>
    <t>102 S</t>
  </si>
  <si>
    <t>103 S</t>
  </si>
  <si>
    <t>107 S</t>
  </si>
  <si>
    <t>108 S</t>
  </si>
  <si>
    <t>109 S</t>
  </si>
  <si>
    <t>110 S</t>
  </si>
  <si>
    <t>120 S</t>
  </si>
  <si>
    <t>130 S</t>
  </si>
  <si>
    <t>140 S</t>
  </si>
  <si>
    <t>150 S</t>
  </si>
  <si>
    <t>160 S</t>
  </si>
  <si>
    <t>170 S</t>
  </si>
  <si>
    <t>111 S</t>
  </si>
  <si>
    <t>115 S</t>
  </si>
  <si>
    <t>116 S</t>
  </si>
  <si>
    <t>117 S</t>
  </si>
  <si>
    <t>180 S</t>
  </si>
  <si>
    <t>123 S</t>
  </si>
  <si>
    <t>124 S</t>
  </si>
  <si>
    <t>134 S</t>
  </si>
  <si>
    <t>144 S</t>
  </si>
  <si>
    <t>154 S</t>
  </si>
  <si>
    <t>164 S</t>
  </si>
  <si>
    <t>174 S</t>
  </si>
  <si>
    <t>184 S</t>
  </si>
  <si>
    <t>125 S</t>
  </si>
  <si>
    <t>126 S</t>
  </si>
  <si>
    <t>136 S</t>
  </si>
  <si>
    <t>156 S</t>
  </si>
  <si>
    <t>166 S</t>
  </si>
  <si>
    <t>176 S</t>
  </si>
  <si>
    <t>127 S</t>
  </si>
  <si>
    <t>128 S</t>
  </si>
  <si>
    <t>129 S</t>
  </si>
  <si>
    <t>149 S</t>
  </si>
  <si>
    <t>159 S</t>
  </si>
  <si>
    <t>169 S</t>
  </si>
  <si>
    <t>179 S</t>
  </si>
  <si>
    <t>131 S</t>
  </si>
  <si>
    <t>133 S</t>
  </si>
  <si>
    <t>137 S</t>
  </si>
  <si>
    <t>141 S</t>
  </si>
  <si>
    <t>143 S</t>
  </si>
  <si>
    <t>153 S</t>
  </si>
  <si>
    <t>163 S</t>
  </si>
  <si>
    <t>173 S</t>
  </si>
  <si>
    <t>183 S</t>
  </si>
  <si>
    <t xml:space="preserve"> 145 S</t>
  </si>
  <si>
    <t>145 S</t>
  </si>
  <si>
    <t>165 S</t>
  </si>
  <si>
    <t>147 S</t>
  </si>
  <si>
    <t>148 S</t>
  </si>
  <si>
    <t>151 S</t>
  </si>
  <si>
    <t>155 S</t>
  </si>
  <si>
    <t>157 S</t>
  </si>
  <si>
    <t>158 S</t>
  </si>
  <si>
    <t>161 S</t>
  </si>
  <si>
    <t>171 S</t>
  </si>
  <si>
    <t>175 S</t>
  </si>
  <si>
    <t>177 S</t>
  </si>
  <si>
    <t>178 S</t>
  </si>
  <si>
    <t>181 S</t>
  </si>
  <si>
    <t>182 S</t>
  </si>
  <si>
    <t>185 S</t>
  </si>
  <si>
    <t>188 S</t>
  </si>
  <si>
    <t>189 S</t>
  </si>
  <si>
    <t>195 S</t>
  </si>
  <si>
    <t>190 S</t>
  </si>
  <si>
    <t>191 S</t>
  </si>
  <si>
    <t>194 S</t>
  </si>
  <si>
    <t>192 S</t>
  </si>
  <si>
    <t>193 S</t>
  </si>
  <si>
    <t>196 S</t>
  </si>
  <si>
    <t>197 S</t>
  </si>
  <si>
    <t>198 S</t>
  </si>
  <si>
    <t>199 S</t>
  </si>
  <si>
    <t>200 S</t>
  </si>
  <si>
    <t>201 S</t>
  </si>
  <si>
    <t>202 S</t>
  </si>
  <si>
    <t>204 S</t>
  </si>
  <si>
    <t>205 S</t>
  </si>
  <si>
    <t>206 S</t>
  </si>
  <si>
    <t>207 S</t>
  </si>
  <si>
    <t>209 S</t>
  </si>
  <si>
    <t>210 S</t>
  </si>
  <si>
    <t>211 S</t>
  </si>
  <si>
    <t>212 S</t>
  </si>
  <si>
    <t>213 S</t>
  </si>
  <si>
    <t>214 S</t>
  </si>
  <si>
    <t>215 S</t>
  </si>
  <si>
    <t>219 S</t>
  </si>
  <si>
    <t>239 S</t>
  </si>
  <si>
    <t>249 S</t>
  </si>
  <si>
    <t>259 S</t>
  </si>
  <si>
    <t>220 S</t>
  </si>
  <si>
    <t>222 S</t>
  </si>
  <si>
    <t>223 S</t>
  </si>
  <si>
    <t>224 S</t>
  </si>
  <si>
    <t>225 S</t>
  </si>
  <si>
    <t>226 S</t>
  </si>
  <si>
    <t>227 S</t>
  </si>
  <si>
    <t>228 S</t>
  </si>
  <si>
    <t xml:space="preserve">228 S </t>
  </si>
  <si>
    <t>230 S</t>
  </si>
  <si>
    <t>231 S</t>
  </si>
  <si>
    <t>232 S</t>
  </si>
  <si>
    <t>234 S</t>
  </si>
  <si>
    <t>235 S</t>
  </si>
  <si>
    <t>236 S</t>
  </si>
  <si>
    <t>237 S</t>
  </si>
  <si>
    <t>238 S</t>
  </si>
  <si>
    <t>240 S</t>
  </si>
  <si>
    <t>241 S</t>
  </si>
  <si>
    <t>242 S</t>
  </si>
  <si>
    <t>245 S</t>
  </si>
  <si>
    <t>246 S</t>
  </si>
  <si>
    <t>247 S</t>
  </si>
  <si>
    <t>248 S</t>
  </si>
  <si>
    <t>250 S</t>
  </si>
  <si>
    <t>251 S</t>
  </si>
  <si>
    <t>252 S</t>
  </si>
  <si>
    <t>253 S</t>
  </si>
  <si>
    <t>254 S</t>
  </si>
  <si>
    <t>254 NS</t>
  </si>
  <si>
    <t>255 S</t>
  </si>
  <si>
    <t>256 S</t>
  </si>
  <si>
    <t>257 S</t>
  </si>
  <si>
    <t>260 S</t>
  </si>
  <si>
    <t>261 S</t>
  </si>
  <si>
    <t>262 S</t>
  </si>
  <si>
    <t>263 S</t>
  </si>
  <si>
    <t>264 S</t>
  </si>
  <si>
    <t>265 S</t>
  </si>
  <si>
    <t>266 S</t>
  </si>
  <si>
    <t>267 S</t>
  </si>
  <si>
    <t>271 S</t>
  </si>
  <si>
    <t>272 S</t>
  </si>
  <si>
    <t>274 S</t>
  </si>
  <si>
    <t>275 S</t>
  </si>
  <si>
    <t>276 S</t>
  </si>
  <si>
    <t>277 S</t>
  </si>
  <si>
    <t>278 S</t>
  </si>
  <si>
    <t>279 S</t>
  </si>
  <si>
    <t>280 S</t>
  </si>
  <si>
    <t>281 S</t>
  </si>
  <si>
    <t>282 S</t>
  </si>
  <si>
    <t>283 S</t>
  </si>
  <si>
    <t>284 S</t>
  </si>
  <si>
    <t>285 S</t>
  </si>
  <si>
    <t>286 S</t>
  </si>
  <si>
    <t>287 S</t>
  </si>
  <si>
    <t>288 S</t>
  </si>
  <si>
    <t>289 S</t>
  </si>
  <si>
    <t>SMHTFIELD FRESH MEATS</t>
  </si>
  <si>
    <t>290 S</t>
  </si>
  <si>
    <t>291 S</t>
  </si>
  <si>
    <t>292 S</t>
  </si>
  <si>
    <t>293 S</t>
  </si>
  <si>
    <t>294 S</t>
  </si>
  <si>
    <t>295 S</t>
  </si>
  <si>
    <t>296 S</t>
  </si>
  <si>
    <t>297 S</t>
  </si>
  <si>
    <t>293 s</t>
  </si>
  <si>
    <t>301 S</t>
  </si>
  <si>
    <t>302 S</t>
  </si>
  <si>
    <t>303 S</t>
  </si>
  <si>
    <t>304 S</t>
  </si>
  <si>
    <t>305 S</t>
  </si>
  <si>
    <t>306 S</t>
  </si>
  <si>
    <t>307 S</t>
  </si>
  <si>
    <t>309 S</t>
  </si>
  <si>
    <t>310 S</t>
  </si>
  <si>
    <t>311 S</t>
  </si>
  <si>
    <t>312 S</t>
  </si>
  <si>
    <t>322 S</t>
  </si>
  <si>
    <t>332 S</t>
  </si>
  <si>
    <t>315 S</t>
  </si>
  <si>
    <t>316 S</t>
  </si>
  <si>
    <t>317 S</t>
  </si>
  <si>
    <t>318 S</t>
  </si>
  <si>
    <t>319 S</t>
  </si>
  <si>
    <t>313 s</t>
  </si>
  <si>
    <t>314 s</t>
  </si>
  <si>
    <t>335 S</t>
  </si>
  <si>
    <t>329 S</t>
  </si>
  <si>
    <t>339 S</t>
  </si>
  <si>
    <t>320 S</t>
  </si>
  <si>
    <t>321 S</t>
  </si>
  <si>
    <t>326 S</t>
  </si>
  <si>
    <t>328 S</t>
  </si>
  <si>
    <t>327 S</t>
  </si>
  <si>
    <t>330 S</t>
  </si>
  <si>
    <t>331 S</t>
  </si>
  <si>
    <t>333 S</t>
  </si>
  <si>
    <t>334 S</t>
  </si>
  <si>
    <t>336 S</t>
  </si>
  <si>
    <t>337 S</t>
  </si>
  <si>
    <t>338 S</t>
  </si>
  <si>
    <t>340 S</t>
  </si>
  <si>
    <t>341 S</t>
  </si>
  <si>
    <t>346 S</t>
  </si>
  <si>
    <t>348 S</t>
  </si>
  <si>
    <t>349 S</t>
  </si>
  <si>
    <t>342 S</t>
  </si>
  <si>
    <t>343 S</t>
  </si>
  <si>
    <t>344 S</t>
  </si>
  <si>
    <t>345 S</t>
  </si>
  <si>
    <t>347 S</t>
  </si>
  <si>
    <t>350 S</t>
  </si>
  <si>
    <t>351 S</t>
  </si>
  <si>
    <t xml:space="preserve">FACTURA </t>
  </si>
  <si>
    <t>Transfer S 3-Ene</t>
  </si>
  <si>
    <t>Transfer S 4-Ene</t>
  </si>
  <si>
    <t>PU-67316</t>
  </si>
  <si>
    <t>Transfer S 7-Ene</t>
  </si>
  <si>
    <t>0822-A</t>
  </si>
  <si>
    <t xml:space="preserve">Transfer S 28-Nov </t>
  </si>
  <si>
    <t xml:space="preserve">Transfer S 6 Dic </t>
  </si>
  <si>
    <r>
      <t xml:space="preserve">BONIFICACION DE 1,159.02 usd  Por merma </t>
    </r>
    <r>
      <rPr>
        <b/>
        <sz val="12"/>
        <color rgb="FF0000FF"/>
        <rFont val="Times New Roman"/>
        <family val="1"/>
        <scheme val="minor"/>
      </rPr>
      <t>Aplicado en el pago de NL18-112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</si>
</sst>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1"/>
      <color rgb="FF0070C0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8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0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53" fillId="0" borderId="0" xfId="0" applyNumberFormat="1" applyFont="1" applyFill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45" fillId="0" borderId="0" xfId="0" applyFont="1" applyFill="1"/>
    <xf numFmtId="2" fontId="0" fillId="0" borderId="0" xfId="0" applyNumberFormat="1" applyFill="1" applyAlignment="1">
      <alignment horizontal="center"/>
    </xf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5" xfId="0" applyNumberFormat="1" applyFont="1" applyFill="1" applyBorder="1"/>
    <xf numFmtId="0" fontId="43" fillId="0" borderId="4" xfId="0" applyFont="1" applyBorder="1" applyAlignment="1">
      <alignment horizontal="center"/>
    </xf>
    <xf numFmtId="44" fontId="46" fillId="0" borderId="4" xfId="1" applyFont="1" applyFill="1" applyBorder="1"/>
    <xf numFmtId="166" fontId="56" fillId="0" borderId="0" xfId="0" applyNumberFormat="1" applyFont="1" applyFill="1" applyBorder="1" applyAlignment="1">
      <alignment horizontal="right"/>
    </xf>
    <xf numFmtId="0" fontId="57" fillId="0" borderId="0" xfId="0" applyFont="1" applyFill="1"/>
    <xf numFmtId="164" fontId="56" fillId="0" borderId="4" xfId="0" applyNumberFormat="1" applyFont="1" applyFill="1" applyBorder="1"/>
    <xf numFmtId="167" fontId="58" fillId="0" borderId="5" xfId="0" applyNumberFormat="1" applyFont="1" applyFill="1" applyBorder="1"/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2" fontId="59" fillId="0" borderId="0" xfId="0" applyNumberFormat="1" applyFont="1" applyFill="1" applyBorder="1" applyAlignment="1">
      <alignment horizontal="right"/>
    </xf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168" fontId="59" fillId="0" borderId="15" xfId="0" applyNumberFormat="1" applyFont="1" applyFill="1" applyBorder="1"/>
    <xf numFmtId="170" fontId="7" fillId="12" borderId="0" xfId="1" applyNumberFormat="1" applyFont="1" applyFill="1" applyAlignment="1">
      <alignment horizontal="center"/>
    </xf>
    <xf numFmtId="168" fontId="7" fillId="12" borderId="0" xfId="0" applyNumberFormat="1" applyFont="1" applyFill="1" applyAlignment="1">
      <alignment horizontal="center"/>
    </xf>
    <xf numFmtId="2" fontId="7" fillId="12" borderId="0" xfId="0" applyNumberFormat="1" applyFont="1" applyFill="1"/>
    <xf numFmtId="4" fontId="7" fillId="2" borderId="0" xfId="0" applyNumberFormat="1" applyFont="1" applyFill="1"/>
    <xf numFmtId="167" fontId="45" fillId="0" borderId="5" xfId="0" applyNumberFormat="1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49" fillId="0" borderId="0" xfId="0" applyNumberFormat="1" applyFont="1" applyFill="1" applyBorder="1" applyAlignment="1">
      <alignment horizontal="right"/>
    </xf>
    <xf numFmtId="166" fontId="49" fillId="0" borderId="0" xfId="0" applyNumberFormat="1" applyFont="1" applyFill="1" applyBorder="1" applyAlignment="1">
      <alignment horizontal="left"/>
    </xf>
    <xf numFmtId="2" fontId="29" fillId="0" borderId="5" xfId="0" applyNumberFormat="1" applyFont="1" applyFill="1" applyBorder="1" applyAlignment="1">
      <alignment horizontal="right"/>
    </xf>
    <xf numFmtId="168" fontId="29" fillId="0" borderId="4" xfId="0" applyNumberFormat="1" applyFont="1" applyFill="1" applyBorder="1"/>
    <xf numFmtId="168" fontId="29" fillId="0" borderId="0" xfId="0" applyNumberFormat="1" applyFont="1" applyFill="1" applyBorder="1"/>
    <xf numFmtId="164" fontId="29" fillId="0" borderId="0" xfId="0" applyNumberFormat="1" applyFont="1" applyFill="1" applyBorder="1"/>
    <xf numFmtId="168" fontId="29" fillId="0" borderId="4" xfId="0" applyNumberFormat="1" applyFont="1" applyBorder="1"/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4" fontId="29" fillId="0" borderId="37" xfId="0" applyNumberFormat="1" applyFont="1" applyFill="1" applyBorder="1" applyAlignment="1">
      <alignment horizontal="right"/>
    </xf>
    <xf numFmtId="15" fontId="29" fillId="0" borderId="10" xfId="0" applyNumberFormat="1" applyFont="1" applyFill="1" applyBorder="1" applyAlignment="1">
      <alignment horizontal="right"/>
    </xf>
    <xf numFmtId="16" fontId="29" fillId="0" borderId="0" xfId="0" applyNumberFormat="1" applyFont="1" applyFill="1" applyBorder="1"/>
    <xf numFmtId="16" fontId="13" fillId="0" borderId="10" xfId="0" applyNumberFormat="1" applyFont="1" applyFill="1" applyBorder="1" applyAlignment="1">
      <alignment horizontal="right"/>
    </xf>
    <xf numFmtId="4" fontId="13" fillId="0" borderId="0" xfId="0" applyNumberFormat="1" applyFont="1" applyFill="1" applyAlignment="1">
      <alignment horizontal="right" vertical="center"/>
    </xf>
    <xf numFmtId="4" fontId="55" fillId="0" borderId="37" xfId="0" applyNumberFormat="1" applyFont="1" applyFill="1" applyBorder="1" applyAlignment="1">
      <alignment horizontal="right"/>
    </xf>
    <xf numFmtId="168" fontId="55" fillId="0" borderId="15" xfId="0" applyNumberFormat="1" applyFont="1" applyFill="1" applyBorder="1"/>
    <xf numFmtId="4" fontId="61" fillId="0" borderId="37" xfId="0" applyNumberFormat="1" applyFont="1" applyFill="1" applyBorder="1" applyAlignment="1">
      <alignment horizontal="right"/>
    </xf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44" fontId="46" fillId="0" borderId="0" xfId="1" applyFont="1" applyFill="1"/>
    <xf numFmtId="167" fontId="49" fillId="0" borderId="5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16" fontId="10" fillId="0" borderId="0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15" xfId="0" applyNumberFormat="1" applyFont="1" applyFill="1" applyBorder="1"/>
    <xf numFmtId="0" fontId="30" fillId="2" borderId="0" xfId="0" applyFont="1" applyFill="1" applyAlignment="1">
      <alignment horizontal="center"/>
    </xf>
    <xf numFmtId="0" fontId="54" fillId="0" borderId="0" xfId="0" applyFont="1" applyFill="1" applyBorder="1" applyAlignment="1">
      <alignment horizontal="center"/>
    </xf>
    <xf numFmtId="44" fontId="18" fillId="0" borderId="0" xfId="1" applyFont="1" applyFill="1" applyAlignment="1">
      <alignment horizontal="center"/>
    </xf>
    <xf numFmtId="166" fontId="50" fillId="0" borderId="5" xfId="0" applyNumberFormat="1" applyFont="1" applyFill="1" applyBorder="1" applyAlignment="1">
      <alignment horizontal="left"/>
    </xf>
    <xf numFmtId="0" fontId="46" fillId="0" borderId="4" xfId="0" applyFont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2" fontId="7" fillId="8" borderId="0" xfId="0" applyNumberFormat="1" applyFont="1" applyFill="1" applyBorder="1" applyAlignment="1">
      <alignment horizontal="right"/>
    </xf>
    <xf numFmtId="16" fontId="7" fillId="8" borderId="15" xfId="0" applyNumberFormat="1" applyFont="1" applyFill="1" applyBorder="1"/>
    <xf numFmtId="0" fontId="7" fillId="8" borderId="10" xfId="0" applyFont="1" applyFill="1" applyBorder="1" applyAlignment="1">
      <alignment horizontal="right"/>
    </xf>
    <xf numFmtId="164" fontId="7" fillId="8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0" xfId="0" applyFont="1" applyFill="1" applyAlignment="1">
      <alignment horizontal="center" wrapText="1"/>
    </xf>
    <xf numFmtId="2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/>
    <xf numFmtId="0" fontId="29" fillId="0" borderId="0" xfId="0" applyFont="1" applyAlignment="1">
      <alignment horizontal="right"/>
    </xf>
    <xf numFmtId="16" fontId="29" fillId="0" borderId="15" xfId="0" applyNumberFormat="1" applyFont="1" applyFill="1" applyBorder="1"/>
    <xf numFmtId="2" fontId="61" fillId="0" borderId="5" xfId="0" applyNumberFormat="1" applyFont="1" applyFill="1" applyBorder="1" applyAlignment="1">
      <alignment horizontal="right"/>
    </xf>
    <xf numFmtId="168" fontId="61" fillId="0" borderId="0" xfId="0" applyNumberFormat="1" applyFont="1" applyFill="1" applyBorder="1"/>
    <xf numFmtId="164" fontId="61" fillId="0" borderId="0" xfId="0" applyNumberFormat="1" applyFont="1" applyFill="1" applyBorder="1"/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4" fontId="29" fillId="0" borderId="5" xfId="0" applyNumberFormat="1" applyFont="1" applyFill="1" applyBorder="1" applyAlignment="1">
      <alignment horizontal="right"/>
    </xf>
    <xf numFmtId="4" fontId="16" fillId="0" borderId="0" xfId="0" applyNumberFormat="1" applyFont="1"/>
    <xf numFmtId="4" fontId="16" fillId="0" borderId="0" xfId="0" applyNumberFormat="1" applyFont="1" applyFill="1"/>
    <xf numFmtId="0" fontId="51" fillId="0" borderId="0" xfId="0" applyFont="1"/>
    <xf numFmtId="0" fontId="7" fillId="16" borderId="0" xfId="0" applyFont="1" applyFill="1" applyAlignment="1">
      <alignment horizontal="center"/>
    </xf>
    <xf numFmtId="44" fontId="7" fillId="0" borderId="0" xfId="1" applyFont="1" applyFill="1" applyAlignment="1">
      <alignment wrapText="1"/>
    </xf>
    <xf numFmtId="164" fontId="30" fillId="0" borderId="0" xfId="0" applyNumberFormat="1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0" fontId="13" fillId="0" borderId="51" xfId="0" applyFont="1" applyFill="1" applyBorder="1" applyAlignment="1">
      <alignment horizontal="right"/>
    </xf>
    <xf numFmtId="2" fontId="10" fillId="14" borderId="0" xfId="0" applyNumberFormat="1" applyFont="1" applyFill="1" applyBorder="1" applyAlignment="1">
      <alignment horizontal="right"/>
    </xf>
    <xf numFmtId="2" fontId="10" fillId="2" borderId="0" xfId="0" applyNumberFormat="1" applyFont="1" applyFill="1" applyBorder="1" applyAlignment="1">
      <alignment horizontal="right"/>
    </xf>
    <xf numFmtId="168" fontId="10" fillId="2" borderId="15" xfId="0" applyNumberFormat="1" applyFont="1" applyFill="1" applyBorder="1"/>
    <xf numFmtId="0" fontId="10" fillId="2" borderId="10" xfId="0" applyFont="1" applyFill="1" applyBorder="1" applyAlignment="1">
      <alignment horizontal="right"/>
    </xf>
    <xf numFmtId="164" fontId="10" fillId="2" borderId="0" xfId="0" applyNumberFormat="1" applyFont="1" applyFill="1"/>
    <xf numFmtId="0" fontId="3" fillId="14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8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0" fontId="7" fillId="0" borderId="0" xfId="0" applyFont="1" applyFill="1" applyAlignment="1">
      <alignment wrapText="1"/>
    </xf>
    <xf numFmtId="16" fontId="61" fillId="0" borderId="15" xfId="0" applyNumberFormat="1" applyFont="1" applyFill="1" applyBorder="1"/>
    <xf numFmtId="16" fontId="61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27" fillId="18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 wrapText="1"/>
    </xf>
    <xf numFmtId="0" fontId="27" fillId="19" borderId="0" xfId="0" applyFont="1" applyFill="1" applyAlignment="1">
      <alignment horizontal="center"/>
    </xf>
    <xf numFmtId="0" fontId="27" fillId="12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16" fontId="0" fillId="0" borderId="0" xfId="0" applyNumberFormat="1" applyBorder="1" applyAlignment="1">
      <alignment horizontal="center"/>
    </xf>
    <xf numFmtId="0" fontId="52" fillId="0" borderId="0" xfId="0" applyFont="1" applyFill="1" applyBorder="1" applyAlignment="1">
      <alignment horizontal="center" wrapText="1"/>
    </xf>
    <xf numFmtId="0" fontId="46" fillId="0" borderId="5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13" fillId="0" borderId="0" xfId="2" applyFont="1" applyFill="1"/>
    <xf numFmtId="0" fontId="27" fillId="9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27" fillId="18" borderId="0" xfId="0" applyFont="1" applyFill="1"/>
    <xf numFmtId="0" fontId="27" fillId="15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/>
    <xf numFmtId="2" fontId="7" fillId="22" borderId="0" xfId="0" applyNumberFormat="1" applyFont="1" applyFill="1"/>
    <xf numFmtId="0" fontId="46" fillId="9" borderId="0" xfId="0" applyFont="1" applyFill="1" applyAlignment="1">
      <alignment horizontal="center"/>
    </xf>
    <xf numFmtId="0" fontId="13" fillId="11" borderId="0" xfId="0" applyFont="1" applyFill="1" applyAlignment="1">
      <alignment horizontal="left"/>
    </xf>
    <xf numFmtId="0" fontId="52" fillId="0" borderId="0" xfId="0" applyFont="1" applyFill="1" applyBorder="1" applyAlignment="1">
      <alignment horizontal="center"/>
    </xf>
    <xf numFmtId="16" fontId="31" fillId="0" borderId="15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0" fillId="7" borderId="0" xfId="0" applyNumberFormat="1" applyFill="1"/>
    <xf numFmtId="4" fontId="8" fillId="7" borderId="0" xfId="0" applyNumberFormat="1" applyFont="1" applyFill="1"/>
    <xf numFmtId="168" fontId="29" fillId="0" borderId="15" xfId="0" applyNumberFormat="1" applyFont="1" applyFill="1" applyBorder="1"/>
    <xf numFmtId="16" fontId="10" fillId="0" borderId="0" xfId="0" applyNumberFormat="1" applyFont="1" applyFill="1"/>
    <xf numFmtId="4" fontId="0" fillId="7" borderId="0" xfId="0" applyNumberFormat="1" applyFill="1" applyBorder="1"/>
    <xf numFmtId="0" fontId="0" fillId="7" borderId="0" xfId="0" applyFill="1"/>
    <xf numFmtId="4" fontId="7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0" fontId="61" fillId="7" borderId="10" xfId="0" applyFont="1" applyFill="1" applyBorder="1" applyAlignment="1">
      <alignment horizontal="right"/>
    </xf>
    <xf numFmtId="164" fontId="61" fillId="7" borderId="0" xfId="0" applyNumberFormat="1" applyFont="1" applyFill="1"/>
    <xf numFmtId="4" fontId="17" fillId="7" borderId="0" xfId="0" applyNumberFormat="1" applyFont="1" applyFill="1"/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2" fontId="0" fillId="4" borderId="5" xfId="0" applyNumberFormat="1" applyFill="1" applyBorder="1" applyAlignment="1">
      <alignment horizontal="right"/>
    </xf>
    <xf numFmtId="2" fontId="7" fillId="4" borderId="3" xfId="0" applyNumberFormat="1" applyFont="1" applyFill="1" applyBorder="1"/>
    <xf numFmtId="2" fontId="7" fillId="7" borderId="0" xfId="0" applyNumberFormat="1" applyFont="1" applyFill="1" applyAlignment="1">
      <alignment horizontal="center"/>
    </xf>
    <xf numFmtId="169" fontId="7" fillId="7" borderId="0" xfId="0" applyNumberFormat="1" applyFont="1" applyFill="1"/>
    <xf numFmtId="16" fontId="13" fillId="4" borderId="0" xfId="0" applyNumberFormat="1" applyFont="1" applyFill="1"/>
    <xf numFmtId="4" fontId="0" fillId="7" borderId="0" xfId="0" applyNumberFormat="1" applyFill="1"/>
    <xf numFmtId="0" fontId="31" fillId="7" borderId="10" xfId="0" applyFont="1" applyFill="1" applyBorder="1" applyAlignment="1">
      <alignment horizontal="right"/>
    </xf>
    <xf numFmtId="164" fontId="31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23" borderId="0" xfId="0" applyNumberFormat="1" applyFill="1"/>
    <xf numFmtId="0" fontId="6" fillId="23" borderId="0" xfId="0" applyFont="1" applyFill="1" applyAlignment="1">
      <alignment horizontal="right"/>
    </xf>
    <xf numFmtId="0" fontId="60" fillId="2" borderId="45" xfId="0" applyFont="1" applyFill="1" applyBorder="1" applyAlignment="1">
      <alignment horizontal="center"/>
    </xf>
    <xf numFmtId="164" fontId="60" fillId="2" borderId="0" xfId="0" applyNumberFormat="1" applyFont="1" applyFill="1"/>
    <xf numFmtId="0" fontId="63" fillId="2" borderId="0" xfId="0" applyFont="1" applyFill="1" applyAlignment="1">
      <alignment horizontal="left"/>
    </xf>
    <xf numFmtId="0" fontId="16" fillId="0" borderId="0" xfId="0" applyFont="1" applyFill="1" applyBorder="1" applyAlignment="1">
      <alignment wrapText="1"/>
    </xf>
    <xf numFmtId="0" fontId="53" fillId="0" borderId="0" xfId="0" applyFont="1" applyFill="1" applyBorder="1"/>
    <xf numFmtId="167" fontId="48" fillId="23" borderId="0" xfId="0" applyNumberFormat="1" applyFont="1" applyFill="1" applyBorder="1" applyAlignment="1">
      <alignment horizontal="left"/>
    </xf>
    <xf numFmtId="0" fontId="60" fillId="23" borderId="45" xfId="0" applyFont="1" applyFill="1" applyBorder="1" applyAlignment="1">
      <alignment horizontal="center"/>
    </xf>
    <xf numFmtId="164" fontId="60" fillId="23" borderId="0" xfId="0" applyNumberFormat="1" applyFont="1" applyFill="1"/>
    <xf numFmtId="0" fontId="63" fillId="23" borderId="0" xfId="0" applyFont="1" applyFill="1" applyAlignment="1">
      <alignment horizontal="left"/>
    </xf>
    <xf numFmtId="0" fontId="64" fillId="23" borderId="0" xfId="0" applyFont="1" applyFill="1" applyBorder="1"/>
    <xf numFmtId="0" fontId="13" fillId="23" borderId="0" xfId="0" applyFont="1" applyFill="1" applyAlignment="1">
      <alignment horizontal="left"/>
    </xf>
    <xf numFmtId="4" fontId="30" fillId="23" borderId="0" xfId="0" applyNumberFormat="1" applyFont="1" applyFill="1" applyAlignment="1">
      <alignment horizontal="center"/>
    </xf>
    <xf numFmtId="16" fontId="7" fillId="23" borderId="0" xfId="0" applyNumberFormat="1" applyFont="1" applyFill="1"/>
    <xf numFmtId="4" fontId="62" fillId="23" borderId="0" xfId="0" applyNumberFormat="1" applyFont="1" applyFill="1" applyAlignment="1">
      <alignment horizontal="right"/>
    </xf>
    <xf numFmtId="0" fontId="13" fillId="23" borderId="0" xfId="0" applyFont="1" applyFill="1" applyAlignment="1">
      <alignment horizontal="center"/>
    </xf>
    <xf numFmtId="4" fontId="8" fillId="23" borderId="0" xfId="0" applyNumberFormat="1" applyFont="1" applyFill="1"/>
    <xf numFmtId="0" fontId="56" fillId="2" borderId="0" xfId="0" applyFont="1" applyFill="1" applyBorder="1" applyAlignment="1">
      <alignment horizontal="center"/>
    </xf>
    <xf numFmtId="166" fontId="56" fillId="2" borderId="0" xfId="0" applyNumberFormat="1" applyFont="1" applyFill="1" applyBorder="1" applyAlignment="1">
      <alignment horizontal="right"/>
    </xf>
    <xf numFmtId="0" fontId="57" fillId="2" borderId="0" xfId="0" applyFont="1" applyFill="1"/>
    <xf numFmtId="0" fontId="46" fillId="4" borderId="0" xfId="0" applyFont="1" applyFill="1" applyAlignment="1">
      <alignment horizontal="center"/>
    </xf>
    <xf numFmtId="0" fontId="46" fillId="4" borderId="45" xfId="0" applyFont="1" applyFill="1" applyBorder="1" applyAlignment="1">
      <alignment horizontal="center"/>
    </xf>
    <xf numFmtId="164" fontId="46" fillId="4" borderId="0" xfId="0" applyNumberFormat="1" applyFont="1" applyFill="1"/>
    <xf numFmtId="0" fontId="50" fillId="4" borderId="0" xfId="0" applyFont="1" applyFill="1" applyAlignment="1">
      <alignment horizontal="left"/>
    </xf>
    <xf numFmtId="166" fontId="16" fillId="2" borderId="0" xfId="0" applyNumberFormat="1" applyFont="1" applyFill="1" applyBorder="1" applyAlignment="1">
      <alignment horizontal="right"/>
    </xf>
    <xf numFmtId="166" fontId="16" fillId="2" borderId="0" xfId="0" applyNumberFormat="1" applyFont="1" applyFill="1"/>
    <xf numFmtId="166" fontId="16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6" fontId="16" fillId="8" borderId="0" xfId="0" applyNumberFormat="1" applyFont="1" applyFill="1" applyAlignment="1">
      <alignment horizontal="right"/>
    </xf>
    <xf numFmtId="166" fontId="16" fillId="8" borderId="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5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7" borderId="49" xfId="0" applyFont="1" applyFill="1" applyBorder="1" applyAlignment="1">
      <alignment horizontal="center" vertical="center" wrapText="1"/>
    </xf>
    <xf numFmtId="0" fontId="7" fillId="17" borderId="50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169" fontId="7" fillId="10" borderId="0" xfId="0" applyNumberFormat="1" applyFont="1" applyFill="1" applyAlignment="1">
      <alignment horizontal="center" wrapText="1"/>
    </xf>
    <xf numFmtId="0" fontId="30" fillId="0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00"/>
      <color rgb="FFFFCCFF"/>
      <color rgb="FFFF3399"/>
      <color rgb="FF00FF00"/>
      <color rgb="FF66FF99"/>
      <color rgb="FF00CC00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35.5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43435</c:v>
                </c:pt>
                <c:pt idx="1">
                  <c:v>43435</c:v>
                </c:pt>
                <c:pt idx="2">
                  <c:v>43436</c:v>
                </c:pt>
                <c:pt idx="3">
                  <c:v>43441</c:v>
                </c:pt>
                <c:pt idx="4">
                  <c:v>43441</c:v>
                </c:pt>
                <c:pt idx="5">
                  <c:v>43441</c:v>
                </c:pt>
                <c:pt idx="6">
                  <c:v>43438</c:v>
                </c:pt>
                <c:pt idx="7">
                  <c:v>43438</c:v>
                </c:pt>
                <c:pt idx="8">
                  <c:v>43439</c:v>
                </c:pt>
                <c:pt idx="9">
                  <c:v>43439</c:v>
                </c:pt>
                <c:pt idx="10">
                  <c:v>43439</c:v>
                </c:pt>
                <c:pt idx="11">
                  <c:v>43440</c:v>
                </c:pt>
                <c:pt idx="12">
                  <c:v>43442</c:v>
                </c:pt>
                <c:pt idx="13">
                  <c:v>43444</c:v>
                </c:pt>
                <c:pt idx="14">
                  <c:v>43442</c:v>
                </c:pt>
                <c:pt idx="15">
                  <c:v>43445</c:v>
                </c:pt>
                <c:pt idx="16">
                  <c:v>43445</c:v>
                </c:pt>
                <c:pt idx="17">
                  <c:v>43445</c:v>
                </c:pt>
                <c:pt idx="18">
                  <c:v>43445</c:v>
                </c:pt>
                <c:pt idx="19">
                  <c:v>43446</c:v>
                </c:pt>
                <c:pt idx="20">
                  <c:v>43446</c:v>
                </c:pt>
                <c:pt idx="21">
                  <c:v>43447</c:v>
                </c:pt>
                <c:pt idx="22">
                  <c:v>43448</c:v>
                </c:pt>
                <c:pt idx="23">
                  <c:v>43448</c:v>
                </c:pt>
                <c:pt idx="24">
                  <c:v>43448</c:v>
                </c:pt>
                <c:pt idx="25">
                  <c:v>43449</c:v>
                </c:pt>
                <c:pt idx="26">
                  <c:v>43449</c:v>
                </c:pt>
                <c:pt idx="27">
                  <c:v>43450</c:v>
                </c:pt>
                <c:pt idx="28">
                  <c:v>43450</c:v>
                </c:pt>
                <c:pt idx="29">
                  <c:v>43452</c:v>
                </c:pt>
                <c:pt idx="30">
                  <c:v>43452</c:v>
                </c:pt>
                <c:pt idx="31">
                  <c:v>43452</c:v>
                </c:pt>
                <c:pt idx="32">
                  <c:v>43453</c:v>
                </c:pt>
                <c:pt idx="33">
                  <c:v>43453</c:v>
                </c:pt>
                <c:pt idx="34">
                  <c:v>43453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43456</c:v>
                </c:pt>
                <c:pt idx="39">
                  <c:v>43456</c:v>
                </c:pt>
                <c:pt idx="40">
                  <c:v>43456</c:v>
                </c:pt>
                <c:pt idx="41">
                  <c:v>43456</c:v>
                </c:pt>
                <c:pt idx="42">
                  <c:v>43456</c:v>
                </c:pt>
                <c:pt idx="43">
                  <c:v>43456</c:v>
                </c:pt>
                <c:pt idx="44">
                  <c:v>43456</c:v>
                </c:pt>
                <c:pt idx="45">
                  <c:v>43457</c:v>
                </c:pt>
                <c:pt idx="46">
                  <c:v>43460</c:v>
                </c:pt>
                <c:pt idx="47">
                  <c:v>43460</c:v>
                </c:pt>
                <c:pt idx="48">
                  <c:v>43460</c:v>
                </c:pt>
                <c:pt idx="49">
                  <c:v>43461</c:v>
                </c:pt>
                <c:pt idx="50">
                  <c:v>43461</c:v>
                </c:pt>
                <c:pt idx="51">
                  <c:v>0</c:v>
                </c:pt>
                <c:pt idx="52">
                  <c:v>43462</c:v>
                </c:pt>
                <c:pt idx="53">
                  <c:v>43462</c:v>
                </c:pt>
                <c:pt idx="54">
                  <c:v>43463</c:v>
                </c:pt>
                <c:pt idx="55">
                  <c:v>43463</c:v>
                </c:pt>
                <c:pt idx="56">
                  <c:v>43463</c:v>
                </c:pt>
                <c:pt idx="57">
                  <c:v>43464</c:v>
                </c:pt>
                <c:pt idx="58">
                  <c:v>19060.189999999999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19210.91</c:v>
                </c:pt>
                <c:pt idx="1">
                  <c:v>18917.59</c:v>
                </c:pt>
                <c:pt idx="2">
                  <c:v>18844.38</c:v>
                </c:pt>
                <c:pt idx="3">
                  <c:v>17700.86</c:v>
                </c:pt>
                <c:pt idx="4">
                  <c:v>18923.54</c:v>
                </c:pt>
                <c:pt idx="5">
                  <c:v>19103.48</c:v>
                </c:pt>
                <c:pt idx="6">
                  <c:v>18809.07</c:v>
                </c:pt>
                <c:pt idx="7">
                  <c:v>18831.27</c:v>
                </c:pt>
                <c:pt idx="8">
                  <c:v>19006.400000000001</c:v>
                </c:pt>
                <c:pt idx="9">
                  <c:v>18308.88</c:v>
                </c:pt>
                <c:pt idx="10">
                  <c:v>18443.849999999999</c:v>
                </c:pt>
                <c:pt idx="11">
                  <c:v>18903.46</c:v>
                </c:pt>
                <c:pt idx="12">
                  <c:v>18057.29</c:v>
                </c:pt>
                <c:pt idx="13">
                  <c:v>19095.099999999999</c:v>
                </c:pt>
                <c:pt idx="14">
                  <c:v>19034.919999999998</c:v>
                </c:pt>
                <c:pt idx="15">
                  <c:v>19161.5</c:v>
                </c:pt>
                <c:pt idx="16">
                  <c:v>19131.349999999999</c:v>
                </c:pt>
                <c:pt idx="17">
                  <c:v>18637.07</c:v>
                </c:pt>
                <c:pt idx="18">
                  <c:v>19109.84</c:v>
                </c:pt>
                <c:pt idx="19">
                  <c:v>18836.439999999999</c:v>
                </c:pt>
                <c:pt idx="20">
                  <c:v>19099.68</c:v>
                </c:pt>
                <c:pt idx="21">
                  <c:v>19150.75</c:v>
                </c:pt>
                <c:pt idx="22">
                  <c:v>16203.52</c:v>
                </c:pt>
                <c:pt idx="23">
                  <c:v>18519.490000000002</c:v>
                </c:pt>
                <c:pt idx="24">
                  <c:v>19022.88</c:v>
                </c:pt>
                <c:pt idx="25">
                  <c:v>16315.02</c:v>
                </c:pt>
                <c:pt idx="26">
                  <c:v>19084.8</c:v>
                </c:pt>
                <c:pt idx="27">
                  <c:v>18675.97</c:v>
                </c:pt>
                <c:pt idx="28">
                  <c:v>18682.89</c:v>
                </c:pt>
                <c:pt idx="29">
                  <c:v>18764.29</c:v>
                </c:pt>
                <c:pt idx="30">
                  <c:v>18691.78</c:v>
                </c:pt>
                <c:pt idx="31">
                  <c:v>18716.27</c:v>
                </c:pt>
                <c:pt idx="32">
                  <c:v>19146.5</c:v>
                </c:pt>
                <c:pt idx="33">
                  <c:v>18894.86</c:v>
                </c:pt>
                <c:pt idx="34">
                  <c:v>18945.68</c:v>
                </c:pt>
                <c:pt idx="35">
                  <c:v>18561.97</c:v>
                </c:pt>
                <c:pt idx="36">
                  <c:v>19010.29</c:v>
                </c:pt>
                <c:pt idx="37">
                  <c:v>18642.97</c:v>
                </c:pt>
                <c:pt idx="38">
                  <c:v>17895.66</c:v>
                </c:pt>
                <c:pt idx="39">
                  <c:v>19111.86</c:v>
                </c:pt>
                <c:pt idx="40">
                  <c:v>18674.21</c:v>
                </c:pt>
                <c:pt idx="41">
                  <c:v>19485.13</c:v>
                </c:pt>
                <c:pt idx="42">
                  <c:v>17846.62</c:v>
                </c:pt>
                <c:pt idx="43">
                  <c:v>18710.03</c:v>
                </c:pt>
                <c:pt idx="44">
                  <c:v>18844.64</c:v>
                </c:pt>
                <c:pt idx="45">
                  <c:v>17511.400000000001</c:v>
                </c:pt>
                <c:pt idx="46">
                  <c:v>18708.07</c:v>
                </c:pt>
                <c:pt idx="47">
                  <c:v>18433.55</c:v>
                </c:pt>
                <c:pt idx="48">
                  <c:v>18799.52</c:v>
                </c:pt>
                <c:pt idx="49">
                  <c:v>18906.099999999999</c:v>
                </c:pt>
                <c:pt idx="50">
                  <c:v>18906.099999999999</c:v>
                </c:pt>
                <c:pt idx="51">
                  <c:v>0</c:v>
                </c:pt>
                <c:pt idx="52">
                  <c:v>19082.060000000001</c:v>
                </c:pt>
                <c:pt idx="53">
                  <c:v>19067</c:v>
                </c:pt>
                <c:pt idx="54">
                  <c:v>18696.03</c:v>
                </c:pt>
                <c:pt idx="55">
                  <c:v>8422.99</c:v>
                </c:pt>
                <c:pt idx="56">
                  <c:v>19005.07</c:v>
                </c:pt>
                <c:pt idx="57">
                  <c:v>18948</c:v>
                </c:pt>
                <c:pt idx="58">
                  <c:v>19060.189999999999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18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18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19</c:v>
                </c:pt>
                <c:pt idx="39">
                  <c:v>21</c:v>
                </c:pt>
                <c:pt idx="40">
                  <c:v>21</c:v>
                </c:pt>
                <c:pt idx="41">
                  <c:v>214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19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0</c:v>
                </c:pt>
                <c:pt idx="52">
                  <c:v>20</c:v>
                </c:pt>
                <c:pt idx="53" formatCode="#,##0.00">
                  <c:v>20</c:v>
                </c:pt>
                <c:pt idx="54">
                  <c:v>19</c:v>
                </c:pt>
                <c:pt idx="55">
                  <c:v>10</c:v>
                </c:pt>
                <c:pt idx="56">
                  <c:v>21</c:v>
                </c:pt>
                <c:pt idx="57">
                  <c:v>20</c:v>
                </c:pt>
                <c:pt idx="58" formatCode="0">
                  <c:v>21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19201.400000000001</c:v>
                </c:pt>
                <c:pt idx="1">
                  <c:v>18890.2</c:v>
                </c:pt>
                <c:pt idx="2">
                  <c:v>18967.34</c:v>
                </c:pt>
                <c:pt idx="3">
                  <c:v>17775.05</c:v>
                </c:pt>
                <c:pt idx="4">
                  <c:v>18940.099999999999</c:v>
                </c:pt>
                <c:pt idx="5">
                  <c:v>19133.900000000001</c:v>
                </c:pt>
                <c:pt idx="6">
                  <c:v>18878</c:v>
                </c:pt>
                <c:pt idx="7">
                  <c:v>18931</c:v>
                </c:pt>
                <c:pt idx="8">
                  <c:v>19116.080000000002</c:v>
                </c:pt>
                <c:pt idx="9">
                  <c:v>18333.650000000001</c:v>
                </c:pt>
                <c:pt idx="10">
                  <c:v>18517.46</c:v>
                </c:pt>
                <c:pt idx="11">
                  <c:v>18992.71</c:v>
                </c:pt>
                <c:pt idx="12">
                  <c:v>18146.939999999999</c:v>
                </c:pt>
                <c:pt idx="13">
                  <c:v>19061.099999999999</c:v>
                </c:pt>
                <c:pt idx="14">
                  <c:v>19024.099999999999</c:v>
                </c:pt>
                <c:pt idx="15">
                  <c:v>19337.439999999999</c:v>
                </c:pt>
                <c:pt idx="16">
                  <c:v>19231.3</c:v>
                </c:pt>
                <c:pt idx="17">
                  <c:v>18761</c:v>
                </c:pt>
                <c:pt idx="18">
                  <c:v>19169.169999999998</c:v>
                </c:pt>
                <c:pt idx="19">
                  <c:v>18963.259999999998</c:v>
                </c:pt>
                <c:pt idx="20">
                  <c:v>18806.34</c:v>
                </c:pt>
                <c:pt idx="21">
                  <c:v>19170.599999999999</c:v>
                </c:pt>
                <c:pt idx="22">
                  <c:v>16247.6</c:v>
                </c:pt>
                <c:pt idx="23">
                  <c:v>18953.21</c:v>
                </c:pt>
                <c:pt idx="24">
                  <c:v>19332.900000000001</c:v>
                </c:pt>
                <c:pt idx="25">
                  <c:v>16343.8</c:v>
                </c:pt>
                <c:pt idx="26">
                  <c:v>19247.63</c:v>
                </c:pt>
                <c:pt idx="27">
                  <c:v>18720.599999999999</c:v>
                </c:pt>
                <c:pt idx="28">
                  <c:v>18771.099999999999</c:v>
                </c:pt>
                <c:pt idx="29">
                  <c:v>18931.53</c:v>
                </c:pt>
                <c:pt idx="30">
                  <c:v>18638.900000000001</c:v>
                </c:pt>
                <c:pt idx="31">
                  <c:v>18871</c:v>
                </c:pt>
                <c:pt idx="32">
                  <c:v>19191.3</c:v>
                </c:pt>
                <c:pt idx="33">
                  <c:v>18872.099999999999</c:v>
                </c:pt>
                <c:pt idx="34">
                  <c:v>18644.43</c:v>
                </c:pt>
                <c:pt idx="35">
                  <c:v>18606.36</c:v>
                </c:pt>
                <c:pt idx="36">
                  <c:v>19114.8</c:v>
                </c:pt>
                <c:pt idx="37">
                  <c:v>18699.900000000001</c:v>
                </c:pt>
                <c:pt idx="38">
                  <c:v>17995.45</c:v>
                </c:pt>
                <c:pt idx="39">
                  <c:v>19239.5</c:v>
                </c:pt>
                <c:pt idx="40">
                  <c:v>18676.3</c:v>
                </c:pt>
                <c:pt idx="41">
                  <c:v>19533.7</c:v>
                </c:pt>
                <c:pt idx="42">
                  <c:v>17983.21</c:v>
                </c:pt>
                <c:pt idx="43">
                  <c:v>18844.8</c:v>
                </c:pt>
                <c:pt idx="44">
                  <c:v>18904.8</c:v>
                </c:pt>
                <c:pt idx="45">
                  <c:v>17607.7</c:v>
                </c:pt>
                <c:pt idx="46">
                  <c:v>18884.5</c:v>
                </c:pt>
                <c:pt idx="47">
                  <c:v>18509.169999999998</c:v>
                </c:pt>
                <c:pt idx="48">
                  <c:v>18874.73</c:v>
                </c:pt>
                <c:pt idx="49">
                  <c:v>18964.8</c:v>
                </c:pt>
                <c:pt idx="50">
                  <c:v>18964.8</c:v>
                </c:pt>
                <c:pt idx="51">
                  <c:v>0</c:v>
                </c:pt>
                <c:pt idx="52">
                  <c:v>18692.5</c:v>
                </c:pt>
                <c:pt idx="53">
                  <c:v>19067</c:v>
                </c:pt>
                <c:pt idx="54">
                  <c:v>17897.509999999998</c:v>
                </c:pt>
                <c:pt idx="55">
                  <c:v>8425.61</c:v>
                </c:pt>
                <c:pt idx="56">
                  <c:v>19107.599999999999</c:v>
                </c:pt>
                <c:pt idx="57">
                  <c:v>18941.939999999999</c:v>
                </c:pt>
                <c:pt idx="58">
                  <c:v>19119.900000000001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9.5099999999983993</c:v>
                </c:pt>
                <c:pt idx="1">
                  <c:v>27.389999999999418</c:v>
                </c:pt>
                <c:pt idx="2">
                  <c:v>-122.95999999999913</c:v>
                </c:pt>
                <c:pt idx="3">
                  <c:v>-74.18999999999869</c:v>
                </c:pt>
                <c:pt idx="4">
                  <c:v>-16.559999999997672</c:v>
                </c:pt>
                <c:pt idx="5">
                  <c:v>-30.420000000001892</c:v>
                </c:pt>
                <c:pt idx="6">
                  <c:v>-68.930000000000291</c:v>
                </c:pt>
                <c:pt idx="7">
                  <c:v>-99.729999999999563</c:v>
                </c:pt>
                <c:pt idx="8">
                  <c:v>-109.68000000000029</c:v>
                </c:pt>
                <c:pt idx="9">
                  <c:v>-24.770000000000437</c:v>
                </c:pt>
                <c:pt idx="10">
                  <c:v>-73.610000000000582</c:v>
                </c:pt>
                <c:pt idx="11">
                  <c:v>-89.25</c:v>
                </c:pt>
                <c:pt idx="12">
                  <c:v>-89.649999999997817</c:v>
                </c:pt>
                <c:pt idx="13">
                  <c:v>34</c:v>
                </c:pt>
                <c:pt idx="14">
                  <c:v>10.819999999999709</c:v>
                </c:pt>
                <c:pt idx="15">
                  <c:v>-175.93999999999869</c:v>
                </c:pt>
                <c:pt idx="16">
                  <c:v>-99.950000000000728</c:v>
                </c:pt>
                <c:pt idx="17">
                  <c:v>-123.93000000000029</c:v>
                </c:pt>
                <c:pt idx="18">
                  <c:v>-59.329999999998108</c:v>
                </c:pt>
                <c:pt idx="19">
                  <c:v>-126.81999999999971</c:v>
                </c:pt>
                <c:pt idx="20">
                  <c:v>293.34000000000015</c:v>
                </c:pt>
                <c:pt idx="21">
                  <c:v>-19.849999999998545</c:v>
                </c:pt>
                <c:pt idx="22">
                  <c:v>-44.079999999999927</c:v>
                </c:pt>
                <c:pt idx="23">
                  <c:v>-433.71999999999753</c:v>
                </c:pt>
                <c:pt idx="24">
                  <c:v>-310.02000000000044</c:v>
                </c:pt>
                <c:pt idx="25">
                  <c:v>-28.779999999998836</c:v>
                </c:pt>
                <c:pt idx="26">
                  <c:v>-162.83000000000175</c:v>
                </c:pt>
                <c:pt idx="27">
                  <c:v>-44.629999999997381</c:v>
                </c:pt>
                <c:pt idx="28">
                  <c:v>-88.209999999999127</c:v>
                </c:pt>
                <c:pt idx="29">
                  <c:v>-167.23999999999796</c:v>
                </c:pt>
                <c:pt idx="30">
                  <c:v>52.879999999997381</c:v>
                </c:pt>
                <c:pt idx="31">
                  <c:v>-154.72999999999956</c:v>
                </c:pt>
                <c:pt idx="32">
                  <c:v>-44.799999999999272</c:v>
                </c:pt>
                <c:pt idx="33">
                  <c:v>22.760000000002037</c:v>
                </c:pt>
                <c:pt idx="34">
                  <c:v>301.25</c:v>
                </c:pt>
                <c:pt idx="35">
                  <c:v>-44.389999999999418</c:v>
                </c:pt>
                <c:pt idx="36">
                  <c:v>-104.5099999999984</c:v>
                </c:pt>
                <c:pt idx="37">
                  <c:v>-56.930000000000291</c:v>
                </c:pt>
                <c:pt idx="38">
                  <c:v>-99.790000000000873</c:v>
                </c:pt>
                <c:pt idx="39">
                  <c:v>-127.63999999999942</c:v>
                </c:pt>
                <c:pt idx="40">
                  <c:v>-2.0900000000001455</c:v>
                </c:pt>
                <c:pt idx="41">
                  <c:v>-48.569999999999709</c:v>
                </c:pt>
                <c:pt idx="42">
                  <c:v>-136.59000000000015</c:v>
                </c:pt>
                <c:pt idx="43">
                  <c:v>-134.77000000000044</c:v>
                </c:pt>
                <c:pt idx="44">
                  <c:v>-60.159999999999854</c:v>
                </c:pt>
                <c:pt idx="45">
                  <c:v>-96.299999999999272</c:v>
                </c:pt>
                <c:pt idx="46">
                  <c:v>-176.43000000000029</c:v>
                </c:pt>
                <c:pt idx="47">
                  <c:v>-75.619999999998981</c:v>
                </c:pt>
                <c:pt idx="48">
                  <c:v>-75.209999999999127</c:v>
                </c:pt>
                <c:pt idx="49">
                  <c:v>-58.700000000000728</c:v>
                </c:pt>
                <c:pt idx="50">
                  <c:v>0</c:v>
                </c:pt>
                <c:pt idx="51">
                  <c:v>0</c:v>
                </c:pt>
                <c:pt idx="52">
                  <c:v>389.56000000000131</c:v>
                </c:pt>
                <c:pt idx="53">
                  <c:v>0</c:v>
                </c:pt>
                <c:pt idx="54">
                  <c:v>-798.52000000000044</c:v>
                </c:pt>
                <c:pt idx="55">
                  <c:v>2.6200000000008004</c:v>
                </c:pt>
                <c:pt idx="56">
                  <c:v>102.52999999999884</c:v>
                </c:pt>
                <c:pt idx="57">
                  <c:v>-6.0600000000013097</c:v>
                </c:pt>
                <c:pt idx="58">
                  <c:v>59.710000000002765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7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102598</c:v>
                </c:pt>
                <c:pt idx="1">
                  <c:v>101091</c:v>
                </c:pt>
                <c:pt idx="2">
                  <c:v>101326</c:v>
                </c:pt>
                <c:pt idx="3" formatCode="_(&quot;$&quot;* #,##0.00_);_(&quot;$&quot;* \(#,##0.00\);_(&quot;$&quot;* &quot;-&quot;??_);_(@_)">
                  <c:v>98506</c:v>
                </c:pt>
                <c:pt idx="4">
                  <c:v>108624</c:v>
                </c:pt>
                <c:pt idx="5">
                  <c:v>105684</c:v>
                </c:pt>
                <c:pt idx="6">
                  <c:v>109608</c:v>
                </c:pt>
                <c:pt idx="7">
                  <c:v>102916</c:v>
                </c:pt>
                <c:pt idx="8">
                  <c:v>106406</c:v>
                </c:pt>
                <c:pt idx="9">
                  <c:v>99710</c:v>
                </c:pt>
                <c:pt idx="10">
                  <c:v>100072</c:v>
                </c:pt>
                <c:pt idx="11">
                  <c:v>107744</c:v>
                </c:pt>
                <c:pt idx="12">
                  <c:v>103108</c:v>
                </c:pt>
                <c:pt idx="13">
                  <c:v>113575</c:v>
                </c:pt>
                <c:pt idx="14" formatCode="_(&quot;$&quot;* #,##0.00_);_(&quot;$&quot;* \(#,##0.00\);_(&quot;$&quot;* &quot;-&quot;??_);_(@_)">
                  <c:v>113537</c:v>
                </c:pt>
                <c:pt idx="15">
                  <c:v>116988</c:v>
                </c:pt>
                <c:pt idx="16">
                  <c:v>116397</c:v>
                </c:pt>
                <c:pt idx="17">
                  <c:v>117382</c:v>
                </c:pt>
                <c:pt idx="18">
                  <c:v>119184</c:v>
                </c:pt>
                <c:pt idx="19">
                  <c:v>114706</c:v>
                </c:pt>
                <c:pt idx="20">
                  <c:v>112969</c:v>
                </c:pt>
                <c:pt idx="21">
                  <c:v>118918</c:v>
                </c:pt>
                <c:pt idx="22">
                  <c:v>104083</c:v>
                </c:pt>
                <c:pt idx="23">
                  <c:v>113871</c:v>
                </c:pt>
                <c:pt idx="24" formatCode="_(&quot;$&quot;* #,##0.00_);_(&quot;$&quot;* \(#,##0.00\);_(&quot;$&quot;* &quot;-&quot;??_);_(@_)">
                  <c:v>117727</c:v>
                </c:pt>
                <c:pt idx="25">
                  <c:v>106218</c:v>
                </c:pt>
                <c:pt idx="26" formatCode="_(&quot;$&quot;* #,##0.00_);_(&quot;$&quot;* \(#,##0.00\);_(&quot;$&quot;* &quot;-&quot;??_);_(@_)">
                  <c:v>124324</c:v>
                </c:pt>
                <c:pt idx="27">
                  <c:v>114315</c:v>
                </c:pt>
                <c:pt idx="28">
                  <c:v>114596</c:v>
                </c:pt>
                <c:pt idx="29" formatCode="_(&quot;$&quot;* #,##0.00_);_(&quot;$&quot;* \(#,##0.00\);_(&quot;$&quot;* &quot;-&quot;??_);_(@_)">
                  <c:v>113732</c:v>
                </c:pt>
                <c:pt idx="30">
                  <c:v>113147</c:v>
                </c:pt>
                <c:pt idx="31">
                  <c:v>116345</c:v>
                </c:pt>
                <c:pt idx="32">
                  <c:v>111193</c:v>
                </c:pt>
                <c:pt idx="33">
                  <c:v>108800</c:v>
                </c:pt>
                <c:pt idx="34">
                  <c:v>103039</c:v>
                </c:pt>
                <c:pt idx="35">
                  <c:v>103397</c:v>
                </c:pt>
                <c:pt idx="36">
                  <c:v>103686</c:v>
                </c:pt>
                <c:pt idx="37">
                  <c:v>97117</c:v>
                </c:pt>
                <c:pt idx="38">
                  <c:v>89408</c:v>
                </c:pt>
                <c:pt idx="39">
                  <c:v>97891</c:v>
                </c:pt>
                <c:pt idx="40">
                  <c:v>101530</c:v>
                </c:pt>
                <c:pt idx="41">
                  <c:v>119936</c:v>
                </c:pt>
                <c:pt idx="42">
                  <c:v>93013</c:v>
                </c:pt>
                <c:pt idx="43">
                  <c:v>96030</c:v>
                </c:pt>
                <c:pt idx="44">
                  <c:v>96357</c:v>
                </c:pt>
                <c:pt idx="45">
                  <c:v>94796</c:v>
                </c:pt>
                <c:pt idx="46">
                  <c:v>94536</c:v>
                </c:pt>
                <c:pt idx="47">
                  <c:v>96181</c:v>
                </c:pt>
                <c:pt idx="48">
                  <c:v>95940</c:v>
                </c:pt>
                <c:pt idx="49">
                  <c:v>93906</c:v>
                </c:pt>
                <c:pt idx="50">
                  <c:v>94232</c:v>
                </c:pt>
                <c:pt idx="52">
                  <c:v>91794</c:v>
                </c:pt>
                <c:pt idx="53">
                  <c:v>91234</c:v>
                </c:pt>
                <c:pt idx="54">
                  <c:v>92366</c:v>
                </c:pt>
                <c:pt idx="56">
                  <c:v>98854</c:v>
                </c:pt>
                <c:pt idx="57">
                  <c:v>90710</c:v>
                </c:pt>
                <c:pt idx="58">
                  <c:v>102388</c:v>
                </c:pt>
                <c:pt idx="6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26680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28304</c:v>
                </c:pt>
                <c:pt idx="25">
                  <c:v>28304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4">
                  <c:v>30160</c:v>
                </c:pt>
                <c:pt idx="35">
                  <c:v>30160</c:v>
                </c:pt>
                <c:pt idx="36">
                  <c:v>32480</c:v>
                </c:pt>
                <c:pt idx="37">
                  <c:v>32480</c:v>
                </c:pt>
                <c:pt idx="38">
                  <c:v>32480</c:v>
                </c:pt>
                <c:pt idx="39">
                  <c:v>32480</c:v>
                </c:pt>
                <c:pt idx="40">
                  <c:v>28304</c:v>
                </c:pt>
                <c:pt idx="41">
                  <c:v>28304</c:v>
                </c:pt>
                <c:pt idx="42">
                  <c:v>30160</c:v>
                </c:pt>
                <c:pt idx="43" formatCode="[$$-80A]#,##0.00">
                  <c:v>28304</c:v>
                </c:pt>
                <c:pt idx="44" formatCode="[$$-80A]#,##0.00">
                  <c:v>28304</c:v>
                </c:pt>
                <c:pt idx="45" formatCode="[$$-80A]#,##0.00">
                  <c:v>28304</c:v>
                </c:pt>
                <c:pt idx="46" formatCode="[$$-80A]#,##0.00">
                  <c:v>30160</c:v>
                </c:pt>
                <c:pt idx="47" formatCode="[$$-80A]#,##0.00">
                  <c:v>30160</c:v>
                </c:pt>
                <c:pt idx="48" formatCode="[$$-80A]#,##0.00">
                  <c:v>30160</c:v>
                </c:pt>
                <c:pt idx="49" formatCode="[$$-80A]#,##0.00">
                  <c:v>30160</c:v>
                </c:pt>
                <c:pt idx="50" formatCode="[$$-80A]#,##0.00">
                  <c:v>30160</c:v>
                </c:pt>
                <c:pt idx="52" formatCode="[$$-80A]#,##0.00">
                  <c:v>30160</c:v>
                </c:pt>
                <c:pt idx="53" formatCode="[$$-80A]#,##0.00">
                  <c:v>34800</c:v>
                </c:pt>
                <c:pt idx="54" formatCode="[$$-80A]#,##0.00">
                  <c:v>30160</c:v>
                </c:pt>
                <c:pt idx="56" formatCode="[$$-80A]#,##0.00">
                  <c:v>30160</c:v>
                </c:pt>
                <c:pt idx="57" formatCode="[$$-80A]#,##0.00">
                  <c:v>28304</c:v>
                </c:pt>
                <c:pt idx="58" formatCode="[$$-80A]#,##0.00">
                  <c:v>28304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1552854</c:v>
                </c:pt>
                <c:pt idx="1">
                  <c:v>1552687</c:v>
                </c:pt>
                <c:pt idx="2">
                  <c:v>9000555032</c:v>
                </c:pt>
                <c:pt idx="3">
                  <c:v>9000571695</c:v>
                </c:pt>
                <c:pt idx="4">
                  <c:v>1554864</c:v>
                </c:pt>
                <c:pt idx="5">
                  <c:v>1554865</c:v>
                </c:pt>
                <c:pt idx="6">
                  <c:v>202239</c:v>
                </c:pt>
                <c:pt idx="7">
                  <c:v>202240</c:v>
                </c:pt>
                <c:pt idx="8">
                  <c:v>202237</c:v>
                </c:pt>
                <c:pt idx="9">
                  <c:v>0</c:v>
                </c:pt>
                <c:pt idx="10">
                  <c:v>9000563206</c:v>
                </c:pt>
                <c:pt idx="11">
                  <c:v>0</c:v>
                </c:pt>
                <c:pt idx="12">
                  <c:v>9000571696</c:v>
                </c:pt>
                <c:pt idx="13">
                  <c:v>1555582</c:v>
                </c:pt>
                <c:pt idx="14">
                  <c:v>1555583</c:v>
                </c:pt>
                <c:pt idx="15">
                  <c:v>9000582273</c:v>
                </c:pt>
                <c:pt idx="16">
                  <c:v>9000577784</c:v>
                </c:pt>
                <c:pt idx="17" formatCode="0">
                  <c:v>202249</c:v>
                </c:pt>
                <c:pt idx="18">
                  <c:v>202247</c:v>
                </c:pt>
                <c:pt idx="19">
                  <c:v>9000583016</c:v>
                </c:pt>
                <c:pt idx="20">
                  <c:v>9000583906</c:v>
                </c:pt>
                <c:pt idx="21">
                  <c:v>1557191</c:v>
                </c:pt>
                <c:pt idx="22">
                  <c:v>202252</c:v>
                </c:pt>
                <c:pt idx="23">
                  <c:v>9000586817</c:v>
                </c:pt>
                <c:pt idx="24">
                  <c:v>9000583017</c:v>
                </c:pt>
                <c:pt idx="25">
                  <c:v>1558443</c:v>
                </c:pt>
                <c:pt idx="26">
                  <c:v>9000589699</c:v>
                </c:pt>
                <c:pt idx="27">
                  <c:v>1558444</c:v>
                </c:pt>
                <c:pt idx="28">
                  <c:v>1558445</c:v>
                </c:pt>
                <c:pt idx="29">
                  <c:v>9000596039</c:v>
                </c:pt>
                <c:pt idx="30">
                  <c:v>202255</c:v>
                </c:pt>
                <c:pt idx="31">
                  <c:v>202254</c:v>
                </c:pt>
                <c:pt idx="32">
                  <c:v>202256</c:v>
                </c:pt>
                <c:pt idx="33">
                  <c:v>9000600012</c:v>
                </c:pt>
                <c:pt idx="34">
                  <c:v>9000600011</c:v>
                </c:pt>
                <c:pt idx="35">
                  <c:v>9000600013</c:v>
                </c:pt>
                <c:pt idx="36">
                  <c:v>1560175</c:v>
                </c:pt>
                <c:pt idx="37">
                  <c:v>1560176</c:v>
                </c:pt>
                <c:pt idx="38">
                  <c:v>9000606389</c:v>
                </c:pt>
                <c:pt idx="39">
                  <c:v>1560924</c:v>
                </c:pt>
                <c:pt idx="40">
                  <c:v>1560174</c:v>
                </c:pt>
                <c:pt idx="41">
                  <c:v>1559160</c:v>
                </c:pt>
                <c:pt idx="42">
                  <c:v>9000606388</c:v>
                </c:pt>
                <c:pt idx="43">
                  <c:v>202259</c:v>
                </c:pt>
                <c:pt idx="44">
                  <c:v>1560925</c:v>
                </c:pt>
                <c:pt idx="45">
                  <c:v>9000602937</c:v>
                </c:pt>
                <c:pt idx="46">
                  <c:v>202265</c:v>
                </c:pt>
                <c:pt idx="47">
                  <c:v>0</c:v>
                </c:pt>
                <c:pt idx="48">
                  <c:v>202264</c:v>
                </c:pt>
                <c:pt idx="49">
                  <c:v>1561948</c:v>
                </c:pt>
                <c:pt idx="50">
                  <c:v>0</c:v>
                </c:pt>
                <c:pt idx="52">
                  <c:v>9000617169</c:v>
                </c:pt>
                <c:pt idx="53">
                  <c:v>9000619282</c:v>
                </c:pt>
                <c:pt idx="54">
                  <c:v>9000619281</c:v>
                </c:pt>
                <c:pt idx="55">
                  <c:v>0</c:v>
                </c:pt>
                <c:pt idx="56">
                  <c:v>1562727</c:v>
                </c:pt>
                <c:pt idx="57">
                  <c:v>9000619713</c:v>
                </c:pt>
                <c:pt idx="58">
                  <c:v>1562907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3915</c:v>
                </c:pt>
                <c:pt idx="1">
                  <c:v>3828</c:v>
                </c:pt>
                <c:pt idx="2">
                  <c:v>3857</c:v>
                </c:pt>
                <c:pt idx="3">
                  <c:v>3770</c:v>
                </c:pt>
                <c:pt idx="4">
                  <c:v>4060</c:v>
                </c:pt>
                <c:pt idx="5">
                  <c:v>4002</c:v>
                </c:pt>
                <c:pt idx="6">
                  <c:v>3944</c:v>
                </c:pt>
                <c:pt idx="7">
                  <c:v>3944</c:v>
                </c:pt>
                <c:pt idx="8">
                  <c:v>3944</c:v>
                </c:pt>
                <c:pt idx="9">
                  <c:v>3741</c:v>
                </c:pt>
                <c:pt idx="10">
                  <c:v>3828</c:v>
                </c:pt>
                <c:pt idx="11">
                  <c:v>3944</c:v>
                </c:pt>
                <c:pt idx="12">
                  <c:v>4002</c:v>
                </c:pt>
                <c:pt idx="13">
                  <c:v>4118</c:v>
                </c:pt>
                <c:pt idx="14">
                  <c:v>4118</c:v>
                </c:pt>
                <c:pt idx="15">
                  <c:v>4408</c:v>
                </c:pt>
                <c:pt idx="16">
                  <c:v>4408</c:v>
                </c:pt>
                <c:pt idx="17">
                  <c:v>4234</c:v>
                </c:pt>
                <c:pt idx="18">
                  <c:v>4553</c:v>
                </c:pt>
                <c:pt idx="19">
                  <c:v>4350</c:v>
                </c:pt>
                <c:pt idx="20">
                  <c:v>4350</c:v>
                </c:pt>
                <c:pt idx="21">
                  <c:v>4408</c:v>
                </c:pt>
                <c:pt idx="22">
                  <c:v>3915</c:v>
                </c:pt>
                <c:pt idx="23">
                  <c:v>4321</c:v>
                </c:pt>
                <c:pt idx="24">
                  <c:v>4408</c:v>
                </c:pt>
                <c:pt idx="25">
                  <c:v>3857</c:v>
                </c:pt>
                <c:pt idx="26">
                  <c:v>4582</c:v>
                </c:pt>
                <c:pt idx="27">
                  <c:v>4321</c:v>
                </c:pt>
                <c:pt idx="29">
                  <c:v>4321</c:v>
                </c:pt>
                <c:pt idx="30">
                  <c:v>4321</c:v>
                </c:pt>
                <c:pt idx="31">
                  <c:v>4321</c:v>
                </c:pt>
                <c:pt idx="32">
                  <c:v>4379</c:v>
                </c:pt>
                <c:pt idx="33">
                  <c:v>3944</c:v>
                </c:pt>
                <c:pt idx="34">
                  <c:v>3857</c:v>
                </c:pt>
                <c:pt idx="35">
                  <c:v>3857</c:v>
                </c:pt>
                <c:pt idx="36">
                  <c:v>3915</c:v>
                </c:pt>
                <c:pt idx="37">
                  <c:v>3654</c:v>
                </c:pt>
                <c:pt idx="38">
                  <c:v>3480</c:v>
                </c:pt>
                <c:pt idx="39">
                  <c:v>3741</c:v>
                </c:pt>
                <c:pt idx="40">
                  <c:v>3857</c:v>
                </c:pt>
                <c:pt idx="41">
                  <c:v>4408</c:v>
                </c:pt>
                <c:pt idx="42">
                  <c:v>3480</c:v>
                </c:pt>
                <c:pt idx="43">
                  <c:v>3770</c:v>
                </c:pt>
                <c:pt idx="44">
                  <c:v>3683</c:v>
                </c:pt>
                <c:pt idx="45">
                  <c:v>3625</c:v>
                </c:pt>
                <c:pt idx="46">
                  <c:v>3654</c:v>
                </c:pt>
                <c:pt idx="47">
                  <c:v>3480</c:v>
                </c:pt>
                <c:pt idx="48">
                  <c:v>3654</c:v>
                </c:pt>
                <c:pt idx="49">
                  <c:v>3567</c:v>
                </c:pt>
                <c:pt idx="50">
                  <c:v>3480</c:v>
                </c:pt>
                <c:pt idx="51">
                  <c:v>0</c:v>
                </c:pt>
                <c:pt idx="52">
                  <c:v>3538</c:v>
                </c:pt>
                <c:pt idx="53">
                  <c:v>3596</c:v>
                </c:pt>
                <c:pt idx="54">
                  <c:v>3538</c:v>
                </c:pt>
                <c:pt idx="55">
                  <c:v>0</c:v>
                </c:pt>
                <c:pt idx="56">
                  <c:v>3596</c:v>
                </c:pt>
                <c:pt idx="57">
                  <c:v>3538</c:v>
                </c:pt>
                <c:pt idx="58">
                  <c:v>3596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>
                  <c:v>530990.17482000007</c:v>
                </c:pt>
                <c:pt idx="1">
                  <c:v>518604.46304999996</c:v>
                </c:pt>
                <c:pt idx="2">
                  <c:v>516232.5183</c:v>
                </c:pt>
                <c:pt idx="3">
                  <c:v>495106.40902999998</c:v>
                </c:pt>
                <c:pt idx="4">
                  <c:v>549677.92319999996</c:v>
                </c:pt>
                <c:pt idx="5">
                  <c:v>541004.27745000005</c:v>
                </c:pt>
                <c:pt idx="6">
                  <c:v>528562.10259999998</c:v>
                </c:pt>
                <c:pt idx="7">
                  <c:v>533071.55594999995</c:v>
                </c:pt>
                <c:pt idx="8">
                  <c:v>530797.85459999996</c:v>
                </c:pt>
                <c:pt idx="9" formatCode="_(&quot;$&quot;* #,##0.00_);_(&quot;$&quot;* \(#,##0.00\);_(&quot;$&quot;* &quot;-&quot;??_);_(@_)">
                  <c:v>504206.99735999998</c:v>
                </c:pt>
                <c:pt idx="10" formatCode="_(&quot;$&quot;* #,##0.00_);_(&quot;$&quot;* \(#,##0.00\);_(&quot;$&quot;* &quot;-&quot;??_);_(@_)">
                  <c:v>510177.77272000007</c:v>
                </c:pt>
                <c:pt idx="11">
                  <c:v>530005.43530000001</c:v>
                </c:pt>
                <c:pt idx="12">
                  <c:v>517816.94828000001</c:v>
                </c:pt>
                <c:pt idx="13">
                  <c:v>562318.24489999993</c:v>
                </c:pt>
                <c:pt idx="14">
                  <c:v>561745.54044000001</c:v>
                </c:pt>
                <c:pt idx="15">
                  <c:v>588021.61410999997</c:v>
                </c:pt>
                <c:pt idx="16">
                  <c:v>584794.51422000001</c:v>
                </c:pt>
                <c:pt idx="17">
                  <c:v>580110.28859999997</c:v>
                </c:pt>
                <c:pt idx="18">
                  <c:v>608783.38928</c:v>
                </c:pt>
                <c:pt idx="19">
                  <c:v>567324.72199999995</c:v>
                </c:pt>
                <c:pt idx="20">
                  <c:v>566537.82074999996</c:v>
                </c:pt>
                <c:pt idx="21">
                  <c:v>601401.35855999996</c:v>
                </c:pt>
                <c:pt idx="22">
                  <c:v>517268.95630999998</c:v>
                </c:pt>
                <c:pt idx="23">
                  <c:v>568593.37989999994</c:v>
                </c:pt>
                <c:pt idx="24">
                  <c:v>578382.55499999993</c:v>
                </c:pt>
                <c:pt idx="25">
                  <c:v>520239.42225999996</c:v>
                </c:pt>
                <c:pt idx="26">
                  <c:v>594276.86174999992</c:v>
                </c:pt>
                <c:pt idx="27">
                  <c:v>580579.69423999998</c:v>
                </c:pt>
                <c:pt idx="28">
                  <c:v>582141.18088</c:v>
                </c:pt>
                <c:pt idx="29">
                  <c:v>564565.06979999994</c:v>
                </c:pt>
                <c:pt idx="30" formatCode="&quot;$&quot;#,##0.00">
                  <c:v>566444.95794999995</c:v>
                </c:pt>
                <c:pt idx="31" formatCode="&quot;$&quot;#,##0.00">
                  <c:v>571466.94895999995</c:v>
                </c:pt>
                <c:pt idx="32" formatCode="&quot;$&quot;#,##0.00">
                  <c:v>582294.90238999994</c:v>
                </c:pt>
                <c:pt idx="33" formatCode="&quot;$&quot;#,##0.00">
                  <c:v>508950.39310000004</c:v>
                </c:pt>
                <c:pt idx="34" formatCode="&quot;$&quot;#,##0.00">
                  <c:v>498619.25386</c:v>
                </c:pt>
                <c:pt idx="35">
                  <c:v>497625.50744000002</c:v>
                </c:pt>
                <c:pt idx="36">
                  <c:v>532532.78045000008</c:v>
                </c:pt>
                <c:pt idx="37">
                  <c:v>485212.88250000001</c:v>
                </c:pt>
                <c:pt idx="38">
                  <c:v>446867.47752000007</c:v>
                </c:pt>
                <c:pt idx="39" formatCode="&quot;$&quot;#,##0.00">
                  <c:v>508107.01630000002</c:v>
                </c:pt>
                <c:pt idx="40" formatCode="&quot;$&quot;#,##0.00">
                  <c:v>520312.696</c:v>
                </c:pt>
                <c:pt idx="41" formatCode="&quot;$&quot;#,##0.00">
                  <c:v>601093.03200000001</c:v>
                </c:pt>
                <c:pt idx="42" formatCode="&quot;$&quot;#,##0.00">
                  <c:v>447084.20481000002</c:v>
                </c:pt>
                <c:pt idx="43" formatCode="&quot;$&quot;#,##0.00">
                  <c:v>485743.81179999997</c:v>
                </c:pt>
                <c:pt idx="44" formatCode="&quot;$&quot;#,##0.00">
                  <c:v>499266.50344999996</c:v>
                </c:pt>
                <c:pt idx="45" formatCode="&quot;$&quot;#,##0.00">
                  <c:v>469295.57759999996</c:v>
                </c:pt>
                <c:pt idx="46" formatCode="&quot;$&quot;#,##0.00">
                  <c:v>470394.46649999992</c:v>
                </c:pt>
                <c:pt idx="47" formatCode="&quot;$&quot;#,##0.00">
                  <c:v>462980.90114000003</c:v>
                </c:pt>
                <c:pt idx="48" formatCode="&quot;$&quot;#,##0.00">
                  <c:v>474095.05919999996</c:v>
                </c:pt>
                <c:pt idx="49" formatCode="&quot;$&quot;#,##0.00">
                  <c:v>480754.56839999999</c:v>
                </c:pt>
                <c:pt idx="50" formatCode="&quot;$&quot;#,##0.00">
                  <c:v>462677.77878399997</c:v>
                </c:pt>
                <c:pt idx="52" formatCode="&quot;$&quot;#,##0.00">
                  <c:v>453774.97812000004</c:v>
                </c:pt>
                <c:pt idx="53" formatCode="&quot;$&quot;#,##0.00">
                  <c:v>460854.44017999998</c:v>
                </c:pt>
                <c:pt idx="54" formatCode="&quot;$&quot;#,##0.00">
                  <c:v>434039.42879999999</c:v>
                </c:pt>
                <c:pt idx="55" formatCode="&quot;$&quot;#,##0.00">
                  <c:v>299109.18</c:v>
                </c:pt>
                <c:pt idx="56" formatCode="&quot;$&quot;#,##0.00">
                  <c:v>483186.6912</c:v>
                </c:pt>
                <c:pt idx="57" formatCode="&quot;$&quot;#,##0.00">
                  <c:v>459690.21989999997</c:v>
                </c:pt>
                <c:pt idx="58" formatCode="&quot;$&quot;#,##0.00">
                  <c:v>478776.6936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667663.17482000007</c:v>
                </c:pt>
                <c:pt idx="1">
                  <c:v>653683.4630499999</c:v>
                </c:pt>
                <c:pt idx="2">
                  <c:v>648095.5183</c:v>
                </c:pt>
                <c:pt idx="3">
                  <c:v>627542.40902999998</c:v>
                </c:pt>
                <c:pt idx="4">
                  <c:v>692521.92319999996</c:v>
                </c:pt>
                <c:pt idx="5">
                  <c:v>680850.27745000005</c:v>
                </c:pt>
                <c:pt idx="6">
                  <c:v>672274.10259999998</c:v>
                </c:pt>
                <c:pt idx="7">
                  <c:v>670091.55594999995</c:v>
                </c:pt>
                <c:pt idx="8">
                  <c:v>671307.85459999996</c:v>
                </c:pt>
                <c:pt idx="9">
                  <c:v>637817.99735999992</c:v>
                </c:pt>
                <c:pt idx="10">
                  <c:v>644237.77272000001</c:v>
                </c:pt>
                <c:pt idx="11">
                  <c:v>671853.43530000001</c:v>
                </c:pt>
                <c:pt idx="12">
                  <c:v>655086.94828000001</c:v>
                </c:pt>
                <c:pt idx="13">
                  <c:v>710171.24489999993</c:v>
                </c:pt>
                <c:pt idx="14">
                  <c:v>709560.54044000001</c:v>
                </c:pt>
                <c:pt idx="15">
                  <c:v>739577.61410999997</c:v>
                </c:pt>
                <c:pt idx="16">
                  <c:v>735759.51422000001</c:v>
                </c:pt>
                <c:pt idx="17">
                  <c:v>731886.28859999997</c:v>
                </c:pt>
                <c:pt idx="18">
                  <c:v>762680.38928</c:v>
                </c:pt>
                <c:pt idx="19">
                  <c:v>716540.72199999995</c:v>
                </c:pt>
                <c:pt idx="20">
                  <c:v>714016.82074999996</c:v>
                </c:pt>
                <c:pt idx="21">
                  <c:v>754887.35855999996</c:v>
                </c:pt>
                <c:pt idx="22">
                  <c:v>655426.95631000004</c:v>
                </c:pt>
                <c:pt idx="23">
                  <c:v>716945.37989999994</c:v>
                </c:pt>
                <c:pt idx="24">
                  <c:v>728821.55499999993</c:v>
                </c:pt>
                <c:pt idx="25">
                  <c:v>658618.4222599999</c:v>
                </c:pt>
                <c:pt idx="26">
                  <c:v>753342.86174999992</c:v>
                </c:pt>
                <c:pt idx="27">
                  <c:v>729375.69423999998</c:v>
                </c:pt>
                <c:pt idx="28">
                  <c:v>726897.18088</c:v>
                </c:pt>
                <c:pt idx="29">
                  <c:v>712778.06979999994</c:v>
                </c:pt>
                <c:pt idx="30">
                  <c:v>714072.95794999995</c:v>
                </c:pt>
                <c:pt idx="31">
                  <c:v>717971.94895999995</c:v>
                </c:pt>
                <c:pt idx="32">
                  <c:v>723647.90238999994</c:v>
                </c:pt>
                <c:pt idx="33">
                  <c:v>647910.39309999999</c:v>
                </c:pt>
                <c:pt idx="34">
                  <c:v>635675.25386000006</c:v>
                </c:pt>
                <c:pt idx="35">
                  <c:v>635039.50744000007</c:v>
                </c:pt>
                <c:pt idx="36">
                  <c:v>672613.78045000008</c:v>
                </c:pt>
                <c:pt idx="37">
                  <c:v>618463.88250000007</c:v>
                </c:pt>
                <c:pt idx="38">
                  <c:v>568755.47752000007</c:v>
                </c:pt>
                <c:pt idx="39">
                  <c:v>638478.01630000002</c:v>
                </c:pt>
                <c:pt idx="40">
                  <c:v>650146.696</c:v>
                </c:pt>
                <c:pt idx="41">
                  <c:v>749333.03200000001</c:v>
                </c:pt>
                <c:pt idx="42">
                  <c:v>570257.20481000002</c:v>
                </c:pt>
                <c:pt idx="43">
                  <c:v>610077.81180000002</c:v>
                </c:pt>
                <c:pt idx="44">
                  <c:v>623927.50344999996</c:v>
                </c:pt>
                <c:pt idx="45">
                  <c:v>592395.57759999996</c:v>
                </c:pt>
                <c:pt idx="46">
                  <c:v>595090.46649999986</c:v>
                </c:pt>
                <c:pt idx="47">
                  <c:v>589321.90113999997</c:v>
                </c:pt>
                <c:pt idx="48">
                  <c:v>600195.05920000002</c:v>
                </c:pt>
                <c:pt idx="49">
                  <c:v>604820.56839999999</c:v>
                </c:pt>
                <c:pt idx="50">
                  <c:v>587069.77878399997</c:v>
                </c:pt>
                <c:pt idx="51">
                  <c:v>0</c:v>
                </c:pt>
                <c:pt idx="52">
                  <c:v>575728.9781200001</c:v>
                </c:pt>
                <c:pt idx="53">
                  <c:v>586888.44017999992</c:v>
                </c:pt>
                <c:pt idx="54">
                  <c:v>556565.42879999999</c:v>
                </c:pt>
                <c:pt idx="55">
                  <c:v>299109.18</c:v>
                </c:pt>
                <c:pt idx="56">
                  <c:v>612200.6912</c:v>
                </c:pt>
                <c:pt idx="57">
                  <c:v>578704.21989999991</c:v>
                </c:pt>
                <c:pt idx="58">
                  <c:v>609468.6936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34.771588260231027</c:v>
                </c:pt>
                <c:pt idx="1">
                  <c:v>34.604369622873229</c:v>
                </c:pt>
                <c:pt idx="2">
                  <c:v>34.269025192778749</c:v>
                </c:pt>
                <c:pt idx="3">
                  <c:v>35.404677569402054</c:v>
                </c:pt>
                <c:pt idx="4">
                  <c:v>36.663794446703029</c:v>
                </c:pt>
                <c:pt idx="5">
                  <c:v>35.683455408986148</c:v>
                </c:pt>
                <c:pt idx="6">
                  <c:v>35.711510890984215</c:v>
                </c:pt>
                <c:pt idx="7">
                  <c:v>35.496521892662827</c:v>
                </c:pt>
                <c:pt idx="8">
                  <c:v>35.217443251963786</c:v>
                </c:pt>
                <c:pt idx="9">
                  <c:v>34.88947167421653</c:v>
                </c:pt>
                <c:pt idx="10">
                  <c:v>34.89082837062967</c:v>
                </c:pt>
                <c:pt idx="11">
                  <c:v>35.474279673622149</c:v>
                </c:pt>
                <c:pt idx="12">
                  <c:v>36.199030926426168</c:v>
                </c:pt>
                <c:pt idx="13">
                  <c:v>37.357621275792056</c:v>
                </c:pt>
                <c:pt idx="14">
                  <c:v>37.397982056444199</c:v>
                </c:pt>
                <c:pt idx="15">
                  <c:v>38.345890568244819</c:v>
                </c:pt>
                <c:pt idx="16">
                  <c:v>38.358438806528945</c:v>
                </c:pt>
                <c:pt idx="17">
                  <c:v>39.111048909972816</c:v>
                </c:pt>
                <c:pt idx="18">
                  <c:v>39.886823805099546</c:v>
                </c:pt>
                <c:pt idx="19">
                  <c:v>37.88573525860005</c:v>
                </c:pt>
                <c:pt idx="20">
                  <c:v>38.066814422689369</c:v>
                </c:pt>
                <c:pt idx="21">
                  <c:v>39.477346486807924</c:v>
                </c:pt>
                <c:pt idx="22">
                  <c:v>40.439924438686333</c:v>
                </c:pt>
                <c:pt idx="23">
                  <c:v>37.927121627418259</c:v>
                </c:pt>
                <c:pt idx="24">
                  <c:v>37.798511604570443</c:v>
                </c:pt>
                <c:pt idx="25">
                  <c:v>40.397753414750547</c:v>
                </c:pt>
                <c:pt idx="26">
                  <c:v>39.239512851712128</c:v>
                </c:pt>
                <c:pt idx="27">
                  <c:v>39.061128074954865</c:v>
                </c:pt>
                <c:pt idx="28">
                  <c:v>38.824271932918158</c:v>
                </c:pt>
                <c:pt idx="29">
                  <c:v>37.750315098674008</c:v>
                </c:pt>
                <c:pt idx="30">
                  <c:v>38.410895919287078</c:v>
                </c:pt>
                <c:pt idx="31">
                  <c:v>38.146311746065393</c:v>
                </c:pt>
                <c:pt idx="32">
                  <c:v>37.807080937195501</c:v>
                </c:pt>
                <c:pt idx="33">
                  <c:v>34.431653239438113</c:v>
                </c:pt>
                <c:pt idx="34">
                  <c:v>34.194646704672657</c:v>
                </c:pt>
                <c:pt idx="35">
                  <c:v>34.230238662478854</c:v>
                </c:pt>
                <c:pt idx="36">
                  <c:v>35.288114992048051</c:v>
                </c:pt>
                <c:pt idx="37">
                  <c:v>33.173111754608314</c:v>
                </c:pt>
                <c:pt idx="38">
                  <c:v>31.705515700913292</c:v>
                </c:pt>
                <c:pt idx="39">
                  <c:v>33.285790498713588</c:v>
                </c:pt>
                <c:pt idx="40">
                  <c:v>34.911322156958285</c:v>
                </c:pt>
                <c:pt idx="41">
                  <c:v>38.461039229639034</c:v>
                </c:pt>
                <c:pt idx="42">
                  <c:v>31.810534704871937</c:v>
                </c:pt>
                <c:pt idx="43">
                  <c:v>32.373801356342334</c:v>
                </c:pt>
                <c:pt idx="44">
                  <c:v>33.003655338855737</c:v>
                </c:pt>
                <c:pt idx="45">
                  <c:v>33.64412033371763</c:v>
                </c:pt>
                <c:pt idx="46">
                  <c:v>31.512111334692467</c:v>
                </c:pt>
                <c:pt idx="47">
                  <c:v>31.839455855665058</c:v>
                </c:pt>
                <c:pt idx="48">
                  <c:v>31.798868603683339</c:v>
                </c:pt>
                <c:pt idx="49">
                  <c:v>31.89174514890745</c:v>
                </c:pt>
                <c:pt idx="50">
                  <c:v>30.955759026406817</c:v>
                </c:pt>
                <c:pt idx="51">
                  <c:v>0</c:v>
                </c:pt>
                <c:pt idx="52">
                  <c:v>30.799998829477069</c:v>
                </c:pt>
                <c:pt idx="53">
                  <c:v>30.780324129648079</c:v>
                </c:pt>
                <c:pt idx="54">
                  <c:v>31.097366549872024</c:v>
                </c:pt>
                <c:pt idx="55">
                  <c:v>35.500002967144212</c:v>
                </c:pt>
                <c:pt idx="56">
                  <c:v>32.039643450773518</c:v>
                </c:pt>
                <c:pt idx="57">
                  <c:v>30.551475714736714</c:v>
                </c:pt>
                <c:pt idx="58">
                  <c:v>31.876144414981248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618464"/>
        <c:axId val="354618856"/>
      </c:barChart>
      <c:catAx>
        <c:axId val="3546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618856"/>
        <c:crosses val="autoZero"/>
        <c:auto val="1"/>
        <c:lblAlgn val="ctr"/>
        <c:lblOffset val="100"/>
        <c:noMultiLvlLbl val="0"/>
      </c:catAx>
      <c:valAx>
        <c:axId val="3546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4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6"/>
  <sheetViews>
    <sheetView topLeftCell="F43" zoomScaleNormal="100" workbookViewId="0">
      <selection activeCell="P64" sqref="P64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5.5703125" customWidth="1"/>
    <col min="4" max="4" width="15.42578125" style="65" bestFit="1" customWidth="1"/>
    <col min="5" max="5" width="11.85546875" style="126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3" customWidth="1"/>
    <col min="11" max="11" width="14.140625" bestFit="1" customWidth="1"/>
    <col min="12" max="12" width="14.140625" style="24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3" customWidth="1"/>
    <col min="17" max="17" width="16.5703125" style="126" bestFit="1" customWidth="1"/>
    <col min="18" max="18" width="13.42578125" style="30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6" t="s">
        <v>210</v>
      </c>
      <c r="C1" s="68"/>
      <c r="D1" s="183"/>
      <c r="E1" s="148"/>
      <c r="F1" s="82"/>
      <c r="G1" s="81"/>
      <c r="H1" s="81"/>
      <c r="I1" s="81"/>
      <c r="K1" s="841" t="s">
        <v>26</v>
      </c>
      <c r="L1" s="248"/>
      <c r="M1" s="843" t="s">
        <v>27</v>
      </c>
      <c r="N1" s="88"/>
      <c r="O1" s="230"/>
      <c r="P1" s="175" t="s">
        <v>38</v>
      </c>
      <c r="Q1" s="845" t="s">
        <v>28</v>
      </c>
      <c r="R1" s="301"/>
    </row>
    <row r="2" spans="1:29" ht="17.25" thickTop="1" thickBot="1" x14ac:dyDescent="0.3">
      <c r="A2" s="44"/>
      <c r="B2" s="86" t="s">
        <v>0</v>
      </c>
      <c r="C2" s="45" t="s">
        <v>10</v>
      </c>
      <c r="D2" s="33"/>
      <c r="E2" s="149" t="s">
        <v>25</v>
      </c>
      <c r="F2" s="84" t="s">
        <v>3</v>
      </c>
      <c r="G2" s="107" t="s">
        <v>8</v>
      </c>
      <c r="H2" s="85" t="s">
        <v>5</v>
      </c>
      <c r="I2" s="86" t="s">
        <v>6</v>
      </c>
      <c r="K2" s="842"/>
      <c r="L2" s="250" t="s">
        <v>29</v>
      </c>
      <c r="M2" s="844"/>
      <c r="N2" s="5" t="s">
        <v>29</v>
      </c>
      <c r="O2" s="93" t="s">
        <v>30</v>
      </c>
      <c r="P2" s="176" t="s">
        <v>39</v>
      </c>
      <c r="Q2" s="846"/>
      <c r="R2" s="302" t="s">
        <v>29</v>
      </c>
    </row>
    <row r="3" spans="1:29" s="330" customFormat="1" ht="15.75" thickTop="1" x14ac:dyDescent="0.25">
      <c r="A3" s="331"/>
      <c r="B3" s="309">
        <f>PIERNA!B3</f>
        <v>0</v>
      </c>
      <c r="C3" s="309">
        <f>PIERNA!C3</f>
        <v>0</v>
      </c>
      <c r="D3" s="242">
        <f>PIERNA!D3</f>
        <v>0</v>
      </c>
      <c r="E3" s="332">
        <f>PIERNA!E3</f>
        <v>0</v>
      </c>
      <c r="F3" s="300">
        <f>PIERNA!F3</f>
        <v>0</v>
      </c>
      <c r="G3" s="182">
        <f>PIERNA!G3</f>
        <v>0</v>
      </c>
      <c r="H3" s="64">
        <f>PIERNA!H3</f>
        <v>0</v>
      </c>
      <c r="I3" s="333">
        <f>PIERNA!I3</f>
        <v>0</v>
      </c>
      <c r="J3" s="441"/>
      <c r="K3" s="458"/>
      <c r="L3" s="588"/>
      <c r="M3" s="101"/>
      <c r="N3" s="589"/>
      <c r="O3" s="467"/>
      <c r="P3" s="468"/>
      <c r="Q3" s="465"/>
      <c r="R3" s="590"/>
      <c r="S3" s="103">
        <f t="shared" ref="S3:S31" si="0">Q3+M3+K3+P3</f>
        <v>0</v>
      </c>
      <c r="T3" s="103" t="e">
        <f>S3/H3</f>
        <v>#DIV/0!</v>
      </c>
    </row>
    <row r="4" spans="1:29" s="330" customFormat="1" x14ac:dyDescent="0.25">
      <c r="A4" s="331">
        <v>1</v>
      </c>
      <c r="B4" s="309" t="str">
        <f>PIERNA!B4</f>
        <v>SEABOARD FOODS</v>
      </c>
      <c r="C4" s="309" t="str">
        <f>PIERNA!C4</f>
        <v>Seaboard</v>
      </c>
      <c r="D4" s="185" t="str">
        <f>PIERNA!D4</f>
        <v>PED. 31744093</v>
      </c>
      <c r="E4" s="150">
        <f>PIERNA!E4</f>
        <v>43435</v>
      </c>
      <c r="F4" s="300">
        <f>PIERNA!F4</f>
        <v>19210.91</v>
      </c>
      <c r="G4" s="182">
        <f>PIERNA!G4</f>
        <v>21</v>
      </c>
      <c r="H4" s="64">
        <f>PIERNA!H4</f>
        <v>19201.400000000001</v>
      </c>
      <c r="I4" s="333">
        <f>PIERNA!I4</f>
        <v>9.5099999999983993</v>
      </c>
      <c r="J4" s="454" t="s">
        <v>231</v>
      </c>
      <c r="K4" s="655">
        <v>102598</v>
      </c>
      <c r="L4" s="656" t="s">
        <v>237</v>
      </c>
      <c r="M4" s="465">
        <v>30160</v>
      </c>
      <c r="N4" s="466" t="s">
        <v>241</v>
      </c>
      <c r="O4" s="669">
        <v>1552854</v>
      </c>
      <c r="P4" s="468">
        <v>3915</v>
      </c>
      <c r="Q4" s="653">
        <f>25708.83*20.654</f>
        <v>530990.17482000007</v>
      </c>
      <c r="R4" s="654" t="s">
        <v>240</v>
      </c>
      <c r="S4" s="103">
        <f t="shared" si="0"/>
        <v>667663.17482000007</v>
      </c>
      <c r="T4" s="103">
        <f t="shared" ref="T4:T5" si="1">S4/H4</f>
        <v>34.771588260231027</v>
      </c>
      <c r="U4" s="632"/>
    </row>
    <row r="5" spans="1:29" s="330" customFormat="1" x14ac:dyDescent="0.25">
      <c r="A5" s="331">
        <v>2</v>
      </c>
      <c r="B5" s="309" t="str">
        <f>PIERNA!B5</f>
        <v>SEABOARD FOODS</v>
      </c>
      <c r="C5" s="309" t="str">
        <f>PIERNA!C5</f>
        <v>Seaboard</v>
      </c>
      <c r="D5" s="185" t="str">
        <f>PIERNA!D5</f>
        <v>PED. 31747900</v>
      </c>
      <c r="E5" s="150">
        <f>PIERNA!E5</f>
        <v>43435</v>
      </c>
      <c r="F5" s="300">
        <f>PIERNA!F5</f>
        <v>18917.59</v>
      </c>
      <c r="G5" s="182">
        <f>PIERNA!G5</f>
        <v>21</v>
      </c>
      <c r="H5" s="64">
        <f>PIERNA!H5</f>
        <v>18890.2</v>
      </c>
      <c r="I5" s="333">
        <f>PIERNA!I5</f>
        <v>27.389999999999418</v>
      </c>
      <c r="J5" s="454" t="s">
        <v>232</v>
      </c>
      <c r="K5" s="655">
        <v>101091</v>
      </c>
      <c r="L5" s="656" t="s">
        <v>237</v>
      </c>
      <c r="M5" s="465">
        <v>30160</v>
      </c>
      <c r="N5" s="466" t="s">
        <v>241</v>
      </c>
      <c r="O5" s="669">
        <v>1552687</v>
      </c>
      <c r="P5" s="468">
        <v>3828</v>
      </c>
      <c r="Q5" s="653">
        <f>25291.61*20.505</f>
        <v>518604.46304999996</v>
      </c>
      <c r="R5" s="654" t="s">
        <v>239</v>
      </c>
      <c r="S5" s="103">
        <f t="shared" si="0"/>
        <v>653683.4630499999</v>
      </c>
      <c r="T5" s="103">
        <f t="shared" si="1"/>
        <v>34.604369622873229</v>
      </c>
      <c r="U5" s="480"/>
    </row>
    <row r="6" spans="1:29" s="330" customFormat="1" x14ac:dyDescent="0.25">
      <c r="A6" s="331">
        <v>3</v>
      </c>
      <c r="B6" s="309" t="str">
        <f>PIERNA!B6</f>
        <v>SMITHFIELD FARMLAND</v>
      </c>
      <c r="C6" s="309" t="str">
        <f>PIERNA!C6</f>
        <v>Smithfield</v>
      </c>
      <c r="D6" s="185" t="str">
        <f>PIERNA!D6</f>
        <v>PED.31743635</v>
      </c>
      <c r="E6" s="440">
        <f>PIERNA!E6</f>
        <v>43436</v>
      </c>
      <c r="F6" s="300">
        <f>PIERNA!F6</f>
        <v>18844.38</v>
      </c>
      <c r="G6" s="182">
        <f>PIERNA!G6</f>
        <v>20</v>
      </c>
      <c r="H6" s="64">
        <f>PIERNA!H6</f>
        <v>18967.34</v>
      </c>
      <c r="I6" s="333">
        <f>PIERNA!I6</f>
        <v>-122.95999999999913</v>
      </c>
      <c r="J6" s="454" t="s">
        <v>233</v>
      </c>
      <c r="K6" s="655">
        <v>101326</v>
      </c>
      <c r="L6" s="656" t="s">
        <v>237</v>
      </c>
      <c r="M6" s="465">
        <v>26680</v>
      </c>
      <c r="N6" s="466" t="s">
        <v>242</v>
      </c>
      <c r="O6" s="467">
        <v>9000555032</v>
      </c>
      <c r="P6" s="468">
        <v>3857</v>
      </c>
      <c r="Q6" s="468">
        <f>25361.46*20.355</f>
        <v>516232.5183</v>
      </c>
      <c r="R6" s="645" t="s">
        <v>296</v>
      </c>
      <c r="S6" s="103">
        <f t="shared" si="0"/>
        <v>648095.5183</v>
      </c>
      <c r="T6" s="103">
        <f>S6/H6+0.1</f>
        <v>34.269025192778749</v>
      </c>
      <c r="U6" s="632"/>
      <c r="V6" s="309"/>
      <c r="W6" s="309"/>
    </row>
    <row r="7" spans="1:29" s="330" customFormat="1" ht="15.75" customHeight="1" x14ac:dyDescent="0.25">
      <c r="A7" s="331">
        <v>4</v>
      </c>
      <c r="B7" s="309" t="str">
        <f>PIERNA!B7</f>
        <v>SMITHFIELD FARMLAND</v>
      </c>
      <c r="C7" s="309" t="str">
        <f>PIERNA!C7</f>
        <v>Smithfield</v>
      </c>
      <c r="D7" s="185" t="str">
        <f>PIERNA!D7</f>
        <v>PED. 31951683</v>
      </c>
      <c r="E7" s="150">
        <f>PIERNA!E7</f>
        <v>43441</v>
      </c>
      <c r="F7" s="300">
        <f>PIERNA!F7</f>
        <v>17700.86</v>
      </c>
      <c r="G7" s="182">
        <f>PIERNA!G7</f>
        <v>19</v>
      </c>
      <c r="H7" s="64">
        <f>PIERNA!H7</f>
        <v>17775.05</v>
      </c>
      <c r="I7" s="333">
        <f>PIERNA!I7</f>
        <v>-74.18999999999869</v>
      </c>
      <c r="J7" s="454" t="s">
        <v>234</v>
      </c>
      <c r="K7" s="696">
        <v>98506</v>
      </c>
      <c r="L7" s="697" t="s">
        <v>244</v>
      </c>
      <c r="M7" s="465">
        <v>30160</v>
      </c>
      <c r="N7" s="470" t="s">
        <v>338</v>
      </c>
      <c r="O7" s="467">
        <v>9000571695</v>
      </c>
      <c r="P7" s="836">
        <v>3770</v>
      </c>
      <c r="Q7" s="468">
        <f>24378.67*20.309</f>
        <v>495106.40902999998</v>
      </c>
      <c r="R7" s="645" t="s">
        <v>352</v>
      </c>
      <c r="S7" s="103">
        <f t="shared" si="0"/>
        <v>627542.40902999998</v>
      </c>
      <c r="T7" s="103">
        <f>S7/H7+0.1</f>
        <v>35.404677569402054</v>
      </c>
      <c r="U7" s="480"/>
      <c r="W7" s="277"/>
      <c r="X7" s="119"/>
      <c r="Y7" s="395"/>
      <c r="Z7" s="396">
        <v>5.0000000000000001E-3</v>
      </c>
      <c r="AA7" s="397">
        <f t="shared" ref="AA7:AA22" si="2">Y7*Z7</f>
        <v>0</v>
      </c>
      <c r="AB7" s="397">
        <f t="shared" ref="AB7:AB22" si="3">AA7*16%</f>
        <v>0</v>
      </c>
      <c r="AC7" s="397">
        <f t="shared" ref="AC7:AC22" si="4">AA7+AB7</f>
        <v>0</v>
      </c>
    </row>
    <row r="8" spans="1:29" s="330" customFormat="1" ht="15.75" x14ac:dyDescent="0.25">
      <c r="A8" s="331">
        <v>5</v>
      </c>
      <c r="B8" s="309" t="str">
        <f>PIERNA!B8</f>
        <v>SEABOARD FOODS</v>
      </c>
      <c r="C8" s="309" t="str">
        <f>PIERNA!C8</f>
        <v>Seaboard</v>
      </c>
      <c r="D8" s="185" t="str">
        <f>PIERNA!D8</f>
        <v>PED. 31952207</v>
      </c>
      <c r="E8" s="150">
        <f>PIERNA!E8</f>
        <v>43441</v>
      </c>
      <c r="F8" s="300">
        <f>PIERNA!F8</f>
        <v>18923.54</v>
      </c>
      <c r="G8" s="182">
        <f>PIERNA!G8</f>
        <v>21</v>
      </c>
      <c r="H8" s="64">
        <f>PIERNA!H8</f>
        <v>18940.099999999999</v>
      </c>
      <c r="I8" s="333">
        <f>PIERNA!I8</f>
        <v>-16.559999999997672</v>
      </c>
      <c r="J8" s="454" t="s">
        <v>235</v>
      </c>
      <c r="K8" s="458">
        <v>108624</v>
      </c>
      <c r="L8" s="459" t="s">
        <v>244</v>
      </c>
      <c r="M8" s="465">
        <v>30160</v>
      </c>
      <c r="N8" s="466" t="s">
        <v>338</v>
      </c>
      <c r="O8" s="750">
        <v>1554864</v>
      </c>
      <c r="P8" s="836">
        <v>4060</v>
      </c>
      <c r="Q8" s="653">
        <f>27024.48*20.34</f>
        <v>549677.92319999996</v>
      </c>
      <c r="R8" s="654" t="s">
        <v>237</v>
      </c>
      <c r="S8" s="103">
        <f t="shared" si="0"/>
        <v>692521.92319999996</v>
      </c>
      <c r="T8" s="103">
        <f t="shared" ref="T8:T41" si="5">S8/H8+0.1</f>
        <v>36.663794446703029</v>
      </c>
      <c r="U8" s="633"/>
      <c r="W8" s="277"/>
      <c r="X8" s="119"/>
      <c r="Y8" s="395"/>
      <c r="Z8" s="396">
        <v>5.0000000000000001E-3</v>
      </c>
      <c r="AA8" s="397">
        <f t="shared" si="2"/>
        <v>0</v>
      </c>
      <c r="AB8" s="397">
        <f t="shared" si="3"/>
        <v>0</v>
      </c>
      <c r="AC8" s="397">
        <f t="shared" si="4"/>
        <v>0</v>
      </c>
    </row>
    <row r="9" spans="1:29" s="330" customFormat="1" ht="15.75" x14ac:dyDescent="0.25">
      <c r="A9" s="331">
        <v>6</v>
      </c>
      <c r="B9" s="309" t="str">
        <f>PIERNA!B9</f>
        <v>SEABOARD FOODS</v>
      </c>
      <c r="C9" s="309" t="str">
        <f>PIERNA!C9</f>
        <v>Seaboard</v>
      </c>
      <c r="D9" s="185" t="str">
        <f>PIERNA!D9</f>
        <v>PED. 31903674</v>
      </c>
      <c r="E9" s="150">
        <f>PIERNA!E9</f>
        <v>43441</v>
      </c>
      <c r="F9" s="300">
        <f>PIERNA!F9</f>
        <v>19103.48</v>
      </c>
      <c r="G9" s="182">
        <f>PIERNA!G9</f>
        <v>21</v>
      </c>
      <c r="H9" s="64">
        <f>PIERNA!H9</f>
        <v>19133.900000000001</v>
      </c>
      <c r="I9" s="333">
        <f>PIERNA!I9</f>
        <v>-30.420000000001892</v>
      </c>
      <c r="J9" s="454" t="s">
        <v>236</v>
      </c>
      <c r="K9" s="458">
        <v>105684</v>
      </c>
      <c r="L9" s="474" t="s">
        <v>243</v>
      </c>
      <c r="M9" s="465">
        <v>30160</v>
      </c>
      <c r="N9" s="466" t="s">
        <v>338</v>
      </c>
      <c r="O9" s="669">
        <v>1554865</v>
      </c>
      <c r="P9" s="836">
        <v>4002</v>
      </c>
      <c r="Q9" s="653">
        <f>26659.65*20.293</f>
        <v>541004.27745000005</v>
      </c>
      <c r="R9" s="654" t="s">
        <v>238</v>
      </c>
      <c r="S9" s="103">
        <f t="shared" si="0"/>
        <v>680850.27745000005</v>
      </c>
      <c r="T9" s="103">
        <f t="shared" si="5"/>
        <v>35.683455408986148</v>
      </c>
      <c r="U9" s="632"/>
      <c r="W9" s="277"/>
      <c r="X9" s="119"/>
      <c r="Y9" s="395"/>
      <c r="Z9" s="396">
        <v>5.0000000000000001E-3</v>
      </c>
      <c r="AA9" s="397">
        <f t="shared" si="2"/>
        <v>0</v>
      </c>
      <c r="AB9" s="397">
        <f t="shared" si="3"/>
        <v>0</v>
      </c>
      <c r="AC9" s="397">
        <f t="shared" si="4"/>
        <v>0</v>
      </c>
    </row>
    <row r="10" spans="1:29" s="330" customFormat="1" ht="15.75" x14ac:dyDescent="0.25">
      <c r="A10" s="331">
        <v>7</v>
      </c>
      <c r="B10" s="309" t="str">
        <f>PIERNA!B10</f>
        <v>SIOUXPREME PACKING</v>
      </c>
      <c r="C10" s="309" t="str">
        <f>PIERNA!C10</f>
        <v>SIOUX</v>
      </c>
      <c r="D10" s="185" t="str">
        <f>PIERNA!D10</f>
        <v>PED. 31812900</v>
      </c>
      <c r="E10" s="150">
        <f>PIERNA!E10</f>
        <v>43438</v>
      </c>
      <c r="F10" s="300">
        <f>PIERNA!F10</f>
        <v>18809.07</v>
      </c>
      <c r="G10" s="182">
        <f>PIERNA!G10</f>
        <v>21</v>
      </c>
      <c r="H10" s="64">
        <f>PIERNA!H10</f>
        <v>18878</v>
      </c>
      <c r="I10" s="333">
        <f>PIERNA!I10</f>
        <v>-68.930000000000291</v>
      </c>
      <c r="J10" s="454" t="s">
        <v>264</v>
      </c>
      <c r="K10" s="458">
        <v>109608</v>
      </c>
      <c r="L10" s="459" t="s">
        <v>298</v>
      </c>
      <c r="M10" s="465">
        <v>30160</v>
      </c>
      <c r="N10" s="466" t="s">
        <v>300</v>
      </c>
      <c r="O10" s="467">
        <v>202239</v>
      </c>
      <c r="P10" s="835">
        <v>3944</v>
      </c>
      <c r="Q10" s="468">
        <f>25884.53*20.42</f>
        <v>528562.10259999998</v>
      </c>
      <c r="R10" s="645" t="s">
        <v>300</v>
      </c>
      <c r="S10" s="103">
        <f t="shared" si="0"/>
        <v>672274.10259999998</v>
      </c>
      <c r="T10" s="103">
        <f t="shared" si="5"/>
        <v>35.711510890984215</v>
      </c>
      <c r="U10" s="632"/>
      <c r="W10" s="277"/>
      <c r="X10" s="119"/>
      <c r="Y10" s="395"/>
      <c r="Z10" s="396">
        <v>5.0000000000000001E-3</v>
      </c>
      <c r="AA10" s="397">
        <f t="shared" si="2"/>
        <v>0</v>
      </c>
      <c r="AB10" s="397">
        <f t="shared" si="3"/>
        <v>0</v>
      </c>
      <c r="AC10" s="397">
        <f t="shared" si="4"/>
        <v>0</v>
      </c>
    </row>
    <row r="11" spans="1:29" s="330" customFormat="1" ht="15.75" x14ac:dyDescent="0.25">
      <c r="A11" s="331">
        <v>8</v>
      </c>
      <c r="B11" s="309" t="str">
        <f>PIERNA!B11</f>
        <v xml:space="preserve">SIOUXPREME PACKING Co </v>
      </c>
      <c r="C11" s="309" t="str">
        <f>PIERNA!C11</f>
        <v>SIOUX</v>
      </c>
      <c r="D11" s="185" t="str">
        <f>PIERNA!D11</f>
        <v>PED. 31814242</v>
      </c>
      <c r="E11" s="150">
        <f>PIERNA!E11</f>
        <v>43438</v>
      </c>
      <c r="F11" s="300">
        <f>PIERNA!F11</f>
        <v>18831.27</v>
      </c>
      <c r="G11" s="182">
        <f>PIERNA!G11</f>
        <v>21</v>
      </c>
      <c r="H11" s="64">
        <f>PIERNA!H11</f>
        <v>18931</v>
      </c>
      <c r="I11" s="333">
        <f>PIERNA!I11</f>
        <v>-99.729999999999563</v>
      </c>
      <c r="J11" s="454" t="s">
        <v>265</v>
      </c>
      <c r="K11" s="458">
        <v>102916</v>
      </c>
      <c r="L11" s="459" t="s">
        <v>298</v>
      </c>
      <c r="M11" s="465">
        <v>30160</v>
      </c>
      <c r="N11" s="466" t="s">
        <v>300</v>
      </c>
      <c r="O11" s="467">
        <v>202240</v>
      </c>
      <c r="P11" s="836">
        <v>3944</v>
      </c>
      <c r="Q11" s="468">
        <f>25959.17*20.535</f>
        <v>533071.55594999995</v>
      </c>
      <c r="R11" s="645" t="s">
        <v>686</v>
      </c>
      <c r="S11" s="103">
        <f t="shared" si="0"/>
        <v>670091.55594999995</v>
      </c>
      <c r="T11" s="103">
        <f t="shared" si="5"/>
        <v>35.496521892662827</v>
      </c>
      <c r="U11" s="632"/>
      <c r="W11" s="277"/>
      <c r="X11" s="119"/>
      <c r="Y11" s="395"/>
      <c r="Z11" s="396">
        <v>5.0000000000000001E-3</v>
      </c>
      <c r="AA11" s="397">
        <f t="shared" si="2"/>
        <v>0</v>
      </c>
      <c r="AB11" s="397">
        <f t="shared" si="3"/>
        <v>0</v>
      </c>
      <c r="AC11" s="397">
        <f t="shared" si="4"/>
        <v>0</v>
      </c>
    </row>
    <row r="12" spans="1:29" s="330" customFormat="1" ht="15.75" x14ac:dyDescent="0.25">
      <c r="A12" s="331">
        <v>9</v>
      </c>
      <c r="B12" s="309" t="str">
        <f>PIERNA!B12</f>
        <v>IDEAL TRADING</v>
      </c>
      <c r="C12" s="309" t="str">
        <f>PIERNA!C12</f>
        <v xml:space="preserve">I B P </v>
      </c>
      <c r="D12" s="185" t="str">
        <f>PIERNA!D12</f>
        <v>PED. 31814625</v>
      </c>
      <c r="E12" s="150">
        <f>PIERNA!E12</f>
        <v>43439</v>
      </c>
      <c r="F12" s="300">
        <f>PIERNA!F12</f>
        <v>19006.400000000001</v>
      </c>
      <c r="G12" s="182">
        <f>PIERNA!G12</f>
        <v>20</v>
      </c>
      <c r="H12" s="64">
        <f>PIERNA!H12</f>
        <v>19116.080000000002</v>
      </c>
      <c r="I12" s="333">
        <f>PIERNA!I12</f>
        <v>-109.68000000000029</v>
      </c>
      <c r="J12" s="454" t="s">
        <v>269</v>
      </c>
      <c r="K12" s="458">
        <v>106406</v>
      </c>
      <c r="L12" s="459" t="s">
        <v>298</v>
      </c>
      <c r="M12" s="465">
        <v>30160</v>
      </c>
      <c r="N12" s="466" t="s">
        <v>301</v>
      </c>
      <c r="O12" s="467">
        <v>202237</v>
      </c>
      <c r="P12" s="836">
        <v>3944</v>
      </c>
      <c r="Q12" s="468">
        <f>25990.2*20.423</f>
        <v>530797.85459999996</v>
      </c>
      <c r="R12" s="645" t="s">
        <v>300</v>
      </c>
      <c r="S12" s="103">
        <f t="shared" si="0"/>
        <v>671307.85459999996</v>
      </c>
      <c r="T12" s="103">
        <f t="shared" si="5"/>
        <v>35.217443251963786</v>
      </c>
      <c r="U12" s="634"/>
      <c r="W12" s="277"/>
      <c r="X12" s="119"/>
      <c r="Y12" s="395"/>
      <c r="Z12" s="396">
        <v>5.0000000000000001E-3</v>
      </c>
      <c r="AA12" s="397">
        <f t="shared" si="2"/>
        <v>0</v>
      </c>
      <c r="AB12" s="397">
        <f t="shared" si="3"/>
        <v>0</v>
      </c>
      <c r="AC12" s="397">
        <f t="shared" si="4"/>
        <v>0</v>
      </c>
    </row>
    <row r="13" spans="1:29" s="330" customFormat="1" ht="15.75" x14ac:dyDescent="0.25">
      <c r="A13" s="331">
        <v>10</v>
      </c>
      <c r="B13" s="309" t="str">
        <f>PIERNA!B13</f>
        <v>TYSON FRESH MEAT</v>
      </c>
      <c r="C13" s="309" t="str">
        <f>PIERNA!C13</f>
        <v xml:space="preserve">I B P </v>
      </c>
      <c r="D13" s="185" t="str">
        <f>PIERNA!D13</f>
        <v>PED. 31847947</v>
      </c>
      <c r="E13" s="150">
        <f>PIERNA!E13</f>
        <v>43439</v>
      </c>
      <c r="F13" s="300">
        <f>PIERNA!F13</f>
        <v>18308.88</v>
      </c>
      <c r="G13" s="182">
        <f>PIERNA!G13</f>
        <v>20</v>
      </c>
      <c r="H13" s="64">
        <f>PIERNA!H13</f>
        <v>18333.650000000001</v>
      </c>
      <c r="I13" s="333">
        <f>PIERNA!I13</f>
        <v>-24.770000000000437</v>
      </c>
      <c r="J13" s="454" t="s">
        <v>270</v>
      </c>
      <c r="K13" s="458">
        <v>99710</v>
      </c>
      <c r="L13" s="459" t="s">
        <v>300</v>
      </c>
      <c r="M13" s="465">
        <v>30160</v>
      </c>
      <c r="N13" s="466" t="s">
        <v>302</v>
      </c>
      <c r="O13" s="473" t="s">
        <v>275</v>
      </c>
      <c r="P13" s="836">
        <v>3741</v>
      </c>
      <c r="Q13" s="318">
        <f>24938.52*20.218</f>
        <v>504206.99735999998</v>
      </c>
      <c r="R13" s="645" t="s">
        <v>276</v>
      </c>
      <c r="S13" s="103">
        <f t="shared" si="0"/>
        <v>637817.99735999992</v>
      </c>
      <c r="T13" s="103">
        <f t="shared" si="5"/>
        <v>34.88947167421653</v>
      </c>
      <c r="U13" s="480"/>
      <c r="W13" s="277"/>
      <c r="X13" s="119"/>
      <c r="Y13" s="395"/>
      <c r="Z13" s="396">
        <v>5.0000000000000001E-3</v>
      </c>
      <c r="AA13" s="397">
        <f t="shared" si="2"/>
        <v>0</v>
      </c>
      <c r="AB13" s="397">
        <f t="shared" si="3"/>
        <v>0</v>
      </c>
      <c r="AC13" s="397">
        <f t="shared" si="4"/>
        <v>0</v>
      </c>
    </row>
    <row r="14" spans="1:29" s="330" customFormat="1" ht="15.75" x14ac:dyDescent="0.25">
      <c r="A14" s="331">
        <v>11</v>
      </c>
      <c r="B14" s="309" t="str">
        <f>PIERNA!B14</f>
        <v>SMITHFIELD FARMLAND</v>
      </c>
      <c r="C14" s="309" t="str">
        <f>PIERNA!C14</f>
        <v>Smithfield</v>
      </c>
      <c r="D14" s="185" t="str">
        <f>PIERNA!D14</f>
        <v>PED. 31813312</v>
      </c>
      <c r="E14" s="150">
        <f>PIERNA!E14</f>
        <v>43439</v>
      </c>
      <c r="F14" s="300">
        <f>PIERNA!F14</f>
        <v>18443.849999999999</v>
      </c>
      <c r="G14" s="182">
        <f>PIERNA!G14</f>
        <v>20</v>
      </c>
      <c r="H14" s="64">
        <f>PIERNA!H14</f>
        <v>18517.46</v>
      </c>
      <c r="I14" s="333">
        <f>PIERNA!I14</f>
        <v>-73.610000000000582</v>
      </c>
      <c r="J14" s="454" t="s">
        <v>271</v>
      </c>
      <c r="K14" s="458">
        <v>100072</v>
      </c>
      <c r="L14" s="459" t="s">
        <v>298</v>
      </c>
      <c r="M14" s="465">
        <v>30160</v>
      </c>
      <c r="N14" s="466" t="s">
        <v>302</v>
      </c>
      <c r="O14" s="467">
        <v>9000563206</v>
      </c>
      <c r="P14" s="836">
        <v>3828</v>
      </c>
      <c r="Q14" s="318">
        <f>25192.72*20.251</f>
        <v>510177.77272000007</v>
      </c>
      <c r="R14" s="676" t="s">
        <v>297</v>
      </c>
      <c r="S14" s="103">
        <f t="shared" si="0"/>
        <v>644237.77272000001</v>
      </c>
      <c r="T14" s="103">
        <f t="shared" si="5"/>
        <v>34.89082837062967</v>
      </c>
      <c r="U14" s="480"/>
      <c r="W14" s="277"/>
      <c r="X14" s="119"/>
      <c r="Y14" s="395"/>
      <c r="Z14" s="396">
        <v>5.0000000000000001E-3</v>
      </c>
      <c r="AA14" s="397">
        <f t="shared" si="2"/>
        <v>0</v>
      </c>
      <c r="AB14" s="397">
        <f t="shared" si="3"/>
        <v>0</v>
      </c>
      <c r="AC14" s="397">
        <f t="shared" si="4"/>
        <v>0</v>
      </c>
    </row>
    <row r="15" spans="1:29" s="330" customFormat="1" ht="15.75" x14ac:dyDescent="0.25">
      <c r="A15" s="331">
        <v>12</v>
      </c>
      <c r="B15" s="309" t="str">
        <f>PIERNA!B15</f>
        <v>TYSON FRESH MEATS</v>
      </c>
      <c r="C15" s="309" t="str">
        <f>PIERNA!C15</f>
        <v xml:space="preserve">I B P </v>
      </c>
      <c r="D15" s="185" t="str">
        <f>PIERNA!D15</f>
        <v>PED. 31847770</v>
      </c>
      <c r="E15" s="150">
        <f>PIERNA!E15</f>
        <v>43440</v>
      </c>
      <c r="F15" s="300">
        <f>PIERNA!F15</f>
        <v>18903.46</v>
      </c>
      <c r="G15" s="182">
        <f>PIERNA!G15</f>
        <v>20</v>
      </c>
      <c r="H15" s="64">
        <f>PIERNA!H15</f>
        <v>18992.71</v>
      </c>
      <c r="I15" s="333">
        <f>PIERNA!I15</f>
        <v>-89.25</v>
      </c>
      <c r="J15" s="614" t="s">
        <v>272</v>
      </c>
      <c r="K15" s="458">
        <v>107744</v>
      </c>
      <c r="L15" s="459" t="s">
        <v>300</v>
      </c>
      <c r="M15" s="465">
        <v>30160</v>
      </c>
      <c r="N15" s="459" t="s">
        <v>347</v>
      </c>
      <c r="O15" s="828" t="s">
        <v>684</v>
      </c>
      <c r="P15" s="836">
        <v>3944</v>
      </c>
      <c r="Q15" s="829">
        <f>25835.02*20.515</f>
        <v>530005.43530000001</v>
      </c>
      <c r="R15" s="830" t="s">
        <v>685</v>
      </c>
      <c r="S15" s="103">
        <f t="shared" si="0"/>
        <v>671853.43530000001</v>
      </c>
      <c r="T15" s="103">
        <f t="shared" si="5"/>
        <v>35.474279673622149</v>
      </c>
      <c r="U15" s="480"/>
      <c r="W15" s="277"/>
      <c r="X15" s="119"/>
      <c r="Y15" s="395"/>
      <c r="Z15" s="396">
        <v>5.0000000000000001E-3</v>
      </c>
      <c r="AA15" s="397">
        <f t="shared" si="2"/>
        <v>0</v>
      </c>
      <c r="AB15" s="397">
        <f t="shared" si="3"/>
        <v>0</v>
      </c>
      <c r="AC15" s="397">
        <f t="shared" si="4"/>
        <v>0</v>
      </c>
    </row>
    <row r="16" spans="1:29" s="330" customFormat="1" ht="15.75" x14ac:dyDescent="0.25">
      <c r="A16" s="331">
        <v>13</v>
      </c>
      <c r="B16" s="309" t="str">
        <f>PIERNA!B16</f>
        <v>SMITHFIELD FARMLAND</v>
      </c>
      <c r="C16" s="309" t="str">
        <f>PIERNA!C16</f>
        <v>Smithfield</v>
      </c>
      <c r="D16" s="185" t="str">
        <f>PIERNA!D16</f>
        <v>PED. 32009226</v>
      </c>
      <c r="E16" s="150">
        <f>PIERNA!E16</f>
        <v>43442</v>
      </c>
      <c r="F16" s="300">
        <f>PIERNA!F16</f>
        <v>18057.29</v>
      </c>
      <c r="G16" s="182">
        <f>PIERNA!G16</f>
        <v>19</v>
      </c>
      <c r="H16" s="64">
        <f>PIERNA!H16</f>
        <v>18146.939999999999</v>
      </c>
      <c r="I16" s="333">
        <f>PIERNA!I16</f>
        <v>-89.649999999997817</v>
      </c>
      <c r="J16" s="238" t="s">
        <v>273</v>
      </c>
      <c r="K16" s="458">
        <v>103108</v>
      </c>
      <c r="L16" s="459" t="s">
        <v>347</v>
      </c>
      <c r="M16" s="465">
        <v>30160</v>
      </c>
      <c r="N16" s="459" t="s">
        <v>340</v>
      </c>
      <c r="O16" s="467">
        <v>9000571696</v>
      </c>
      <c r="P16" s="836">
        <v>4002</v>
      </c>
      <c r="Q16" s="468">
        <f>25496.92*20.309</f>
        <v>517816.94828000001</v>
      </c>
      <c r="R16" s="645" t="s">
        <v>352</v>
      </c>
      <c r="S16" s="103">
        <f t="shared" si="0"/>
        <v>655086.94828000001</v>
      </c>
      <c r="T16" s="103">
        <f t="shared" si="5"/>
        <v>36.199030926426168</v>
      </c>
      <c r="U16" s="480"/>
      <c r="W16" s="277"/>
      <c r="X16" s="119"/>
      <c r="Y16" s="395"/>
      <c r="Z16" s="396">
        <v>5.0000000000000001E-3</v>
      </c>
      <c r="AA16" s="397">
        <f t="shared" si="2"/>
        <v>0</v>
      </c>
      <c r="AB16" s="397">
        <f t="shared" si="3"/>
        <v>0</v>
      </c>
      <c r="AC16" s="397">
        <f t="shared" si="4"/>
        <v>0</v>
      </c>
    </row>
    <row r="17" spans="1:29" s="330" customFormat="1" ht="15.75" x14ac:dyDescent="0.25">
      <c r="A17" s="331">
        <v>14</v>
      </c>
      <c r="B17" s="309" t="str">
        <f>PIERNA!B17</f>
        <v>SEABOARD FOODS</v>
      </c>
      <c r="C17" s="309" t="str">
        <f>PIERNA!C17</f>
        <v>Seaboard</v>
      </c>
      <c r="D17" s="185" t="str">
        <f>PIERNA!D17</f>
        <v>PED. 32009228</v>
      </c>
      <c r="E17" s="150">
        <f>PIERNA!E17</f>
        <v>43444</v>
      </c>
      <c r="F17" s="300">
        <f>PIERNA!F17</f>
        <v>19095.099999999999</v>
      </c>
      <c r="G17" s="182">
        <f>PIERNA!G17</f>
        <v>21</v>
      </c>
      <c r="H17" s="64">
        <f>PIERNA!H17</f>
        <v>19061.099999999999</v>
      </c>
      <c r="I17" s="333">
        <f>PIERNA!I17</f>
        <v>34</v>
      </c>
      <c r="J17" s="454" t="s">
        <v>287</v>
      </c>
      <c r="K17" s="458">
        <v>113575</v>
      </c>
      <c r="L17" s="459" t="s">
        <v>347</v>
      </c>
      <c r="M17" s="465">
        <v>30160</v>
      </c>
      <c r="N17" s="459" t="s">
        <v>339</v>
      </c>
      <c r="O17" s="467">
        <v>1555582</v>
      </c>
      <c r="P17" s="836">
        <v>4118</v>
      </c>
      <c r="Q17" s="468">
        <f>27659.53*20.33</f>
        <v>562318.24489999993</v>
      </c>
      <c r="R17" s="677" t="s">
        <v>299</v>
      </c>
      <c r="S17" s="103">
        <f t="shared" si="0"/>
        <v>710171.24489999993</v>
      </c>
      <c r="T17" s="103">
        <f t="shared" si="5"/>
        <v>37.357621275792056</v>
      </c>
      <c r="U17" s="631"/>
      <c r="W17" s="277"/>
      <c r="X17" s="119"/>
      <c r="Y17" s="395"/>
      <c r="Z17" s="396">
        <v>5.0000000000000001E-3</v>
      </c>
      <c r="AA17" s="397">
        <f t="shared" si="2"/>
        <v>0</v>
      </c>
      <c r="AB17" s="397">
        <f t="shared" si="3"/>
        <v>0</v>
      </c>
      <c r="AC17" s="397">
        <f t="shared" si="4"/>
        <v>0</v>
      </c>
    </row>
    <row r="18" spans="1:29" s="330" customFormat="1" ht="15.75" x14ac:dyDescent="0.25">
      <c r="A18" s="331">
        <v>15</v>
      </c>
      <c r="B18" s="128" t="str">
        <f>PIERNA!B18</f>
        <v>SEABOARD FOODS</v>
      </c>
      <c r="C18" s="309" t="str">
        <f>PIERNA!C18</f>
        <v>Seaboard</v>
      </c>
      <c r="D18" s="185" t="str">
        <f>PIERNA!D18</f>
        <v>PED. 32009227</v>
      </c>
      <c r="E18" s="150">
        <f>PIERNA!E18</f>
        <v>43442</v>
      </c>
      <c r="F18" s="300">
        <f>PIERNA!F18</f>
        <v>19034.919999999998</v>
      </c>
      <c r="G18" s="182">
        <f>PIERNA!G18</f>
        <v>21</v>
      </c>
      <c r="H18" s="64">
        <f>PIERNA!H18</f>
        <v>19024.099999999999</v>
      </c>
      <c r="I18" s="333">
        <f>PIERNA!I18</f>
        <v>10.819999999999709</v>
      </c>
      <c r="J18" s="602" t="s">
        <v>288</v>
      </c>
      <c r="K18" s="652">
        <v>113537</v>
      </c>
      <c r="L18" s="668" t="s">
        <v>347</v>
      </c>
      <c r="M18" s="465">
        <v>30160</v>
      </c>
      <c r="N18" s="466" t="s">
        <v>339</v>
      </c>
      <c r="O18" s="467">
        <v>1555583</v>
      </c>
      <c r="P18" s="835">
        <v>4118</v>
      </c>
      <c r="Q18" s="468">
        <f>27605.56*20.349</f>
        <v>561745.54044000001</v>
      </c>
      <c r="R18" s="645" t="s">
        <v>299</v>
      </c>
      <c r="S18" s="103">
        <f t="shared" si="0"/>
        <v>709560.54044000001</v>
      </c>
      <c r="T18" s="103">
        <f t="shared" si="5"/>
        <v>37.397982056444199</v>
      </c>
      <c r="U18" s="472"/>
      <c r="W18" s="277"/>
      <c r="X18" s="119"/>
      <c r="Y18" s="395"/>
      <c r="Z18" s="396">
        <v>5.0000000000000001E-3</v>
      </c>
      <c r="AA18" s="397">
        <f t="shared" si="2"/>
        <v>0</v>
      </c>
      <c r="AB18" s="397">
        <f t="shared" si="3"/>
        <v>0</v>
      </c>
      <c r="AC18" s="397">
        <f t="shared" si="4"/>
        <v>0</v>
      </c>
    </row>
    <row r="19" spans="1:29" s="330" customFormat="1" ht="15.75" x14ac:dyDescent="0.25">
      <c r="A19" s="331">
        <v>16</v>
      </c>
      <c r="B19" s="309" t="str">
        <f>PIERNA!B19</f>
        <v>SMITHFIELD FARMLAND</v>
      </c>
      <c r="C19" s="309" t="str">
        <f>PIERNA!C19</f>
        <v>Smithfield</v>
      </c>
      <c r="D19" s="185" t="str">
        <f>PIERNA!D19</f>
        <v>PED.32083636</v>
      </c>
      <c r="E19" s="150">
        <f>PIERNA!E19</f>
        <v>43445</v>
      </c>
      <c r="F19" s="300">
        <f>PIERNA!F19</f>
        <v>19161.5</v>
      </c>
      <c r="G19" s="182">
        <f>PIERNA!G19</f>
        <v>20</v>
      </c>
      <c r="H19" s="64">
        <f>PIERNA!H19</f>
        <v>19337.439999999999</v>
      </c>
      <c r="I19" s="333">
        <f>PIERNA!I19</f>
        <v>-175.93999999999869</v>
      </c>
      <c r="J19" s="454" t="s">
        <v>289</v>
      </c>
      <c r="K19" s="458">
        <v>116988</v>
      </c>
      <c r="L19" s="459" t="s">
        <v>348</v>
      </c>
      <c r="M19" s="465">
        <v>30160</v>
      </c>
      <c r="N19" s="466" t="s">
        <v>341</v>
      </c>
      <c r="O19" s="454">
        <v>9000582273</v>
      </c>
      <c r="P19" s="836">
        <v>4408</v>
      </c>
      <c r="Q19" s="468">
        <f>29177.87*20.153</f>
        <v>588021.61410999997</v>
      </c>
      <c r="R19" s="642" t="s">
        <v>354</v>
      </c>
      <c r="S19" s="103">
        <f t="shared" si="0"/>
        <v>739577.61410999997</v>
      </c>
      <c r="T19" s="103">
        <f t="shared" si="5"/>
        <v>38.345890568244819</v>
      </c>
      <c r="W19" s="277"/>
      <c r="X19" s="119"/>
      <c r="Y19" s="395"/>
      <c r="Z19" s="396">
        <v>5.0000000000000001E-3</v>
      </c>
      <c r="AA19" s="397">
        <f t="shared" si="2"/>
        <v>0</v>
      </c>
      <c r="AB19" s="397">
        <f t="shared" si="3"/>
        <v>0</v>
      </c>
      <c r="AC19" s="397">
        <f t="shared" si="4"/>
        <v>0</v>
      </c>
    </row>
    <row r="20" spans="1:29" s="330" customFormat="1" ht="15.75" x14ac:dyDescent="0.25">
      <c r="A20" s="331">
        <v>17</v>
      </c>
      <c r="B20" s="309" t="str">
        <f>PIERNA!B20</f>
        <v>SMITHFIELD FRESH MEATS</v>
      </c>
      <c r="C20" s="128" t="str">
        <f>PIERNA!C20</f>
        <v>Smithfield</v>
      </c>
      <c r="D20" s="185" t="str">
        <f>PIERNA!D20</f>
        <v>PED. 32083638</v>
      </c>
      <c r="E20" s="150">
        <f>PIERNA!E20</f>
        <v>43445</v>
      </c>
      <c r="F20" s="300">
        <f>PIERNA!F20</f>
        <v>19131.349999999999</v>
      </c>
      <c r="G20" s="182">
        <f>PIERNA!G20</f>
        <v>20</v>
      </c>
      <c r="H20" s="64">
        <f>PIERNA!H20</f>
        <v>19231.3</v>
      </c>
      <c r="I20" s="333">
        <f>PIERNA!I20</f>
        <v>-99.950000000000728</v>
      </c>
      <c r="J20" s="454" t="s">
        <v>290</v>
      </c>
      <c r="K20" s="458">
        <v>116397</v>
      </c>
      <c r="L20" s="459" t="s">
        <v>348</v>
      </c>
      <c r="M20" s="465">
        <v>30160</v>
      </c>
      <c r="N20" s="466" t="s">
        <v>341</v>
      </c>
      <c r="O20" s="467">
        <v>9000577784</v>
      </c>
      <c r="P20" s="835">
        <v>4408</v>
      </c>
      <c r="Q20" s="468">
        <f>29017.74*20.153</f>
        <v>584794.51422000001</v>
      </c>
      <c r="R20" s="642" t="s">
        <v>354</v>
      </c>
      <c r="S20" s="103">
        <f t="shared" si="0"/>
        <v>735759.51422000001</v>
      </c>
      <c r="T20" s="103">
        <f t="shared" si="5"/>
        <v>38.358438806528945</v>
      </c>
      <c r="W20" s="277"/>
      <c r="X20" s="119"/>
      <c r="Y20" s="395"/>
      <c r="Z20" s="396">
        <v>5.0000000000000001E-3</v>
      </c>
      <c r="AA20" s="397">
        <f t="shared" si="2"/>
        <v>0</v>
      </c>
      <c r="AB20" s="397">
        <f t="shared" si="3"/>
        <v>0</v>
      </c>
      <c r="AC20" s="397">
        <f t="shared" si="4"/>
        <v>0</v>
      </c>
    </row>
    <row r="21" spans="1:29" s="330" customFormat="1" ht="15.75" x14ac:dyDescent="0.25">
      <c r="A21" s="331">
        <v>18</v>
      </c>
      <c r="B21" s="309" t="str">
        <f>PIERNA!B21</f>
        <v>SIOUXPREME PACKING</v>
      </c>
      <c r="C21" s="309" t="str">
        <f>PIERNA!C21</f>
        <v>SIOUX</v>
      </c>
      <c r="D21" s="185" t="str">
        <f>PIERNA!D21</f>
        <v>PED. 32084156</v>
      </c>
      <c r="E21" s="150">
        <f>PIERNA!E21</f>
        <v>43445</v>
      </c>
      <c r="F21" s="300">
        <f>PIERNA!F21</f>
        <v>18637.07</v>
      </c>
      <c r="G21" s="182">
        <f>PIERNA!G21</f>
        <v>21</v>
      </c>
      <c r="H21" s="64">
        <f>PIERNA!H21</f>
        <v>18761</v>
      </c>
      <c r="I21" s="333">
        <f>PIERNA!I21</f>
        <v>-123.93000000000029</v>
      </c>
      <c r="J21" s="454" t="s">
        <v>291</v>
      </c>
      <c r="K21" s="458">
        <v>117382</v>
      </c>
      <c r="L21" s="459" t="s">
        <v>348</v>
      </c>
      <c r="M21" s="465">
        <v>30160</v>
      </c>
      <c r="N21" s="466" t="s">
        <v>341</v>
      </c>
      <c r="O21" s="475">
        <v>202249</v>
      </c>
      <c r="P21" s="835">
        <v>4234</v>
      </c>
      <c r="Q21" s="468">
        <f>28509.45*20.348</f>
        <v>580110.28859999997</v>
      </c>
      <c r="R21" s="642" t="s">
        <v>296</v>
      </c>
      <c r="S21" s="103">
        <f t="shared" si="0"/>
        <v>731886.28859999997</v>
      </c>
      <c r="T21" s="103">
        <f t="shared" si="5"/>
        <v>39.111048909972816</v>
      </c>
      <c r="W21" s="277"/>
      <c r="X21" s="119"/>
      <c r="Y21" s="395"/>
      <c r="Z21" s="396">
        <v>5.0000000000000001E-3</v>
      </c>
      <c r="AA21" s="397">
        <f t="shared" si="2"/>
        <v>0</v>
      </c>
      <c r="AB21" s="397">
        <f t="shared" si="3"/>
        <v>0</v>
      </c>
      <c r="AC21" s="397">
        <f t="shared" si="4"/>
        <v>0</v>
      </c>
    </row>
    <row r="22" spans="1:29" s="330" customFormat="1" ht="15.75" x14ac:dyDescent="0.25">
      <c r="A22" s="331">
        <v>19</v>
      </c>
      <c r="B22" s="309" t="str">
        <f>PIERNA!B22</f>
        <v>TYSON FRESH MEATS</v>
      </c>
      <c r="C22" s="309" t="str">
        <f>PIERNA!C22</f>
        <v xml:space="preserve">I B P </v>
      </c>
      <c r="D22" s="185" t="str">
        <f>PIERNA!D22</f>
        <v>PED. 32095363</v>
      </c>
      <c r="E22" s="150">
        <f>PIERNA!E22</f>
        <v>43445</v>
      </c>
      <c r="F22" s="300">
        <f>PIERNA!F22</f>
        <v>19109.84</v>
      </c>
      <c r="G22" s="182">
        <f>PIERNA!G22</f>
        <v>20</v>
      </c>
      <c r="H22" s="64">
        <f>PIERNA!H22</f>
        <v>19169.169999999998</v>
      </c>
      <c r="I22" s="333">
        <f>PIERNA!I22</f>
        <v>-59.329999999998108</v>
      </c>
      <c r="J22" s="454" t="s">
        <v>292</v>
      </c>
      <c r="K22" s="458">
        <v>119184</v>
      </c>
      <c r="L22" s="459" t="s">
        <v>348</v>
      </c>
      <c r="M22" s="465">
        <v>30160</v>
      </c>
      <c r="N22" s="466" t="s">
        <v>341</v>
      </c>
      <c r="O22" s="473">
        <v>202247</v>
      </c>
      <c r="P22" s="835">
        <v>4553</v>
      </c>
      <c r="Q22" s="468">
        <f>30110.96*20.218</f>
        <v>608783.38928</v>
      </c>
      <c r="R22" s="642" t="s">
        <v>297</v>
      </c>
      <c r="S22" s="103">
        <f t="shared" si="0"/>
        <v>762680.38928</v>
      </c>
      <c r="T22" s="103">
        <f t="shared" si="5"/>
        <v>39.886823805099546</v>
      </c>
      <c r="W22" s="277"/>
      <c r="X22" s="119"/>
      <c r="Y22" s="395"/>
      <c r="Z22" s="396">
        <v>5.0000000000000001E-3</v>
      </c>
      <c r="AA22" s="397">
        <f t="shared" si="2"/>
        <v>0</v>
      </c>
      <c r="AB22" s="397">
        <f t="shared" si="3"/>
        <v>0</v>
      </c>
      <c r="AC22" s="397">
        <f t="shared" si="4"/>
        <v>0</v>
      </c>
    </row>
    <row r="23" spans="1:29" s="330" customFormat="1" ht="15.75" x14ac:dyDescent="0.25">
      <c r="A23" s="331">
        <v>20</v>
      </c>
      <c r="B23" s="128" t="str">
        <f>PIERNA!B23</f>
        <v>SMITHFIELD FRESH MEATS</v>
      </c>
      <c r="C23" s="309" t="str">
        <f>PIERNA!C23</f>
        <v>PED. 32128646</v>
      </c>
      <c r="D23" s="185" t="str">
        <f>PIERNA!D23</f>
        <v>PED. 32128646</v>
      </c>
      <c r="E23" s="150">
        <f>PIERNA!E23</f>
        <v>43446</v>
      </c>
      <c r="F23" s="300">
        <f>PIERNA!F23</f>
        <v>18836.439999999999</v>
      </c>
      <c r="G23" s="182">
        <f>PIERNA!G23</f>
        <v>20</v>
      </c>
      <c r="H23" s="64">
        <f>PIERNA!H23</f>
        <v>18963.259999999998</v>
      </c>
      <c r="I23" s="333">
        <f>PIERNA!I23</f>
        <v>-126.81999999999971</v>
      </c>
      <c r="J23" s="454" t="s">
        <v>293</v>
      </c>
      <c r="K23" s="458">
        <v>114706</v>
      </c>
      <c r="L23" s="459" t="s">
        <v>349</v>
      </c>
      <c r="M23" s="465">
        <v>30160</v>
      </c>
      <c r="N23" s="466" t="s">
        <v>342</v>
      </c>
      <c r="O23" s="454">
        <v>9000583016</v>
      </c>
      <c r="P23" s="837">
        <v>4350</v>
      </c>
      <c r="Q23" s="468">
        <f>28508.78*19.9</f>
        <v>567324.72199999995</v>
      </c>
      <c r="R23" s="642" t="s">
        <v>355</v>
      </c>
      <c r="S23" s="103">
        <f t="shared" si="0"/>
        <v>716540.72199999995</v>
      </c>
      <c r="T23" s="103">
        <f t="shared" si="5"/>
        <v>37.88573525860005</v>
      </c>
      <c r="W23" s="277"/>
      <c r="X23" s="119"/>
      <c r="Y23" s="395"/>
      <c r="Z23" s="396">
        <v>5.0000000000000001E-3</v>
      </c>
      <c r="AA23" s="397">
        <f t="shared" ref="AA23:AA28" si="6">Y23*Z23</f>
        <v>0</v>
      </c>
      <c r="AB23" s="397">
        <f t="shared" ref="AB23:AB28" si="7">AA23*16%</f>
        <v>0</v>
      </c>
      <c r="AC23" s="397">
        <f t="shared" ref="AC23:AC28" si="8">AA23+AB23</f>
        <v>0</v>
      </c>
    </row>
    <row r="24" spans="1:29" s="330" customFormat="1" ht="15.75" x14ac:dyDescent="0.25">
      <c r="A24" s="331">
        <v>21</v>
      </c>
      <c r="B24" s="309" t="str">
        <f>PIERNA!B24</f>
        <v>SMITHFIELD  FRESH MEATS</v>
      </c>
      <c r="C24" s="309" t="str">
        <f>PIERNA!C24</f>
        <v>Smithfield</v>
      </c>
      <c r="D24" s="184" t="str">
        <f>PIERNA!D24</f>
        <v>PED. 32127894</v>
      </c>
      <c r="E24" s="150">
        <f>PIERNA!E24</f>
        <v>43446</v>
      </c>
      <c r="F24" s="300">
        <f>PIERNA!F24</f>
        <v>19099.68</v>
      </c>
      <c r="G24" s="182">
        <f>PIERNA!G24</f>
        <v>20</v>
      </c>
      <c r="H24" s="64">
        <f>PIERNA!H24</f>
        <v>18806.34</v>
      </c>
      <c r="I24" s="333">
        <f>PIERNA!I24</f>
        <v>293.34000000000015</v>
      </c>
      <c r="J24" s="454" t="s">
        <v>294</v>
      </c>
      <c r="K24" s="458">
        <v>112969</v>
      </c>
      <c r="L24" s="459" t="s">
        <v>349</v>
      </c>
      <c r="M24" s="465">
        <v>30160</v>
      </c>
      <c r="N24" s="466" t="s">
        <v>350</v>
      </c>
      <c r="O24" s="467">
        <v>9000583906</v>
      </c>
      <c r="P24" s="835">
        <v>4350</v>
      </c>
      <c r="Q24" s="468">
        <f>28376.55*19.965</f>
        <v>566537.82074999996</v>
      </c>
      <c r="R24" s="642" t="s">
        <v>355</v>
      </c>
      <c r="S24" s="103">
        <f t="shared" si="0"/>
        <v>714016.82074999996</v>
      </c>
      <c r="T24" s="103">
        <f t="shared" si="5"/>
        <v>38.066814422689369</v>
      </c>
      <c r="W24" s="277"/>
      <c r="X24" s="119"/>
      <c r="Y24" s="395"/>
      <c r="Z24" s="396">
        <v>5.0000000000000001E-3</v>
      </c>
      <c r="AA24" s="397">
        <f t="shared" si="6"/>
        <v>0</v>
      </c>
      <c r="AB24" s="397">
        <f t="shared" si="7"/>
        <v>0</v>
      </c>
      <c r="AC24" s="397">
        <f t="shared" si="8"/>
        <v>0</v>
      </c>
    </row>
    <row r="25" spans="1:29" s="330" customFormat="1" ht="15.75" x14ac:dyDescent="0.25">
      <c r="A25" s="331">
        <v>22</v>
      </c>
      <c r="B25" s="309" t="str">
        <f>PIERNA!GR5</f>
        <v>SEABOARD FOODS</v>
      </c>
      <c r="C25" s="103" t="str">
        <f>PIERNA!GS5</f>
        <v>Seaboard</v>
      </c>
      <c r="D25" s="184" t="str">
        <f>PIERNA!GT5</f>
        <v>PED. 32173278</v>
      </c>
      <c r="E25" s="150">
        <f>PIERNA!E25</f>
        <v>43447</v>
      </c>
      <c r="F25" s="300">
        <f>PIERNA!GV5</f>
        <v>19150.75</v>
      </c>
      <c r="G25" s="182">
        <f>PIERNA!GW5</f>
        <v>21</v>
      </c>
      <c r="H25" s="64">
        <f>PIERNA!GX5</f>
        <v>19170.599999999999</v>
      </c>
      <c r="I25" s="333">
        <f>PIERNA!I25</f>
        <v>-19.849999999998545</v>
      </c>
      <c r="J25" s="454" t="s">
        <v>322</v>
      </c>
      <c r="K25" s="458">
        <v>118918</v>
      </c>
      <c r="L25" s="459" t="s">
        <v>349</v>
      </c>
      <c r="M25" s="465">
        <v>30160</v>
      </c>
      <c r="N25" s="476" t="s">
        <v>342</v>
      </c>
      <c r="O25" s="762">
        <v>1557191</v>
      </c>
      <c r="P25" s="835">
        <v>4408</v>
      </c>
      <c r="Q25" s="468">
        <f>29238.24*20.569</f>
        <v>601401.35855999996</v>
      </c>
      <c r="R25" s="642" t="s">
        <v>295</v>
      </c>
      <c r="S25" s="103">
        <f t="shared" si="0"/>
        <v>754887.35855999996</v>
      </c>
      <c r="T25" s="103">
        <f t="shared" si="5"/>
        <v>39.477346486807924</v>
      </c>
      <c r="W25" s="277"/>
      <c r="X25" s="277"/>
      <c r="Y25" s="397"/>
      <c r="Z25" s="396">
        <v>5.0000000000000001E-3</v>
      </c>
      <c r="AA25" s="397">
        <f t="shared" si="6"/>
        <v>0</v>
      </c>
      <c r="AB25" s="397">
        <f t="shared" si="7"/>
        <v>0</v>
      </c>
      <c r="AC25" s="397">
        <f t="shared" si="8"/>
        <v>0</v>
      </c>
    </row>
    <row r="26" spans="1:29" s="330" customFormat="1" ht="15.75" x14ac:dyDescent="0.25">
      <c r="A26" s="331">
        <v>23</v>
      </c>
      <c r="B26" s="309" t="str">
        <f>PIERNA!HA5</f>
        <v>IDEAL TRADING</v>
      </c>
      <c r="C26" s="309" t="str">
        <f>PIERNA!HB5</f>
        <v>Seaboard</v>
      </c>
      <c r="D26" s="184" t="str">
        <f>PIERNA!HC5</f>
        <v>PED. 32247488</v>
      </c>
      <c r="E26" s="150">
        <f>PIERNA!HD5</f>
        <v>43448</v>
      </c>
      <c r="F26" s="300">
        <f>PIERNA!HE5</f>
        <v>16203.52</v>
      </c>
      <c r="G26" s="337">
        <f>PIERNA!HF5</f>
        <v>18</v>
      </c>
      <c r="H26" s="64">
        <f>PIERNA!HG5</f>
        <v>16247.6</v>
      </c>
      <c r="I26" s="192">
        <f>PIERNA!I26</f>
        <v>-44.079999999999927</v>
      </c>
      <c r="J26" s="454" t="s">
        <v>330</v>
      </c>
      <c r="K26" s="458">
        <v>104083</v>
      </c>
      <c r="L26" s="459" t="s">
        <v>351</v>
      </c>
      <c r="M26" s="465">
        <v>30160</v>
      </c>
      <c r="N26" s="476" t="s">
        <v>343</v>
      </c>
      <c r="O26" s="467">
        <v>202252</v>
      </c>
      <c r="P26" s="835">
        <v>3915</v>
      </c>
      <c r="Q26" s="468">
        <f>25672.19*20.149</f>
        <v>517268.95630999998</v>
      </c>
      <c r="R26" s="642" t="s">
        <v>353</v>
      </c>
      <c r="S26" s="103">
        <f t="shared" si="0"/>
        <v>655426.95631000004</v>
      </c>
      <c r="T26" s="103">
        <f t="shared" si="5"/>
        <v>40.439924438686333</v>
      </c>
      <c r="W26" s="277"/>
      <c r="X26" s="277"/>
      <c r="Y26" s="397"/>
      <c r="Z26" s="396">
        <v>5.0000000000000001E-3</v>
      </c>
      <c r="AA26" s="397">
        <f t="shared" si="6"/>
        <v>0</v>
      </c>
      <c r="AB26" s="397">
        <f t="shared" si="7"/>
        <v>0</v>
      </c>
      <c r="AC26" s="397">
        <f t="shared" si="8"/>
        <v>0</v>
      </c>
    </row>
    <row r="27" spans="1:29" s="330" customFormat="1" ht="15.75" x14ac:dyDescent="0.25">
      <c r="A27" s="331">
        <v>24</v>
      </c>
      <c r="B27" s="128" t="str">
        <f>PIERNA!HJ5</f>
        <v>SMTHFIELD FARMLAND</v>
      </c>
      <c r="C27" s="309" t="str">
        <f>PIERNA!HK5</f>
        <v>Smithfield</v>
      </c>
      <c r="D27" s="184" t="str">
        <f>PIERNA!HL5</f>
        <v>PED.32246261</v>
      </c>
      <c r="E27" s="150">
        <f>PIERNA!HM5</f>
        <v>43448</v>
      </c>
      <c r="F27" s="300">
        <f>PIERNA!HN5</f>
        <v>18519.490000000002</v>
      </c>
      <c r="G27" s="337">
        <f>PIERNA!HO5</f>
        <v>20</v>
      </c>
      <c r="H27" s="64">
        <f>PIERNA!HP5</f>
        <v>18953.21</v>
      </c>
      <c r="I27" s="333">
        <f>PIERNA!I27</f>
        <v>-433.71999999999753</v>
      </c>
      <c r="J27" s="454" t="s">
        <v>331</v>
      </c>
      <c r="K27" s="458">
        <v>113871</v>
      </c>
      <c r="L27" s="459" t="s">
        <v>351</v>
      </c>
      <c r="M27" s="465">
        <v>30160</v>
      </c>
      <c r="N27" s="476" t="s">
        <v>343</v>
      </c>
      <c r="O27" s="467">
        <v>9000586817</v>
      </c>
      <c r="P27" s="835">
        <v>4321</v>
      </c>
      <c r="Q27" s="468">
        <f>28493.78*19.955</f>
        <v>568593.37989999994</v>
      </c>
      <c r="R27" s="472" t="s">
        <v>430</v>
      </c>
      <c r="S27" s="103">
        <f t="shared" si="0"/>
        <v>716945.37989999994</v>
      </c>
      <c r="T27" s="103">
        <f t="shared" si="5"/>
        <v>37.927121627418259</v>
      </c>
      <c r="W27" s="277"/>
      <c r="Y27" s="397"/>
      <c r="Z27" s="396">
        <v>5.0000000000000001E-3</v>
      </c>
      <c r="AA27" s="397">
        <f t="shared" si="6"/>
        <v>0</v>
      </c>
      <c r="AB27" s="397">
        <f t="shared" si="7"/>
        <v>0</v>
      </c>
      <c r="AC27" s="397">
        <f t="shared" si="8"/>
        <v>0</v>
      </c>
    </row>
    <row r="28" spans="1:29" s="330" customFormat="1" ht="15.75" x14ac:dyDescent="0.25">
      <c r="A28" s="331">
        <v>25</v>
      </c>
      <c r="B28" s="309" t="str">
        <f>PIERNA!HS5</f>
        <v>SMITHFIELD FRESH MEATS</v>
      </c>
      <c r="C28" s="309" t="str">
        <f>PIERNA!HT5</f>
        <v>Smithfield</v>
      </c>
      <c r="D28" s="184" t="str">
        <f>PIERNA!HU5</f>
        <v>PED.32128976</v>
      </c>
      <c r="E28" s="150">
        <f>PIERNA!HV5</f>
        <v>43448</v>
      </c>
      <c r="F28" s="300">
        <f>PIERNA!HW5</f>
        <v>19022.88</v>
      </c>
      <c r="G28" s="337">
        <f>PIERNA!HX5</f>
        <v>20</v>
      </c>
      <c r="H28" s="64">
        <f>PIERNA!HY5</f>
        <v>19332.900000000001</v>
      </c>
      <c r="I28" s="333">
        <f>PIERNA!I28</f>
        <v>-310.02000000000044</v>
      </c>
      <c r="J28" s="454" t="s">
        <v>332</v>
      </c>
      <c r="K28" s="652">
        <v>117727</v>
      </c>
      <c r="L28" s="459" t="s">
        <v>349</v>
      </c>
      <c r="M28" s="465">
        <v>28304</v>
      </c>
      <c r="N28" s="476" t="s">
        <v>297</v>
      </c>
      <c r="O28" s="467">
        <v>9000583017</v>
      </c>
      <c r="P28" s="835">
        <v>4408</v>
      </c>
      <c r="Q28" s="468">
        <f>29064.45*19.9</f>
        <v>578382.55499999993</v>
      </c>
      <c r="R28" s="472" t="s">
        <v>355</v>
      </c>
      <c r="S28" s="103">
        <f t="shared" si="0"/>
        <v>728821.55499999993</v>
      </c>
      <c r="T28" s="103">
        <f t="shared" si="5"/>
        <v>37.798511604570443</v>
      </c>
      <c r="W28" s="277"/>
      <c r="X28" s="277"/>
      <c r="Y28" s="397"/>
      <c r="Z28" s="396">
        <v>0</v>
      </c>
      <c r="AA28" s="397">
        <f t="shared" si="6"/>
        <v>0</v>
      </c>
      <c r="AB28" s="397">
        <f t="shared" si="7"/>
        <v>0</v>
      </c>
      <c r="AC28" s="397">
        <f t="shared" si="8"/>
        <v>0</v>
      </c>
    </row>
    <row r="29" spans="1:29" s="330" customFormat="1" ht="15.75" x14ac:dyDescent="0.25">
      <c r="A29" s="331">
        <v>26</v>
      </c>
      <c r="B29" s="309" t="str">
        <f>PIERNA!IB5</f>
        <v>SEABOARD FOODS</v>
      </c>
      <c r="C29" s="309" t="str">
        <f>PIERNA!IC5</f>
        <v>Seaboard</v>
      </c>
      <c r="D29" s="184" t="str">
        <f>PIERNA!ID5</f>
        <v>PED. 32245334</v>
      </c>
      <c r="E29" s="150">
        <f>PIERNA!IE5</f>
        <v>43449</v>
      </c>
      <c r="F29" s="300">
        <f>PIERNA!IF5</f>
        <v>16315.02</v>
      </c>
      <c r="G29" s="337">
        <f>PIERNA!IG5</f>
        <v>18</v>
      </c>
      <c r="H29" s="64">
        <f>PIERNA!IH5</f>
        <v>16343.8</v>
      </c>
      <c r="I29" s="333">
        <f>PIERNA!II5</f>
        <v>-28.779999999998836</v>
      </c>
      <c r="J29" s="454" t="s">
        <v>334</v>
      </c>
      <c r="K29" s="458">
        <v>106218</v>
      </c>
      <c r="L29" s="459" t="s">
        <v>351</v>
      </c>
      <c r="M29" s="465">
        <v>28304</v>
      </c>
      <c r="N29" s="476" t="s">
        <v>297</v>
      </c>
      <c r="O29" s="467">
        <v>1558443</v>
      </c>
      <c r="P29" s="835">
        <v>3857</v>
      </c>
      <c r="Q29" s="468">
        <f>25643.98*20.287</f>
        <v>520239.42225999996</v>
      </c>
      <c r="R29" s="472" t="s">
        <v>347</v>
      </c>
      <c r="S29" s="103">
        <f t="shared" si="0"/>
        <v>658618.4222599999</v>
      </c>
      <c r="T29" s="103">
        <f t="shared" si="5"/>
        <v>40.397753414750547</v>
      </c>
      <c r="W29" s="277"/>
      <c r="X29" s="277"/>
      <c r="Y29" s="397"/>
      <c r="Z29" s="396"/>
      <c r="AA29" s="397"/>
      <c r="AB29" s="397"/>
      <c r="AC29" s="397">
        <f>SUM(AC7:AC28)</f>
        <v>0</v>
      </c>
    </row>
    <row r="30" spans="1:29" s="330" customFormat="1" ht="15.75" x14ac:dyDescent="0.25">
      <c r="A30" s="331">
        <v>27</v>
      </c>
      <c r="B30" s="309" t="str">
        <f>PIERNA!IK5</f>
        <v>SMITHFIELD FARMLAND</v>
      </c>
      <c r="C30" s="309" t="str">
        <f>PIERNA!IL5</f>
        <v>Smithfield</v>
      </c>
      <c r="D30" s="184" t="str">
        <f>PIERNA!IM5</f>
        <v>PED. 32303651</v>
      </c>
      <c r="E30" s="150">
        <f>PIERNA!IN5</f>
        <v>43449</v>
      </c>
      <c r="F30" s="300">
        <f>PIERNA!IO5</f>
        <v>19084.8</v>
      </c>
      <c r="G30" s="337">
        <f>PIERNA!IP5</f>
        <v>20</v>
      </c>
      <c r="H30" s="64">
        <f>PIERNA!IQ5</f>
        <v>19247.63</v>
      </c>
      <c r="I30" s="333">
        <f>PIERNA!IR5</f>
        <v>-162.83000000000175</v>
      </c>
      <c r="J30" s="454" t="s">
        <v>335</v>
      </c>
      <c r="K30" s="652">
        <v>124324</v>
      </c>
      <c r="L30" s="459" t="s">
        <v>297</v>
      </c>
      <c r="M30" s="465">
        <v>30160</v>
      </c>
      <c r="N30" s="476" t="s">
        <v>344</v>
      </c>
      <c r="O30" s="467">
        <v>9000589699</v>
      </c>
      <c r="P30" s="835">
        <v>4582</v>
      </c>
      <c r="Q30" s="468">
        <f>29780.85*19.955</f>
        <v>594276.86174999992</v>
      </c>
      <c r="R30" s="472" t="s">
        <v>427</v>
      </c>
      <c r="S30" s="103">
        <f>Q30+M30+K30+P30</f>
        <v>753342.86174999992</v>
      </c>
      <c r="T30" s="103">
        <f t="shared" si="5"/>
        <v>39.239512851712128</v>
      </c>
      <c r="W30" s="277"/>
      <c r="X30" s="277"/>
      <c r="Y30" s="397"/>
      <c r="Z30" s="396"/>
      <c r="AA30" s="397"/>
      <c r="AB30" s="397"/>
      <c r="AC30" s="397"/>
    </row>
    <row r="31" spans="1:29" s="330" customFormat="1" ht="15.75" x14ac:dyDescent="0.25">
      <c r="A31" s="331">
        <v>28</v>
      </c>
      <c r="B31" s="309" t="str">
        <f>PIERNA!IT5</f>
        <v>SEABOARD FOODS</v>
      </c>
      <c r="C31" s="310" t="str">
        <f>PIERNA!IU5</f>
        <v>Seaboard</v>
      </c>
      <c r="D31" s="184" t="str">
        <f>PIERNA!IV5</f>
        <v>PED. 32303653</v>
      </c>
      <c r="E31" s="150">
        <f>PIERNA!IW5</f>
        <v>43450</v>
      </c>
      <c r="F31" s="300">
        <f>PIERNA!IX5</f>
        <v>18675.97</v>
      </c>
      <c r="G31" s="337">
        <f>PIERNA!IY5</f>
        <v>21</v>
      </c>
      <c r="H31" s="64">
        <f>PIERNA!IZ5</f>
        <v>18720.599999999999</v>
      </c>
      <c r="I31" s="333">
        <f>PIERNA!JA5</f>
        <v>-44.629999999997381</v>
      </c>
      <c r="J31" s="454" t="s">
        <v>336</v>
      </c>
      <c r="K31" s="458">
        <v>114315</v>
      </c>
      <c r="L31" s="459" t="s">
        <v>297</v>
      </c>
      <c r="M31" s="465">
        <v>30160</v>
      </c>
      <c r="N31" s="476" t="s">
        <v>345</v>
      </c>
      <c r="O31" s="762">
        <v>1558444</v>
      </c>
      <c r="P31" s="835">
        <v>4321</v>
      </c>
      <c r="Q31" s="468">
        <f>28659.28*20.258</f>
        <v>580579.69423999998</v>
      </c>
      <c r="R31" s="472" t="s">
        <v>437</v>
      </c>
      <c r="S31" s="103">
        <f t="shared" si="0"/>
        <v>729375.69423999998</v>
      </c>
      <c r="T31" s="103">
        <f t="shared" si="5"/>
        <v>39.061128074954865</v>
      </c>
      <c r="W31" s="277"/>
      <c r="X31" s="277"/>
      <c r="Y31" s="397"/>
      <c r="Z31" s="396"/>
      <c r="AA31" s="397"/>
      <c r="AB31" s="397"/>
      <c r="AC31" s="397"/>
    </row>
    <row r="32" spans="1:29" s="330" customFormat="1" ht="15.75" x14ac:dyDescent="0.25">
      <c r="A32" s="331">
        <v>29</v>
      </c>
      <c r="B32" s="309" t="str">
        <f>PIERNA!JC5</f>
        <v>SEABOARD FOODS</v>
      </c>
      <c r="C32" s="309" t="str">
        <f>PIERNA!JD5</f>
        <v>Seaboard</v>
      </c>
      <c r="D32" s="184" t="str">
        <f>PIERNA!JE5</f>
        <v>PED. 32303269</v>
      </c>
      <c r="E32" s="150">
        <f>PIERNA!JF5</f>
        <v>43450</v>
      </c>
      <c r="F32" s="300">
        <f>PIERNA!JG5</f>
        <v>18682.89</v>
      </c>
      <c r="G32" s="337">
        <f>PIERNA!JH5</f>
        <v>21</v>
      </c>
      <c r="H32" s="64">
        <f>PIERNA!JI5</f>
        <v>18771.099999999999</v>
      </c>
      <c r="I32" s="333">
        <f>PIERNA!JJ5</f>
        <v>-88.209999999999127</v>
      </c>
      <c r="J32" s="454" t="s">
        <v>337</v>
      </c>
      <c r="K32" s="458">
        <v>114596</v>
      </c>
      <c r="L32" s="459" t="s">
        <v>297</v>
      </c>
      <c r="M32" s="465">
        <v>30160</v>
      </c>
      <c r="N32" s="476" t="s">
        <v>345</v>
      </c>
      <c r="O32" s="467">
        <v>1558445</v>
      </c>
      <c r="P32" s="835"/>
      <c r="Q32" s="468">
        <f>28736.36*20.258</f>
        <v>582141.18088</v>
      </c>
      <c r="R32" s="472" t="s">
        <v>437</v>
      </c>
      <c r="S32" s="103">
        <f>Q32+M32+K32+P32</f>
        <v>726897.18088</v>
      </c>
      <c r="T32" s="103">
        <f t="shared" si="5"/>
        <v>38.824271932918158</v>
      </c>
      <c r="U32" s="330">
        <v>4321</v>
      </c>
      <c r="W32" s="277"/>
      <c r="X32" s="277"/>
      <c r="Y32" s="397"/>
      <c r="Z32" s="396"/>
      <c r="AA32" s="397"/>
      <c r="AB32" s="397"/>
      <c r="AC32" s="397"/>
    </row>
    <row r="33" spans="1:29" s="330" customFormat="1" ht="15.75" x14ac:dyDescent="0.25">
      <c r="A33" s="331">
        <v>30</v>
      </c>
      <c r="B33" s="744" t="str">
        <f>PIERNA!JL5</f>
        <v>SMITHFIELD FARMALND</v>
      </c>
      <c r="C33" s="309" t="str">
        <f>PIERNA!JM5</f>
        <v>Smithfield</v>
      </c>
      <c r="D33" s="184" t="str">
        <f>PIERNA!JN5</f>
        <v>PED. 32357668</v>
      </c>
      <c r="E33" s="150">
        <f>PIERNA!JO5</f>
        <v>43452</v>
      </c>
      <c r="F33" s="300">
        <f>PIERNA!JP5</f>
        <v>18764.29</v>
      </c>
      <c r="G33" s="337">
        <f>PIERNA!JQ5</f>
        <v>20</v>
      </c>
      <c r="H33" s="64">
        <f>PIERNA!JR5</f>
        <v>18931.53</v>
      </c>
      <c r="I33" s="333">
        <f>PIERNA!JS5</f>
        <v>-167.23999999999796</v>
      </c>
      <c r="J33" s="454" t="s">
        <v>384</v>
      </c>
      <c r="K33" s="652">
        <v>113732</v>
      </c>
      <c r="L33" s="459" t="s">
        <v>438</v>
      </c>
      <c r="M33" s="465">
        <v>30160</v>
      </c>
      <c r="N33" s="476" t="s">
        <v>345</v>
      </c>
      <c r="O33" s="454">
        <v>9000596039</v>
      </c>
      <c r="P33" s="839">
        <v>4321</v>
      </c>
      <c r="Q33" s="468">
        <f>28256.51*19.98</f>
        <v>564565.06979999994</v>
      </c>
      <c r="R33" s="472" t="s">
        <v>429</v>
      </c>
      <c r="S33" s="103">
        <f>Q33+M33+K33+P33</f>
        <v>712778.06979999994</v>
      </c>
      <c r="T33" s="103">
        <f t="shared" si="5"/>
        <v>37.750315098674008</v>
      </c>
      <c r="W33" s="277"/>
      <c r="X33" s="277"/>
      <c r="Y33" s="397"/>
      <c r="Z33" s="396"/>
      <c r="AA33" s="397"/>
      <c r="AB33" s="397"/>
      <c r="AC33" s="397"/>
    </row>
    <row r="34" spans="1:29" s="330" customFormat="1" ht="15.75" x14ac:dyDescent="0.25">
      <c r="A34" s="331">
        <v>31</v>
      </c>
      <c r="B34" s="309" t="str">
        <f>PIERNA!B34</f>
        <v>IDEAL TRADING</v>
      </c>
      <c r="C34" s="338" t="str">
        <f>PIERNA!C34</f>
        <v xml:space="preserve">I B P </v>
      </c>
      <c r="D34" s="184" t="str">
        <f>PIERNA!D34</f>
        <v>PED. 32357161</v>
      </c>
      <c r="E34" s="150">
        <f>PIERNA!E34</f>
        <v>43452</v>
      </c>
      <c r="F34" s="300">
        <f>PIERNA!F34</f>
        <v>18691.78</v>
      </c>
      <c r="G34" s="337">
        <f>PIERNA!G34</f>
        <v>20</v>
      </c>
      <c r="H34" s="64">
        <f>PIERNA!H34</f>
        <v>18638.900000000001</v>
      </c>
      <c r="I34" s="333">
        <f>F34-H34</f>
        <v>52.879999999997381</v>
      </c>
      <c r="J34" s="454" t="s">
        <v>385</v>
      </c>
      <c r="K34" s="458">
        <v>113147</v>
      </c>
      <c r="L34" s="459" t="s">
        <v>438</v>
      </c>
      <c r="M34" s="465">
        <v>30160</v>
      </c>
      <c r="N34" s="476" t="s">
        <v>345</v>
      </c>
      <c r="O34" s="467">
        <v>202255</v>
      </c>
      <c r="P34" s="840">
        <v>4321</v>
      </c>
      <c r="Q34" s="465">
        <f>28477.45*19.891</f>
        <v>566444.95794999995</v>
      </c>
      <c r="R34" s="472" t="s">
        <v>427</v>
      </c>
      <c r="S34" s="103">
        <f>Q34+M34+K34+P34</f>
        <v>714072.95794999995</v>
      </c>
      <c r="T34" s="103">
        <f t="shared" si="5"/>
        <v>38.410895919287078</v>
      </c>
      <c r="W34" s="277"/>
      <c r="X34" s="277"/>
      <c r="Y34" s="397"/>
      <c r="Z34" s="396"/>
      <c r="AA34" s="397"/>
      <c r="AB34" s="397"/>
      <c r="AC34" s="397"/>
    </row>
    <row r="35" spans="1:29" s="330" customFormat="1" ht="15.75" x14ac:dyDescent="0.25">
      <c r="A35" s="331">
        <v>32</v>
      </c>
      <c r="B35" s="309" t="str">
        <f>PIERNA!B35</f>
        <v>SIOUXPREME PACKING</v>
      </c>
      <c r="C35" s="338" t="str">
        <f>PIERNA!C35</f>
        <v>SIOUX</v>
      </c>
      <c r="D35" s="184" t="str">
        <f>PIERNA!D35</f>
        <v>PED, 32357670</v>
      </c>
      <c r="E35" s="150">
        <f>PIERNA!E35</f>
        <v>43452</v>
      </c>
      <c r="F35" s="300">
        <f>PIERNA!F35</f>
        <v>18716.27</v>
      </c>
      <c r="G35" s="182">
        <f>PIERNA!G35</f>
        <v>21</v>
      </c>
      <c r="H35" s="64">
        <f>PIERNA!H35</f>
        <v>18871</v>
      </c>
      <c r="I35" s="333">
        <f>PIERNA!I35</f>
        <v>-154.72999999999956</v>
      </c>
      <c r="J35" s="454" t="s">
        <v>386</v>
      </c>
      <c r="K35" s="458">
        <v>116345</v>
      </c>
      <c r="L35" s="459" t="s">
        <v>438</v>
      </c>
      <c r="M35" s="465">
        <v>30160</v>
      </c>
      <c r="N35" s="476" t="s">
        <v>345</v>
      </c>
      <c r="O35" s="454">
        <v>202254</v>
      </c>
      <c r="P35" s="840">
        <v>4321</v>
      </c>
      <c r="Q35" s="465">
        <f>28369.09*20.144</f>
        <v>571466.94895999995</v>
      </c>
      <c r="R35" s="472" t="s">
        <v>425</v>
      </c>
      <c r="S35" s="103">
        <f>Q35+M35+K35</f>
        <v>717971.94895999995</v>
      </c>
      <c r="T35" s="103">
        <f t="shared" si="5"/>
        <v>38.146311746065393</v>
      </c>
      <c r="W35" s="277"/>
      <c r="X35" s="277"/>
      <c r="Y35" s="397"/>
      <c r="Z35" s="396"/>
      <c r="AA35" s="397"/>
      <c r="AB35" s="397"/>
      <c r="AC35" s="397"/>
    </row>
    <row r="36" spans="1:29" s="330" customFormat="1" ht="15.75" x14ac:dyDescent="0.25">
      <c r="A36" s="331">
        <v>33</v>
      </c>
      <c r="B36" s="339" t="str">
        <f>PIERNA!B36</f>
        <v>IDEAL TRADING</v>
      </c>
      <c r="C36" s="340" t="str">
        <f>PIERNA!C36</f>
        <v>Seaboard</v>
      </c>
      <c r="D36" s="360" t="str">
        <f>PIERNA!D36</f>
        <v>PED. 32396872</v>
      </c>
      <c r="E36" s="215">
        <f>PIERNA!E36</f>
        <v>43453</v>
      </c>
      <c r="F36" s="341">
        <f>PIERNA!F36</f>
        <v>19146.5</v>
      </c>
      <c r="G36" s="342">
        <f>PIERNA!G36</f>
        <v>21</v>
      </c>
      <c r="H36" s="343">
        <f>PIERNA!H36</f>
        <v>19191.3</v>
      </c>
      <c r="I36" s="344">
        <f>PIERNA!I36</f>
        <v>-44.799999999999272</v>
      </c>
      <c r="J36" s="454" t="s">
        <v>387</v>
      </c>
      <c r="K36" s="458">
        <v>111193</v>
      </c>
      <c r="L36" s="459" t="s">
        <v>438</v>
      </c>
      <c r="M36" s="465">
        <v>30160</v>
      </c>
      <c r="N36" s="466" t="s">
        <v>456</v>
      </c>
      <c r="O36" s="467">
        <v>202256</v>
      </c>
      <c r="P36" s="840">
        <v>4379</v>
      </c>
      <c r="Q36" s="465">
        <f>29274.29*19.891</f>
        <v>582294.90238999994</v>
      </c>
      <c r="R36" s="472" t="s">
        <v>427</v>
      </c>
      <c r="S36" s="103">
        <f>Q36+M36+K36</f>
        <v>723647.90238999994</v>
      </c>
      <c r="T36" s="103">
        <f t="shared" si="5"/>
        <v>37.807080937195501</v>
      </c>
      <c r="W36" s="277"/>
      <c r="X36" s="277"/>
      <c r="Y36" s="397"/>
      <c r="Z36" s="396"/>
      <c r="AA36" s="397"/>
      <c r="AB36" s="397"/>
      <c r="AC36" s="397"/>
    </row>
    <row r="37" spans="1:29" s="330" customFormat="1" ht="15.75" x14ac:dyDescent="0.25">
      <c r="A37" s="331">
        <v>34</v>
      </c>
      <c r="B37" s="309" t="str">
        <f>PIERNA!B37</f>
        <v>SMITHFIELD FARMLAND</v>
      </c>
      <c r="C37" s="338" t="str">
        <f>PIERNA!C37</f>
        <v>Smithfield</v>
      </c>
      <c r="D37" s="185" t="str">
        <f>PIERNA!D37</f>
        <v>PED. 32423457</v>
      </c>
      <c r="E37" s="150">
        <f>PIERNA!E37</f>
        <v>43453</v>
      </c>
      <c r="F37" s="300">
        <f>PIERNA!F37</f>
        <v>18894.86</v>
      </c>
      <c r="G37" s="182">
        <f>PIERNA!G37</f>
        <v>20</v>
      </c>
      <c r="H37" s="64">
        <f>PIERNA!H37</f>
        <v>18872.099999999999</v>
      </c>
      <c r="I37" s="333">
        <f>PIERNA!I37</f>
        <v>22.760000000002037</v>
      </c>
      <c r="J37" s="454" t="s">
        <v>388</v>
      </c>
      <c r="K37" s="458">
        <v>108800</v>
      </c>
      <c r="L37" s="459" t="s">
        <v>439</v>
      </c>
      <c r="M37" s="471">
        <v>30160</v>
      </c>
      <c r="N37" s="470" t="s">
        <v>457</v>
      </c>
      <c r="O37" s="467">
        <v>9000600012</v>
      </c>
      <c r="P37" s="840">
        <v>3944</v>
      </c>
      <c r="Q37" s="471">
        <f>25558.7*19.913</f>
        <v>508950.39310000004</v>
      </c>
      <c r="R37" s="705" t="s">
        <v>431</v>
      </c>
      <c r="S37" s="103">
        <f>Q37+M37+K37</f>
        <v>647910.39309999999</v>
      </c>
      <c r="T37" s="103">
        <f t="shared" si="5"/>
        <v>34.431653239438113</v>
      </c>
      <c r="W37" s="277"/>
      <c r="X37" s="277"/>
      <c r="Y37" s="397"/>
      <c r="Z37" s="396"/>
      <c r="AA37" s="397"/>
      <c r="AB37" s="397"/>
      <c r="AC37" s="397"/>
    </row>
    <row r="38" spans="1:29" s="330" customFormat="1" ht="15.75" x14ac:dyDescent="0.25">
      <c r="A38" s="331">
        <v>35</v>
      </c>
      <c r="B38" s="309" t="str">
        <f>PIERNA!B38</f>
        <v>SMITHFIELD FARMLAND</v>
      </c>
      <c r="C38" s="338" t="str">
        <f>PIERNA!C38</f>
        <v>Smithfield</v>
      </c>
      <c r="D38" s="239" t="str">
        <f>PIERNA!D38</f>
        <v>PED. 32422992</v>
      </c>
      <c r="E38" s="150">
        <f>PIERNA!E38</f>
        <v>43453</v>
      </c>
      <c r="F38" s="345">
        <f>PIERNA!F38</f>
        <v>18945.68</v>
      </c>
      <c r="G38" s="182">
        <f>PIERNA!G38</f>
        <v>20</v>
      </c>
      <c r="H38" s="246">
        <f>PIERNA!H38</f>
        <v>18644.43</v>
      </c>
      <c r="I38" s="333">
        <f>PIERNA!I38</f>
        <v>301.25</v>
      </c>
      <c r="J38" s="454" t="s">
        <v>389</v>
      </c>
      <c r="K38" s="458">
        <v>103039</v>
      </c>
      <c r="L38" s="459" t="s">
        <v>439</v>
      </c>
      <c r="M38" s="471">
        <v>30160</v>
      </c>
      <c r="N38" s="470" t="s">
        <v>456</v>
      </c>
      <c r="O38" s="467">
        <v>9000600011</v>
      </c>
      <c r="P38" s="840">
        <v>3857</v>
      </c>
      <c r="Q38" s="465">
        <f>25250.38*19.747</f>
        <v>498619.25386</v>
      </c>
      <c r="R38" s="477" t="s">
        <v>433</v>
      </c>
      <c r="S38" s="103">
        <f>Q38+M38+K38+P38</f>
        <v>635675.25386000006</v>
      </c>
      <c r="T38" s="103">
        <f t="shared" si="5"/>
        <v>34.194646704672657</v>
      </c>
      <c r="W38" s="277"/>
      <c r="X38" s="277"/>
      <c r="Y38" s="397"/>
      <c r="Z38" s="396"/>
      <c r="AA38" s="397"/>
      <c r="AB38" s="397"/>
      <c r="AC38" s="397"/>
    </row>
    <row r="39" spans="1:29" s="330" customFormat="1" ht="15.75" x14ac:dyDescent="0.25">
      <c r="A39" s="331">
        <v>36</v>
      </c>
      <c r="B39" s="309" t="str">
        <f>PIERNA!B39</f>
        <v>SMITHFIELD FARMLAND</v>
      </c>
      <c r="C39" s="338" t="str">
        <f>PIERNA!C39</f>
        <v>Smithfield</v>
      </c>
      <c r="D39" s="239" t="str">
        <f>PIERNA!D39</f>
        <v>PED. 32431056</v>
      </c>
      <c r="E39" s="150">
        <f>PIERNA!E39</f>
        <v>43453</v>
      </c>
      <c r="F39" s="345">
        <f>PIERNA!F39</f>
        <v>18561.97</v>
      </c>
      <c r="G39" s="182">
        <f>PIERNA!G39</f>
        <v>20</v>
      </c>
      <c r="H39" s="246">
        <f>PIERNA!H39</f>
        <v>18606.36</v>
      </c>
      <c r="I39" s="333">
        <f>PIERNA!I39</f>
        <v>-44.389999999999418</v>
      </c>
      <c r="J39" s="454" t="s">
        <v>390</v>
      </c>
      <c r="K39" s="458">
        <v>103397</v>
      </c>
      <c r="L39" s="459" t="s">
        <v>439</v>
      </c>
      <c r="M39" s="465">
        <v>30160</v>
      </c>
      <c r="N39" s="466" t="s">
        <v>456</v>
      </c>
      <c r="O39" s="454">
        <v>9000600013</v>
      </c>
      <c r="P39" s="839">
        <v>3857</v>
      </c>
      <c r="Q39" s="469">
        <f>25198.78*19.748</f>
        <v>497625.50744000002</v>
      </c>
      <c r="R39" s="478" t="s">
        <v>433</v>
      </c>
      <c r="S39" s="103">
        <f>Q39+M39+K39+P39</f>
        <v>635039.50744000007</v>
      </c>
      <c r="T39" s="103">
        <f t="shared" si="5"/>
        <v>34.230238662478854</v>
      </c>
      <c r="W39" s="277"/>
      <c r="X39" s="277"/>
      <c r="Y39" s="397"/>
      <c r="Z39" s="396"/>
      <c r="AA39" s="397"/>
      <c r="AB39" s="397"/>
      <c r="AC39" s="397"/>
    </row>
    <row r="40" spans="1:29" s="330" customFormat="1" ht="15.75" x14ac:dyDescent="0.25">
      <c r="A40" s="331">
        <v>37</v>
      </c>
      <c r="B40" s="309" t="str">
        <f>PIERNA!B40</f>
        <v>SEABOARD FOODS</v>
      </c>
      <c r="C40" s="338" t="str">
        <f>PIERNA!C40</f>
        <v>Saaboard</v>
      </c>
      <c r="D40" s="239" t="str">
        <f>PIERNA!D40</f>
        <v>PED. 32461677</v>
      </c>
      <c r="E40" s="150">
        <f>PIERNA!E40</f>
        <v>43454</v>
      </c>
      <c r="F40" s="345">
        <f>PIERNA!F40</f>
        <v>19010.29</v>
      </c>
      <c r="G40" s="182">
        <f>PIERNA!G40</f>
        <v>21</v>
      </c>
      <c r="H40" s="246">
        <f>PIERNA!H40</f>
        <v>19114.8</v>
      </c>
      <c r="I40" s="333">
        <f>PIERNA!I40</f>
        <v>-104.5099999999984</v>
      </c>
      <c r="J40" s="602" t="s">
        <v>391</v>
      </c>
      <c r="K40" s="458">
        <v>103686</v>
      </c>
      <c r="L40" s="459" t="s">
        <v>441</v>
      </c>
      <c r="M40" s="465">
        <v>32480</v>
      </c>
      <c r="N40" s="466" t="s">
        <v>458</v>
      </c>
      <c r="O40" s="454">
        <v>1560175</v>
      </c>
      <c r="P40" s="839">
        <v>3915</v>
      </c>
      <c r="Q40" s="469">
        <f>26304.41*20.245</f>
        <v>532532.78045000008</v>
      </c>
      <c r="R40" s="498" t="s">
        <v>351</v>
      </c>
      <c r="S40" s="103">
        <f>Q40+M40+K40+P40</f>
        <v>672613.78045000008</v>
      </c>
      <c r="T40" s="103">
        <f t="shared" si="5"/>
        <v>35.288114992048051</v>
      </c>
      <c r="W40" s="277"/>
      <c r="X40" s="277"/>
      <c r="Y40" s="397"/>
      <c r="Z40" s="396"/>
      <c r="AA40" s="397"/>
      <c r="AB40" s="397"/>
      <c r="AC40" s="397"/>
    </row>
    <row r="41" spans="1:29" s="330" customFormat="1" ht="15.75" x14ac:dyDescent="0.25">
      <c r="A41" s="331">
        <v>38</v>
      </c>
      <c r="B41" s="309" t="str">
        <f>PIERNA!B41</f>
        <v>SEABOARD FOODS</v>
      </c>
      <c r="C41" s="335" t="str">
        <f>PIERNA!C41</f>
        <v>Seaboard</v>
      </c>
      <c r="D41" s="239" t="str">
        <f>PIERNA!D41</f>
        <v>PED. 32522436</v>
      </c>
      <c r="E41" s="150">
        <f>PIERNA!E41</f>
        <v>43455</v>
      </c>
      <c r="F41" s="345">
        <f>PIERNA!F41</f>
        <v>18642.97</v>
      </c>
      <c r="G41" s="182">
        <f>PIERNA!G41</f>
        <v>21</v>
      </c>
      <c r="H41" s="246">
        <f>PIERNA!H41</f>
        <v>18699.900000000001</v>
      </c>
      <c r="I41" s="333">
        <f>PIERNA!I41</f>
        <v>-56.930000000000291</v>
      </c>
      <c r="J41" s="454" t="s">
        <v>392</v>
      </c>
      <c r="K41" s="458">
        <v>97117</v>
      </c>
      <c r="L41" s="459" t="s">
        <v>460</v>
      </c>
      <c r="M41" s="465">
        <v>32480</v>
      </c>
      <c r="N41" s="466" t="s">
        <v>448</v>
      </c>
      <c r="O41" s="454">
        <v>1560176</v>
      </c>
      <c r="P41" s="839">
        <v>3654</v>
      </c>
      <c r="Q41" s="469">
        <f>23961.13*20.25</f>
        <v>485212.88250000001</v>
      </c>
      <c r="R41" s="478" t="s">
        <v>297</v>
      </c>
      <c r="S41" s="103">
        <f>Q41+M41+K41+P41</f>
        <v>618463.88250000007</v>
      </c>
      <c r="T41" s="103">
        <f t="shared" si="5"/>
        <v>33.173111754608314</v>
      </c>
      <c r="W41" s="277"/>
      <c r="X41" s="277"/>
      <c r="Y41" s="397"/>
      <c r="AA41" s="397"/>
      <c r="AB41" s="397"/>
      <c r="AC41" s="397"/>
    </row>
    <row r="42" spans="1:29" s="330" customFormat="1" ht="15.75" x14ac:dyDescent="0.25">
      <c r="A42" s="331">
        <v>39</v>
      </c>
      <c r="B42" s="309" t="str">
        <f>PIERNA!B42</f>
        <v>SMITHFIELF FARMLAND</v>
      </c>
      <c r="C42" s="346" t="str">
        <f>PIERNA!C42</f>
        <v>Smithfield</v>
      </c>
      <c r="D42" s="375" t="str">
        <f>PIERNA!D42</f>
        <v>PED. 32582510</v>
      </c>
      <c r="E42" s="150">
        <f>PIERNA!E42</f>
        <v>43456</v>
      </c>
      <c r="F42" s="300">
        <f>PIERNA!F42</f>
        <v>17895.66</v>
      </c>
      <c r="G42" s="182">
        <f>PIERNA!G42</f>
        <v>19</v>
      </c>
      <c r="H42" s="64">
        <f>PIERNA!H42</f>
        <v>17995.45</v>
      </c>
      <c r="I42" s="333">
        <f>PIERNA!I42</f>
        <v>-99.790000000000873</v>
      </c>
      <c r="J42" s="454" t="s">
        <v>393</v>
      </c>
      <c r="K42" s="458">
        <v>89408</v>
      </c>
      <c r="L42" s="459" t="s">
        <v>426</v>
      </c>
      <c r="M42" s="465">
        <v>32480</v>
      </c>
      <c r="N42" s="466" t="s">
        <v>449</v>
      </c>
      <c r="O42" s="454">
        <v>9000606389</v>
      </c>
      <c r="P42" s="839">
        <v>3480</v>
      </c>
      <c r="Q42" s="469">
        <f>22665.22*19.716</f>
        <v>446867.47752000007</v>
      </c>
      <c r="R42" s="478" t="s">
        <v>434</v>
      </c>
      <c r="S42" s="103">
        <f t="shared" ref="S42:S59" si="9">Q42+M42+K42</f>
        <v>568755.47752000007</v>
      </c>
      <c r="T42" s="103">
        <f t="shared" ref="T42:T71" si="10">S42/H42+0.1</f>
        <v>31.705515700913292</v>
      </c>
      <c r="W42" s="277"/>
      <c r="X42" s="277"/>
      <c r="Y42" s="397"/>
      <c r="AA42" s="397"/>
      <c r="AB42" s="397"/>
      <c r="AC42" s="397"/>
    </row>
    <row r="43" spans="1:29" s="330" customFormat="1" ht="15.75" x14ac:dyDescent="0.25">
      <c r="A43" s="331">
        <v>40</v>
      </c>
      <c r="B43" s="309" t="str">
        <f>PIERNA!B43</f>
        <v>SEABOARD FOODS</v>
      </c>
      <c r="C43" s="338" t="str">
        <f>PIERNA!C43</f>
        <v>Seaboard</v>
      </c>
      <c r="D43" s="210" t="str">
        <f>PIERNA!D43</f>
        <v>PED. 32582936</v>
      </c>
      <c r="E43" s="150">
        <f>PIERNA!E43</f>
        <v>43456</v>
      </c>
      <c r="F43" s="300">
        <f>PIERNA!F43</f>
        <v>19111.86</v>
      </c>
      <c r="G43" s="182">
        <f>PIERNA!G43</f>
        <v>21</v>
      </c>
      <c r="H43" s="64">
        <f>PIERNA!H43</f>
        <v>19239.5</v>
      </c>
      <c r="I43" s="333">
        <f>PIERNA!I43</f>
        <v>-127.63999999999942</v>
      </c>
      <c r="J43" s="454" t="s">
        <v>394</v>
      </c>
      <c r="K43" s="458">
        <v>97891</v>
      </c>
      <c r="L43" s="459" t="s">
        <v>426</v>
      </c>
      <c r="M43" s="465">
        <v>32480</v>
      </c>
      <c r="N43" s="466" t="s">
        <v>450</v>
      </c>
      <c r="O43" s="467">
        <v>1560924</v>
      </c>
      <c r="P43" s="840">
        <v>3741</v>
      </c>
      <c r="Q43" s="465">
        <f>24974.54*20.345</f>
        <v>508107.01630000002</v>
      </c>
      <c r="R43" s="479" t="s">
        <v>352</v>
      </c>
      <c r="S43" s="103">
        <f t="shared" si="9"/>
        <v>638478.01630000002</v>
      </c>
      <c r="T43" s="103">
        <f>S43/H43+0.1</f>
        <v>33.285790498713588</v>
      </c>
    </row>
    <row r="44" spans="1:29" s="330" customFormat="1" ht="15.75" x14ac:dyDescent="0.25">
      <c r="A44" s="331">
        <v>41</v>
      </c>
      <c r="B44" s="339" t="str">
        <f>PIERNA!B44</f>
        <v>SEABOARD FOODS</v>
      </c>
      <c r="C44" s="338" t="str">
        <f>PIERNA!C44</f>
        <v>Seaboard</v>
      </c>
      <c r="D44" s="375" t="str">
        <f>PIERNA!D44</f>
        <v>PED.32462128</v>
      </c>
      <c r="E44" s="150">
        <f>PIERNA!E44</f>
        <v>43456</v>
      </c>
      <c r="F44" s="300">
        <f>PIERNA!F44</f>
        <v>18674.21</v>
      </c>
      <c r="G44" s="182">
        <f>PIERNA!G44</f>
        <v>21</v>
      </c>
      <c r="H44" s="64">
        <f>PIERNA!H44</f>
        <v>18676.3</v>
      </c>
      <c r="I44" s="333">
        <f>PIERNA!I44</f>
        <v>-2.0900000000001455</v>
      </c>
      <c r="J44" s="454" t="s">
        <v>395</v>
      </c>
      <c r="K44" s="458">
        <v>101530</v>
      </c>
      <c r="L44" s="459" t="s">
        <v>441</v>
      </c>
      <c r="M44" s="465">
        <v>28304</v>
      </c>
      <c r="N44" s="466" t="s">
        <v>425</v>
      </c>
      <c r="O44" s="467">
        <v>1560174</v>
      </c>
      <c r="P44" s="840">
        <v>3857</v>
      </c>
      <c r="Q44" s="465">
        <f>25700.8*20.245</f>
        <v>520312.696</v>
      </c>
      <c r="R44" s="472" t="s">
        <v>351</v>
      </c>
      <c r="S44" s="103">
        <f>Q44+M44+K44</f>
        <v>650146.696</v>
      </c>
      <c r="T44" s="103">
        <f t="shared" si="10"/>
        <v>34.911322156958285</v>
      </c>
    </row>
    <row r="45" spans="1:29" s="330" customFormat="1" ht="15.75" x14ac:dyDescent="0.25">
      <c r="A45" s="331">
        <v>42</v>
      </c>
      <c r="B45" s="339" t="str">
        <f>PIERNA!B45</f>
        <v>SEABOARD FOODS</v>
      </c>
      <c r="C45" s="338" t="str">
        <f>PIERNA!C45</f>
        <v>Seaboard</v>
      </c>
      <c r="D45" s="375" t="str">
        <f>PIERNA!D45</f>
        <v>PED. 32432908</v>
      </c>
      <c r="E45" s="150">
        <f>PIERNA!E45</f>
        <v>43456</v>
      </c>
      <c r="F45" s="300">
        <f>PIERNA!F45</f>
        <v>19485.13</v>
      </c>
      <c r="G45" s="182">
        <f>PIERNA!G45</f>
        <v>214</v>
      </c>
      <c r="H45" s="64">
        <f>PIERNA!H45</f>
        <v>19533.7</v>
      </c>
      <c r="I45" s="333">
        <f>PIERNA!I45</f>
        <v>-48.569999999999709</v>
      </c>
      <c r="J45" s="454" t="s">
        <v>396</v>
      </c>
      <c r="K45" s="458">
        <v>119936</v>
      </c>
      <c r="L45" s="459" t="s">
        <v>439</v>
      </c>
      <c r="M45" s="465">
        <v>28304</v>
      </c>
      <c r="N45" s="466" t="s">
        <v>425</v>
      </c>
      <c r="O45" s="520">
        <v>1559160</v>
      </c>
      <c r="P45" s="840">
        <v>4408</v>
      </c>
      <c r="Q45" s="465">
        <f>29581.35*20.32</f>
        <v>601093.03200000001</v>
      </c>
      <c r="R45" s="472" t="s">
        <v>296</v>
      </c>
      <c r="S45" s="103">
        <f>Q45+M45+K45</f>
        <v>749333.03200000001</v>
      </c>
      <c r="T45" s="103">
        <f t="shared" si="10"/>
        <v>38.461039229639034</v>
      </c>
    </row>
    <row r="46" spans="1:29" s="330" customFormat="1" ht="15.75" x14ac:dyDescent="0.25">
      <c r="A46" s="331">
        <v>43</v>
      </c>
      <c r="B46" s="339" t="str">
        <f>PIERNA!B46</f>
        <v>SMHTFIELD FRESH MEATS</v>
      </c>
      <c r="C46" s="338" t="str">
        <f>PIERNA!C46</f>
        <v>Smithfield</v>
      </c>
      <c r="D46" s="375" t="str">
        <f>PIERNA!D46</f>
        <v>PED. 32582508</v>
      </c>
      <c r="E46" s="150">
        <f>PIERNA!E46</f>
        <v>43456</v>
      </c>
      <c r="F46" s="300">
        <f>PIERNA!F46</f>
        <v>17846.62</v>
      </c>
      <c r="G46" s="182">
        <f>PIERNA!G46</f>
        <v>19</v>
      </c>
      <c r="H46" s="64">
        <f>PIERNA!H46</f>
        <v>17983.21</v>
      </c>
      <c r="I46" s="333">
        <f>PIERNA!I46</f>
        <v>-136.59000000000015</v>
      </c>
      <c r="J46" s="454" t="s">
        <v>397</v>
      </c>
      <c r="K46" s="458">
        <v>93013</v>
      </c>
      <c r="L46" s="459" t="s">
        <v>426</v>
      </c>
      <c r="M46" s="465">
        <v>30160</v>
      </c>
      <c r="N46" s="466" t="s">
        <v>449</v>
      </c>
      <c r="O46" s="520">
        <v>9000606388</v>
      </c>
      <c r="P46" s="840">
        <v>3480</v>
      </c>
      <c r="Q46" s="465">
        <f>22649.79*19.739</f>
        <v>447084.20481000002</v>
      </c>
      <c r="R46" s="472" t="s">
        <v>433</v>
      </c>
      <c r="S46" s="103">
        <f>Q46+M46+K46</f>
        <v>570257.20481000002</v>
      </c>
      <c r="T46" s="103">
        <f t="shared" si="10"/>
        <v>31.810534704871937</v>
      </c>
    </row>
    <row r="47" spans="1:29" s="330" customFormat="1" ht="15.75" x14ac:dyDescent="0.25">
      <c r="A47" s="331">
        <v>44</v>
      </c>
      <c r="B47" s="339" t="str">
        <f>PIERNA!B47</f>
        <v>IDEAL TRADING</v>
      </c>
      <c r="C47" s="338" t="str">
        <f>PIERNA!C47</f>
        <v>Seaboard</v>
      </c>
      <c r="D47" s="375" t="str">
        <f>PIERNA!D47</f>
        <v>PED. 32522435</v>
      </c>
      <c r="E47" s="150">
        <f>PIERNA!E47</f>
        <v>43456</v>
      </c>
      <c r="F47" s="300">
        <f>PIERNA!F47</f>
        <v>18710.03</v>
      </c>
      <c r="G47" s="182">
        <f>PIERNA!G47</f>
        <v>21</v>
      </c>
      <c r="H47" s="64">
        <f>PIERNA!H47</f>
        <v>18844.8</v>
      </c>
      <c r="I47" s="333">
        <f>PIERNA!I47</f>
        <v>-134.77000000000044</v>
      </c>
      <c r="J47" s="454" t="s">
        <v>398</v>
      </c>
      <c r="K47" s="458">
        <v>96030</v>
      </c>
      <c r="L47" s="459" t="s">
        <v>457</v>
      </c>
      <c r="M47" s="525">
        <v>28304</v>
      </c>
      <c r="N47" s="470" t="s">
        <v>426</v>
      </c>
      <c r="O47" s="523">
        <v>202259</v>
      </c>
      <c r="P47" s="840">
        <v>3770</v>
      </c>
      <c r="Q47" s="465">
        <f>24341.96*19.955</f>
        <v>485743.81179999997</v>
      </c>
      <c r="R47" s="472" t="s">
        <v>427</v>
      </c>
      <c r="S47" s="103">
        <f>Q47+M47+K47</f>
        <v>610077.81180000002</v>
      </c>
      <c r="T47" s="103">
        <f>S47/H47</f>
        <v>32.373801356342334</v>
      </c>
    </row>
    <row r="48" spans="1:29" s="330" customFormat="1" ht="15.75" x14ac:dyDescent="0.25">
      <c r="A48" s="331">
        <v>45</v>
      </c>
      <c r="B48" s="339" t="str">
        <f>PIERNA!B48</f>
        <v>SEABOARD FOODS</v>
      </c>
      <c r="C48" s="338" t="str">
        <f>PIERNA!C48</f>
        <v>Seboard</v>
      </c>
      <c r="D48" s="375" t="str">
        <f>PIERNA!D48</f>
        <v>PED. 32582934</v>
      </c>
      <c r="E48" s="150">
        <f>PIERNA!E48</f>
        <v>43456</v>
      </c>
      <c r="F48" s="300">
        <f>PIERNA!F48</f>
        <v>18844.64</v>
      </c>
      <c r="G48" s="182">
        <f>PIERNA!G48</f>
        <v>21</v>
      </c>
      <c r="H48" s="64">
        <f>PIERNA!H48</f>
        <v>18904.8</v>
      </c>
      <c r="I48" s="333">
        <f>PIERNA!I48</f>
        <v>-60.159999999999854</v>
      </c>
      <c r="J48" s="602" t="s">
        <v>399</v>
      </c>
      <c r="K48" s="458">
        <v>96357</v>
      </c>
      <c r="L48" s="459" t="s">
        <v>426</v>
      </c>
      <c r="M48" s="469">
        <v>28304</v>
      </c>
      <c r="N48" s="470" t="s">
        <v>427</v>
      </c>
      <c r="O48" s="520">
        <v>1560925</v>
      </c>
      <c r="P48" s="840">
        <v>3683</v>
      </c>
      <c r="Q48" s="465">
        <f>24540.01*20.345</f>
        <v>499266.50344999996</v>
      </c>
      <c r="R48" s="472" t="s">
        <v>352</v>
      </c>
      <c r="S48" s="103">
        <f>Q48+M48+K48</f>
        <v>623927.50344999996</v>
      </c>
      <c r="T48" s="103">
        <f t="shared" ref="T48:T65" si="11">S48/H48</f>
        <v>33.003655338855737</v>
      </c>
    </row>
    <row r="49" spans="1:20" s="330" customFormat="1" ht="15.75" x14ac:dyDescent="0.25">
      <c r="A49" s="331">
        <v>46</v>
      </c>
      <c r="B49" s="339" t="str">
        <f>PIERNA!OZ5</f>
        <v>SMITHFIELD FARMLAND</v>
      </c>
      <c r="C49" s="338" t="str">
        <f>PIERNA!PA5</f>
        <v>Smithfield</v>
      </c>
      <c r="D49" s="375" t="str">
        <f>PIERNA!D49</f>
        <v>PED.32582934</v>
      </c>
      <c r="E49" s="150">
        <f>PIERNA!E49</f>
        <v>43457</v>
      </c>
      <c r="F49" s="300">
        <f>PIERNA!F49</f>
        <v>17511.400000000001</v>
      </c>
      <c r="G49" s="182">
        <f>PIERNA!G49</f>
        <v>19</v>
      </c>
      <c r="H49" s="64">
        <f>PIERNA!H49</f>
        <v>17607.7</v>
      </c>
      <c r="I49" s="333">
        <f>PIERNA!I49</f>
        <v>-96.299999999999272</v>
      </c>
      <c r="J49" s="454" t="s">
        <v>459</v>
      </c>
      <c r="K49" s="458">
        <v>94796</v>
      </c>
      <c r="L49" s="459" t="s">
        <v>457</v>
      </c>
      <c r="M49" s="469">
        <v>28304</v>
      </c>
      <c r="N49" s="470" t="s">
        <v>427</v>
      </c>
      <c r="O49" s="520">
        <v>9000602937</v>
      </c>
      <c r="P49" s="840">
        <v>3625</v>
      </c>
      <c r="Q49" s="465">
        <f>23846.32*19.68</f>
        <v>469295.57759999996</v>
      </c>
      <c r="R49" s="472" t="s">
        <v>434</v>
      </c>
      <c r="S49" s="103">
        <f t="shared" ref="S49:S53" si="12">Q49+M49+K49</f>
        <v>592395.57759999996</v>
      </c>
      <c r="T49" s="103">
        <f t="shared" si="11"/>
        <v>33.64412033371763</v>
      </c>
    </row>
    <row r="50" spans="1:20" s="330" customFormat="1" ht="15.75" x14ac:dyDescent="0.25">
      <c r="A50" s="331">
        <v>47</v>
      </c>
      <c r="B50" s="339" t="str">
        <f>PIERNA!PI5</f>
        <v>IDEAL TRADING</v>
      </c>
      <c r="C50" s="338" t="str">
        <f>PIERNA!PJ5</f>
        <v>SIOUX</v>
      </c>
      <c r="D50" s="375" t="str">
        <f>PIERNA!D50</f>
        <v>PED. 32617670</v>
      </c>
      <c r="E50" s="150">
        <f>PIERNA!E50</f>
        <v>43460</v>
      </c>
      <c r="F50" s="300">
        <f>PIERNA!F50</f>
        <v>18708.07</v>
      </c>
      <c r="G50" s="182">
        <f>PIERNA!G50</f>
        <v>21</v>
      </c>
      <c r="H50" s="64">
        <f>PIERNA!H50</f>
        <v>18884.5</v>
      </c>
      <c r="I50" s="333">
        <f>PIERNA!I50</f>
        <v>-176.43000000000029</v>
      </c>
      <c r="J50" s="454" t="s">
        <v>400</v>
      </c>
      <c r="K50" s="458">
        <v>94536</v>
      </c>
      <c r="L50" s="459" t="s">
        <v>427</v>
      </c>
      <c r="M50" s="469">
        <v>30160</v>
      </c>
      <c r="N50" s="470" t="s">
        <v>451</v>
      </c>
      <c r="O50" s="520">
        <v>202265</v>
      </c>
      <c r="P50" s="840">
        <v>3654</v>
      </c>
      <c r="Q50" s="465">
        <f>23578.67*19.95</f>
        <v>470394.46649999992</v>
      </c>
      <c r="R50" s="472" t="s">
        <v>429</v>
      </c>
      <c r="S50" s="103">
        <f t="shared" si="12"/>
        <v>595090.46649999986</v>
      </c>
      <c r="T50" s="103">
        <f t="shared" si="11"/>
        <v>31.512111334692467</v>
      </c>
    </row>
    <row r="51" spans="1:20" s="330" customFormat="1" ht="15.75" x14ac:dyDescent="0.25">
      <c r="A51" s="331">
        <v>48</v>
      </c>
      <c r="B51" s="339" t="str">
        <f>PIERNA!B49</f>
        <v>SMITHFIELD FARMLAND</v>
      </c>
      <c r="C51" s="338" t="str">
        <f>PIERNA!C49</f>
        <v>Smithfield</v>
      </c>
      <c r="D51" s="375" t="str">
        <f>PIERNA!D51</f>
        <v>PED. 32617977</v>
      </c>
      <c r="E51" s="150">
        <f>PIERNA!E51</f>
        <v>43460</v>
      </c>
      <c r="F51" s="300">
        <f>PIERNA!F51</f>
        <v>18433.55</v>
      </c>
      <c r="G51" s="182">
        <f>PIERNA!G51</f>
        <v>20</v>
      </c>
      <c r="H51" s="64">
        <f>PIERNA!H51</f>
        <v>18509.169999999998</v>
      </c>
      <c r="I51" s="333">
        <f>PIERNA!I51</f>
        <v>-75.619999999998981</v>
      </c>
      <c r="J51" s="454" t="s">
        <v>401</v>
      </c>
      <c r="K51" s="458">
        <v>96181</v>
      </c>
      <c r="L51" s="459" t="s">
        <v>427</v>
      </c>
      <c r="M51" s="469">
        <v>30160</v>
      </c>
      <c r="N51" s="470" t="s">
        <v>451</v>
      </c>
      <c r="O51" s="520" t="s">
        <v>440</v>
      </c>
      <c r="P51" s="840">
        <v>3480</v>
      </c>
      <c r="Q51" s="465">
        <f>22977.86*20.149</f>
        <v>462980.90114000003</v>
      </c>
      <c r="R51" s="472" t="s">
        <v>353</v>
      </c>
      <c r="S51" s="103">
        <f t="shared" si="12"/>
        <v>589321.90113999997</v>
      </c>
      <c r="T51" s="103">
        <f t="shared" si="11"/>
        <v>31.839455855665058</v>
      </c>
    </row>
    <row r="52" spans="1:20" s="330" customFormat="1" ht="15.75" x14ac:dyDescent="0.25">
      <c r="A52" s="331">
        <v>49</v>
      </c>
      <c r="B52" s="339" t="str">
        <f>PIERNA!B50</f>
        <v>IDEAL TRADING</v>
      </c>
      <c r="C52" s="338" t="str">
        <f>PIERNA!C50</f>
        <v>SIOUX</v>
      </c>
      <c r="D52" s="375" t="str">
        <f>PIERNA!D52</f>
        <v>PED. 32617669</v>
      </c>
      <c r="E52" s="150">
        <f>PIERNA!E52</f>
        <v>43460</v>
      </c>
      <c r="F52" s="300">
        <f>PIERNA!F52</f>
        <v>18799.52</v>
      </c>
      <c r="G52" s="182">
        <f>PIERNA!G52</f>
        <v>20</v>
      </c>
      <c r="H52" s="64">
        <f>PIERNA!H52</f>
        <v>18874.73</v>
      </c>
      <c r="I52" s="333">
        <f>PIERNA!I52</f>
        <v>-75.209999999999127</v>
      </c>
      <c r="J52" s="454" t="s">
        <v>402</v>
      </c>
      <c r="K52" s="458">
        <v>95940</v>
      </c>
      <c r="L52" s="459" t="s">
        <v>427</v>
      </c>
      <c r="M52" s="469">
        <v>30160</v>
      </c>
      <c r="N52" s="470" t="s">
        <v>451</v>
      </c>
      <c r="O52" s="520">
        <v>202264</v>
      </c>
      <c r="P52" s="840">
        <v>3654</v>
      </c>
      <c r="Q52" s="465">
        <f>23847.84*19.88</f>
        <v>474095.05919999996</v>
      </c>
      <c r="R52" s="472" t="s">
        <v>429</v>
      </c>
      <c r="S52" s="103">
        <f t="shared" si="12"/>
        <v>600195.05920000002</v>
      </c>
      <c r="T52" s="103">
        <f t="shared" si="11"/>
        <v>31.798868603683339</v>
      </c>
    </row>
    <row r="53" spans="1:20" s="330" customFormat="1" ht="15.75" x14ac:dyDescent="0.25">
      <c r="A53" s="331">
        <v>50</v>
      </c>
      <c r="B53" s="339" t="str">
        <f>PIERNA!QJ5</f>
        <v>SEBOARD FOODS</v>
      </c>
      <c r="C53" s="338" t="str">
        <f>PIERNA!QK5</f>
        <v>Seaboard</v>
      </c>
      <c r="D53" s="375" t="str">
        <f>PIERNA!QL5</f>
        <v>PED. 32638203</v>
      </c>
      <c r="E53" s="150">
        <f>PIERNA!QM5</f>
        <v>43461</v>
      </c>
      <c r="F53" s="300">
        <f>PIERNA!QN5</f>
        <v>18906.099999999999</v>
      </c>
      <c r="G53" s="182">
        <f>PIERNA!QO5</f>
        <v>21</v>
      </c>
      <c r="H53" s="64">
        <f>PIERNA!QP5</f>
        <v>18964.8</v>
      </c>
      <c r="I53" s="333">
        <f>PIERNA!QQ5</f>
        <v>-58.700000000000728</v>
      </c>
      <c r="J53" s="454" t="s">
        <v>411</v>
      </c>
      <c r="K53" s="458">
        <v>93906</v>
      </c>
      <c r="L53" s="459" t="s">
        <v>427</v>
      </c>
      <c r="M53" s="469">
        <v>30160</v>
      </c>
      <c r="N53" s="470" t="s">
        <v>452</v>
      </c>
      <c r="O53" s="520">
        <v>1561948</v>
      </c>
      <c r="P53" s="840">
        <v>3567</v>
      </c>
      <c r="Q53" s="465">
        <f>23890.8*20.123</f>
        <v>480754.56839999999</v>
      </c>
      <c r="R53" s="472" t="s">
        <v>353</v>
      </c>
      <c r="S53" s="103">
        <f t="shared" si="12"/>
        <v>604820.56839999999</v>
      </c>
      <c r="T53" s="103">
        <f t="shared" si="11"/>
        <v>31.89174514890745</v>
      </c>
    </row>
    <row r="54" spans="1:20" s="330" customFormat="1" ht="15.75" x14ac:dyDescent="0.25">
      <c r="A54" s="331">
        <v>51</v>
      </c>
      <c r="B54" s="339" t="str">
        <f>PIERNA!QS5</f>
        <v>TYSON FRESH MEATS</v>
      </c>
      <c r="C54" s="338" t="str">
        <f>PIERNA!QT5</f>
        <v xml:space="preserve">I B P </v>
      </c>
      <c r="D54" s="375" t="str">
        <f>PIERNA!D53</f>
        <v>PED. 32638203</v>
      </c>
      <c r="E54" s="150">
        <f>PIERNA!E53</f>
        <v>43461</v>
      </c>
      <c r="F54" s="300">
        <f>PIERNA!F53</f>
        <v>18906.099999999999</v>
      </c>
      <c r="G54" s="182">
        <f>PIERNA!G53</f>
        <v>21</v>
      </c>
      <c r="H54" s="64">
        <f>PIERNA!H53</f>
        <v>18964.8</v>
      </c>
      <c r="I54" s="333">
        <f>PIERNA!RI5</f>
        <v>0</v>
      </c>
      <c r="J54" s="454" t="s">
        <v>412</v>
      </c>
      <c r="K54" s="458">
        <v>94232</v>
      </c>
      <c r="L54" s="459" t="s">
        <v>429</v>
      </c>
      <c r="M54" s="606">
        <v>30160</v>
      </c>
      <c r="N54" s="470" t="s">
        <v>452</v>
      </c>
      <c r="O54" s="520" t="s">
        <v>424</v>
      </c>
      <c r="P54" s="840">
        <v>3480</v>
      </c>
      <c r="Q54" s="465">
        <f>23122.79*20.0096</f>
        <v>462677.77878399997</v>
      </c>
      <c r="R54" s="472" t="s">
        <v>354</v>
      </c>
      <c r="S54" s="103">
        <f t="shared" si="9"/>
        <v>587069.77878399997</v>
      </c>
      <c r="T54" s="103">
        <f t="shared" si="11"/>
        <v>30.955759026406817</v>
      </c>
    </row>
    <row r="55" spans="1:20" s="330" customFormat="1" ht="15.75" x14ac:dyDescent="0.25">
      <c r="A55" s="331">
        <v>52</v>
      </c>
      <c r="B55" s="821">
        <f>PIERNA!RB5</f>
        <v>0</v>
      </c>
      <c r="C55" s="822">
        <f>PIERNA!RC5</f>
        <v>0</v>
      </c>
      <c r="D55" s="823">
        <f>PIERNA!RD5</f>
        <v>0</v>
      </c>
      <c r="E55" s="824">
        <f>PIERNA!RE5</f>
        <v>0</v>
      </c>
      <c r="F55" s="825">
        <f>PIERNA!RF5</f>
        <v>0</v>
      </c>
      <c r="G55" s="826">
        <f>PIERNA!RG5</f>
        <v>0</v>
      </c>
      <c r="H55" s="827">
        <f>PIERNA!RH5</f>
        <v>0</v>
      </c>
      <c r="I55" s="333">
        <f t="shared" ref="I55:I95" si="13">H55-F55</f>
        <v>0</v>
      </c>
      <c r="J55" s="769" t="s">
        <v>413</v>
      </c>
      <c r="K55" s="458"/>
      <c r="L55" s="497"/>
      <c r="M55" s="606"/>
      <c r="N55" s="817"/>
      <c r="O55" s="818"/>
      <c r="P55" s="840">
        <v>0</v>
      </c>
      <c r="Q55" s="819"/>
      <c r="R55" s="820"/>
      <c r="S55" s="103">
        <f t="shared" si="9"/>
        <v>0</v>
      </c>
      <c r="T55" s="103" t="e">
        <f t="shared" si="11"/>
        <v>#DIV/0!</v>
      </c>
    </row>
    <row r="56" spans="1:20" s="330" customFormat="1" ht="15.75" x14ac:dyDescent="0.25">
      <c r="A56" s="331">
        <v>53</v>
      </c>
      <c r="B56" s="339" t="str">
        <f>PIERNA!RK5</f>
        <v>SMITHFIELD FARMLAND</v>
      </c>
      <c r="C56" s="338" t="str">
        <f>PIERNA!RL5</f>
        <v>Smithfield</v>
      </c>
      <c r="D56" s="375" t="str">
        <f>PIERNA!RM5</f>
        <v>PED. 32676185</v>
      </c>
      <c r="E56" s="150">
        <f>PIERNA!RN5</f>
        <v>43462</v>
      </c>
      <c r="F56" s="300">
        <f>PIERNA!RO5</f>
        <v>19082.060000000001</v>
      </c>
      <c r="G56" s="182">
        <f>PIERNA!RP5</f>
        <v>20</v>
      </c>
      <c r="H56" s="64">
        <f>PIERNA!RQ5</f>
        <v>18692.5</v>
      </c>
      <c r="I56" s="333">
        <f>PIERNA!RR5</f>
        <v>389.56000000000131</v>
      </c>
      <c r="J56" s="454" t="s">
        <v>420</v>
      </c>
      <c r="K56" s="458">
        <v>91794</v>
      </c>
      <c r="L56" s="605" t="s">
        <v>431</v>
      </c>
      <c r="M56" s="606">
        <v>30160</v>
      </c>
      <c r="N56" s="470" t="s">
        <v>432</v>
      </c>
      <c r="O56" s="520">
        <v>9000617169</v>
      </c>
      <c r="P56" s="840">
        <v>3538</v>
      </c>
      <c r="Q56" s="465">
        <f>23015.57*19.716</f>
        <v>453774.97812000004</v>
      </c>
      <c r="R56" s="472" t="s">
        <v>435</v>
      </c>
      <c r="S56" s="103">
        <f t="shared" si="9"/>
        <v>575728.9781200001</v>
      </c>
      <c r="T56" s="103">
        <f t="shared" si="11"/>
        <v>30.799998829477069</v>
      </c>
    </row>
    <row r="57" spans="1:20" s="330" customFormat="1" ht="15.75" x14ac:dyDescent="0.25">
      <c r="A57" s="331">
        <v>54</v>
      </c>
      <c r="B57" s="398" t="str">
        <f>PIERNA!B57</f>
        <v>SMITHFIELD FARMLAND</v>
      </c>
      <c r="C57" s="338" t="str">
        <f>PIERNA!C57</f>
        <v>Smithfield</v>
      </c>
      <c r="D57" s="375" t="str">
        <f>PIERNA!D57</f>
        <v>PED. 326976184</v>
      </c>
      <c r="E57" s="150">
        <f>PIERNA!E57</f>
        <v>43462</v>
      </c>
      <c r="F57" s="300">
        <f>PIERNA!F57</f>
        <v>19067</v>
      </c>
      <c r="G57" s="350">
        <f>PIERNA!G57</f>
        <v>20</v>
      </c>
      <c r="H57" s="64">
        <f>PIERNA!H57</f>
        <v>19067</v>
      </c>
      <c r="I57" s="333">
        <f t="shared" si="13"/>
        <v>0</v>
      </c>
      <c r="J57" s="778" t="s">
        <v>446</v>
      </c>
      <c r="K57" s="458">
        <v>91234</v>
      </c>
      <c r="L57" s="519" t="s">
        <v>431</v>
      </c>
      <c r="M57" s="524">
        <v>34800</v>
      </c>
      <c r="N57" s="470" t="s">
        <v>453</v>
      </c>
      <c r="O57" s="812">
        <v>9000619282</v>
      </c>
      <c r="P57" s="840">
        <v>3596</v>
      </c>
      <c r="Q57" s="813">
        <f>23473.46*19.633</f>
        <v>460854.44017999998</v>
      </c>
      <c r="R57" s="814" t="s">
        <v>681</v>
      </c>
      <c r="S57" s="103">
        <f t="shared" si="9"/>
        <v>586888.44017999992</v>
      </c>
      <c r="T57" s="103">
        <f t="shared" si="11"/>
        <v>30.780324129648079</v>
      </c>
    </row>
    <row r="58" spans="1:20" s="330" customFormat="1" ht="15.75" x14ac:dyDescent="0.25">
      <c r="A58" s="331">
        <v>55</v>
      </c>
      <c r="B58" s="339" t="str">
        <f>PIERNA!B58</f>
        <v>SMITHFIELD FRESH MEATS</v>
      </c>
      <c r="C58" s="338" t="str">
        <f>PIERNA!C58</f>
        <v>Smithfield</v>
      </c>
      <c r="D58" s="375" t="str">
        <f>PIERNA!D58</f>
        <v>PED. 32731838</v>
      </c>
      <c r="E58" s="150">
        <f>PIERNA!E58</f>
        <v>43463</v>
      </c>
      <c r="F58" s="300">
        <f>PIERNA!F58</f>
        <v>18696.03</v>
      </c>
      <c r="G58" s="182">
        <f>PIERNA!G58</f>
        <v>19</v>
      </c>
      <c r="H58" s="64">
        <f>PIERNA!H58</f>
        <v>17897.509999999998</v>
      </c>
      <c r="I58" s="333">
        <f t="shared" si="13"/>
        <v>-798.52000000000044</v>
      </c>
      <c r="J58" s="831" t="s">
        <v>447</v>
      </c>
      <c r="K58" s="458">
        <v>92366</v>
      </c>
      <c r="L58" s="519" t="s">
        <v>431</v>
      </c>
      <c r="M58" s="524">
        <v>30160</v>
      </c>
      <c r="N58" s="470" t="s">
        <v>454</v>
      </c>
      <c r="O58" s="832">
        <v>9000619281</v>
      </c>
      <c r="P58" s="840">
        <v>3538</v>
      </c>
      <c r="Q58" s="833">
        <f>22021.28*19.71</f>
        <v>434039.42879999999</v>
      </c>
      <c r="R58" s="834" t="s">
        <v>434</v>
      </c>
      <c r="S58" s="103">
        <f t="shared" si="9"/>
        <v>556565.42879999999</v>
      </c>
      <c r="T58" s="103">
        <f t="shared" si="11"/>
        <v>31.097366549872024</v>
      </c>
    </row>
    <row r="59" spans="1:20" s="330" customFormat="1" ht="15.75" x14ac:dyDescent="0.25">
      <c r="A59" s="331">
        <v>56</v>
      </c>
      <c r="B59" s="816" t="str">
        <f>PIERNA!B59</f>
        <v>ADAMS INT MORELIA</v>
      </c>
      <c r="C59" s="779" t="str">
        <f>PIERNA!C59</f>
        <v>Hormel</v>
      </c>
      <c r="D59" s="375">
        <f>PIERNA!D59</f>
        <v>35.5</v>
      </c>
      <c r="E59" s="150">
        <f>PIERNA!E59</f>
        <v>43463</v>
      </c>
      <c r="F59" s="300">
        <f>PIERNA!F59</f>
        <v>8422.99</v>
      </c>
      <c r="G59" s="182">
        <f>PIERNA!G59</f>
        <v>10</v>
      </c>
      <c r="H59" s="64">
        <f>PIERNA!H59</f>
        <v>8425.61</v>
      </c>
      <c r="I59" s="333">
        <f t="shared" si="13"/>
        <v>2.6200000000008004</v>
      </c>
      <c r="J59" s="769" t="s">
        <v>413</v>
      </c>
      <c r="K59" s="458"/>
      <c r="L59" s="519"/>
      <c r="M59" s="524"/>
      <c r="N59" s="470"/>
      <c r="O59" s="812" t="s">
        <v>682</v>
      </c>
      <c r="P59" s="840">
        <v>0</v>
      </c>
      <c r="Q59" s="813">
        <v>299109.18</v>
      </c>
      <c r="R59" s="814" t="s">
        <v>683</v>
      </c>
      <c r="S59" s="103">
        <f t="shared" si="9"/>
        <v>299109.18</v>
      </c>
      <c r="T59" s="103">
        <f t="shared" si="11"/>
        <v>35.500002967144212</v>
      </c>
    </row>
    <row r="60" spans="1:20" s="330" customFormat="1" ht="15.75" x14ac:dyDescent="0.25">
      <c r="A60" s="331">
        <v>57</v>
      </c>
      <c r="B60" s="339" t="str">
        <f>PIERNA!B60</f>
        <v>SEABOARD FOODS</v>
      </c>
      <c r="C60" s="338" t="str">
        <f>PIERNA!SV5</f>
        <v>Seaboard</v>
      </c>
      <c r="D60" s="375" t="str">
        <f>PIERNA!D60</f>
        <v>PED. 32725914</v>
      </c>
      <c r="E60" s="150">
        <f>PIERNA!E60</f>
        <v>43463</v>
      </c>
      <c r="F60" s="300">
        <f>PIERNA!F60</f>
        <v>19005.07</v>
      </c>
      <c r="G60" s="182">
        <f>PIERNA!G60</f>
        <v>21</v>
      </c>
      <c r="H60" s="64">
        <f>PIERNA!H60</f>
        <v>19107.599999999999</v>
      </c>
      <c r="I60" s="333">
        <f t="shared" si="13"/>
        <v>102.52999999999884</v>
      </c>
      <c r="J60" s="454" t="s">
        <v>421</v>
      </c>
      <c r="K60" s="458">
        <v>98854</v>
      </c>
      <c r="L60" s="519" t="s">
        <v>432</v>
      </c>
      <c r="M60" s="524">
        <v>30160</v>
      </c>
      <c r="N60" s="470" t="s">
        <v>454</v>
      </c>
      <c r="O60" s="520">
        <v>1562727</v>
      </c>
      <c r="P60" s="840">
        <v>3596</v>
      </c>
      <c r="Q60" s="465">
        <f>23943.84*20.18</f>
        <v>483186.6912</v>
      </c>
      <c r="R60" s="472" t="s">
        <v>425</v>
      </c>
      <c r="S60" s="103">
        <f t="shared" ref="S60:S71" si="14">Q60+M60+K60</f>
        <v>612200.6912</v>
      </c>
      <c r="T60" s="103">
        <f t="shared" si="11"/>
        <v>32.039643450773518</v>
      </c>
    </row>
    <row r="61" spans="1:20" s="330" customFormat="1" ht="15.75" x14ac:dyDescent="0.25">
      <c r="A61" s="331">
        <v>58</v>
      </c>
      <c r="B61" s="339" t="str">
        <f>PIERNA!B61</f>
        <v>SMITHFIELD FARMLAND</v>
      </c>
      <c r="C61" s="338" t="str">
        <f>PIERNA!C61</f>
        <v>Smithfield</v>
      </c>
      <c r="D61" s="375" t="str">
        <f>PIERNA!D61</f>
        <v>PED. 32725159</v>
      </c>
      <c r="E61" s="150">
        <f>PIERNA!E61</f>
        <v>43464</v>
      </c>
      <c r="F61" s="300">
        <f>PIERNA!F61</f>
        <v>18948</v>
      </c>
      <c r="G61" s="182">
        <f>PIERNA!G61</f>
        <v>20</v>
      </c>
      <c r="H61" s="64">
        <f>PIERNA!H61</f>
        <v>18941.939999999999</v>
      </c>
      <c r="I61" s="333">
        <f t="shared" si="13"/>
        <v>-6.0600000000013097</v>
      </c>
      <c r="J61" s="454" t="s">
        <v>422</v>
      </c>
      <c r="K61" s="458">
        <v>90710</v>
      </c>
      <c r="L61" s="519" t="s">
        <v>431</v>
      </c>
      <c r="M61" s="524">
        <v>28304</v>
      </c>
      <c r="N61" s="470" t="s">
        <v>436</v>
      </c>
      <c r="O61" s="812">
        <v>9000619713</v>
      </c>
      <c r="P61" s="840">
        <v>3538</v>
      </c>
      <c r="Q61" s="813">
        <f>23322.69*19.71</f>
        <v>459690.21989999997</v>
      </c>
      <c r="R61" s="814" t="s">
        <v>680</v>
      </c>
      <c r="S61" s="103">
        <f t="shared" si="14"/>
        <v>578704.21989999991</v>
      </c>
      <c r="T61" s="103">
        <f t="shared" si="11"/>
        <v>30.551475714736714</v>
      </c>
    </row>
    <row r="62" spans="1:20" s="330" customFormat="1" ht="15.75" x14ac:dyDescent="0.25">
      <c r="A62" s="331">
        <v>59</v>
      </c>
      <c r="B62" s="339" t="str">
        <f>PIERNA!B62</f>
        <v>SEABOARD FOODS</v>
      </c>
      <c r="C62" s="338" t="str">
        <f>PIERNA!C62</f>
        <v>Seaboard</v>
      </c>
      <c r="D62" s="375" t="str">
        <f>PIERNA!D62</f>
        <v>PED. 32731255</v>
      </c>
      <c r="E62" s="150">
        <f>PIERNA!F62</f>
        <v>19060.189999999999</v>
      </c>
      <c r="F62" s="300">
        <f>PIERNA!F62</f>
        <v>19060.189999999999</v>
      </c>
      <c r="G62" s="337">
        <f>PIERNA!G62</f>
        <v>21</v>
      </c>
      <c r="H62" s="64">
        <f>PIERNA!H62</f>
        <v>19119.900000000001</v>
      </c>
      <c r="I62" s="333">
        <f t="shared" si="13"/>
        <v>59.710000000002765</v>
      </c>
      <c r="J62" s="454" t="s">
        <v>423</v>
      </c>
      <c r="K62" s="458">
        <v>102388</v>
      </c>
      <c r="L62" s="519" t="s">
        <v>432</v>
      </c>
      <c r="M62" s="524">
        <v>28304</v>
      </c>
      <c r="N62" s="470" t="s">
        <v>436</v>
      </c>
      <c r="O62" s="520">
        <v>1562907</v>
      </c>
      <c r="P62" s="840">
        <v>3596</v>
      </c>
      <c r="Q62" s="465">
        <f>23959.2*19.983</f>
        <v>478776.6936</v>
      </c>
      <c r="R62" s="472" t="s">
        <v>428</v>
      </c>
      <c r="S62" s="103">
        <f t="shared" si="14"/>
        <v>609468.6936</v>
      </c>
      <c r="T62" s="103">
        <f t="shared" si="11"/>
        <v>31.876144414981248</v>
      </c>
    </row>
    <row r="63" spans="1:20" s="330" customFormat="1" ht="15.75" x14ac:dyDescent="0.25">
      <c r="A63" s="331">
        <v>60</v>
      </c>
      <c r="B63" s="339">
        <f>PIERNA!B63</f>
        <v>0</v>
      </c>
      <c r="C63" s="338" t="str">
        <f>PIERNA!C62</f>
        <v>Seaboard</v>
      </c>
      <c r="D63" s="375" t="str">
        <f>PIERNA!D62</f>
        <v>PED. 32731255</v>
      </c>
      <c r="E63" s="150">
        <f>PIERNA!E63</f>
        <v>0</v>
      </c>
      <c r="F63" s="300">
        <f>PIERNA!F63</f>
        <v>0</v>
      </c>
      <c r="G63" s="337">
        <f>PIERNA!G63</f>
        <v>0</v>
      </c>
      <c r="H63" s="64">
        <f>PIERNA!H63</f>
        <v>0</v>
      </c>
      <c r="I63" s="333">
        <f t="shared" si="13"/>
        <v>0</v>
      </c>
      <c r="J63" s="454"/>
      <c r="K63" s="458"/>
      <c r="L63" s="519"/>
      <c r="M63" s="524"/>
      <c r="N63" s="470"/>
      <c r="O63" s="520"/>
      <c r="P63" s="835"/>
      <c r="Q63" s="465"/>
      <c r="R63" s="472"/>
      <c r="S63" s="103">
        <f t="shared" si="14"/>
        <v>0</v>
      </c>
      <c r="T63" s="103" t="e">
        <f t="shared" si="11"/>
        <v>#DIV/0!</v>
      </c>
    </row>
    <row r="64" spans="1:20" s="330" customFormat="1" x14ac:dyDescent="0.25">
      <c r="A64" s="331">
        <v>61</v>
      </c>
      <c r="B64" s="339">
        <f>PIERNA!B64</f>
        <v>0</v>
      </c>
      <c r="C64" s="338">
        <f>PIERNA!C64</f>
        <v>0</v>
      </c>
      <c r="D64" s="375">
        <f>PIERNA!D64</f>
        <v>0</v>
      </c>
      <c r="E64" s="150">
        <f>PIERNA!E64</f>
        <v>0</v>
      </c>
      <c r="F64" s="300">
        <f>PIERNA!F64</f>
        <v>0</v>
      </c>
      <c r="G64" s="337">
        <f>PIERNA!G64</f>
        <v>0</v>
      </c>
      <c r="H64" s="64">
        <f>PIERNA!H64</f>
        <v>0</v>
      </c>
      <c r="I64" s="333">
        <f t="shared" si="13"/>
        <v>0</v>
      </c>
      <c r="J64" s="454"/>
      <c r="K64" s="458"/>
      <c r="L64" s="519"/>
      <c r="M64" s="524"/>
      <c r="N64" s="470"/>
      <c r="O64" s="520"/>
      <c r="P64" s="838"/>
      <c r="Q64" s="465"/>
      <c r="R64" s="472"/>
      <c r="S64" s="103">
        <f t="shared" si="14"/>
        <v>0</v>
      </c>
      <c r="T64" s="103" t="e">
        <f t="shared" si="11"/>
        <v>#DIV/0!</v>
      </c>
    </row>
    <row r="65" spans="1:20" s="330" customFormat="1" x14ac:dyDescent="0.25">
      <c r="A65" s="331">
        <v>62</v>
      </c>
      <c r="B65" s="339">
        <f>PIERNA!B65</f>
        <v>0</v>
      </c>
      <c r="C65" s="338">
        <f>PIERNA!C65</f>
        <v>0</v>
      </c>
      <c r="D65" s="375">
        <f>PIERNA!D65</f>
        <v>0</v>
      </c>
      <c r="E65" s="150">
        <f>PIERNA!E65</f>
        <v>0</v>
      </c>
      <c r="F65" s="300">
        <f>PIERNA!F65</f>
        <v>0</v>
      </c>
      <c r="G65" s="337">
        <f>PIERNA!G65</f>
        <v>0</v>
      </c>
      <c r="H65" s="64">
        <f>PIERNA!H65</f>
        <v>0</v>
      </c>
      <c r="I65" s="333">
        <f t="shared" si="13"/>
        <v>0</v>
      </c>
      <c r="J65" s="454"/>
      <c r="K65" s="458"/>
      <c r="L65" s="519"/>
      <c r="M65" s="524"/>
      <c r="N65" s="470"/>
      <c r="O65" s="520"/>
      <c r="P65" s="468"/>
      <c r="Q65" s="465"/>
      <c r="R65" s="472"/>
      <c r="S65" s="103">
        <f t="shared" si="14"/>
        <v>0</v>
      </c>
      <c r="T65" s="103" t="e">
        <f t="shared" si="11"/>
        <v>#DIV/0!</v>
      </c>
    </row>
    <row r="66" spans="1:20" s="330" customFormat="1" x14ac:dyDescent="0.25">
      <c r="A66" s="331">
        <v>63</v>
      </c>
      <c r="B66" s="339"/>
      <c r="C66" s="338"/>
      <c r="D66" s="375"/>
      <c r="E66" s="150"/>
      <c r="F66" s="300"/>
      <c r="G66" s="337"/>
      <c r="H66" s="64"/>
      <c r="I66" s="333">
        <f t="shared" si="13"/>
        <v>0</v>
      </c>
      <c r="J66" s="454"/>
      <c r="K66" s="458"/>
      <c r="L66" s="519"/>
      <c r="M66" s="524"/>
      <c r="N66" s="470"/>
      <c r="O66" s="520"/>
      <c r="P66" s="468"/>
      <c r="Q66" s="465"/>
      <c r="R66" s="472"/>
      <c r="S66" s="103">
        <f t="shared" si="14"/>
        <v>0</v>
      </c>
      <c r="T66" s="103" t="e">
        <f t="shared" si="10"/>
        <v>#DIV/0!</v>
      </c>
    </row>
    <row r="67" spans="1:20" s="330" customFormat="1" x14ac:dyDescent="0.25">
      <c r="A67" s="331">
        <v>64</v>
      </c>
      <c r="B67" s="339"/>
      <c r="C67" s="338"/>
      <c r="D67" s="375"/>
      <c r="E67" s="150"/>
      <c r="F67" s="300"/>
      <c r="G67" s="337"/>
      <c r="H67" s="64"/>
      <c r="I67" s="333">
        <f t="shared" si="13"/>
        <v>0</v>
      </c>
      <c r="J67" s="454"/>
      <c r="K67" s="458"/>
      <c r="L67" s="459"/>
      <c r="M67" s="469"/>
      <c r="N67" s="470"/>
      <c r="O67" s="520"/>
      <c r="P67" s="468"/>
      <c r="Q67" s="465"/>
      <c r="R67" s="472"/>
      <c r="S67" s="103">
        <f t="shared" si="14"/>
        <v>0</v>
      </c>
      <c r="T67" s="103" t="e">
        <f t="shared" si="10"/>
        <v>#DIV/0!</v>
      </c>
    </row>
    <row r="68" spans="1:20" s="330" customFormat="1" x14ac:dyDescent="0.25">
      <c r="A68" s="331">
        <v>65</v>
      </c>
      <c r="B68" s="382">
        <f>PIERNA!B63</f>
        <v>0</v>
      </c>
      <c r="C68" s="335">
        <f>PIERNA!C63</f>
        <v>0</v>
      </c>
      <c r="D68" s="184">
        <f>PIERNA!D63</f>
        <v>0</v>
      </c>
      <c r="E68" s="150">
        <f>PIERNA!E63</f>
        <v>0</v>
      </c>
      <c r="F68" s="300">
        <f>PIERNA!F63</f>
        <v>0</v>
      </c>
      <c r="G68" s="337">
        <f>PIERNA!G63</f>
        <v>0</v>
      </c>
      <c r="H68" s="64">
        <f>PIERNA!H63</f>
        <v>0</v>
      </c>
      <c r="I68" s="333">
        <f t="shared" si="13"/>
        <v>0</v>
      </c>
      <c r="J68" s="454"/>
      <c r="K68" s="458"/>
      <c r="L68" s="459"/>
      <c r="M68" s="606"/>
      <c r="N68" s="470"/>
      <c r="O68" s="520"/>
      <c r="P68" s="468"/>
      <c r="Q68" s="465"/>
      <c r="R68" s="472"/>
      <c r="S68" s="103">
        <f t="shared" si="14"/>
        <v>0</v>
      </c>
      <c r="T68" s="103" t="e">
        <f t="shared" si="10"/>
        <v>#DIV/0!</v>
      </c>
    </row>
    <row r="69" spans="1:20" s="330" customFormat="1" x14ac:dyDescent="0.25">
      <c r="A69" s="331">
        <v>66</v>
      </c>
      <c r="B69" s="129">
        <f>PIERNA!B64</f>
        <v>0</v>
      </c>
      <c r="C69" s="335">
        <f>PIERNA!C64</f>
        <v>0</v>
      </c>
      <c r="D69" s="184">
        <f>PIERNA!D64</f>
        <v>0</v>
      </c>
      <c r="E69" s="150">
        <f>PIERNA!E64</f>
        <v>0</v>
      </c>
      <c r="F69" s="300">
        <f>PIERNA!F64</f>
        <v>0</v>
      </c>
      <c r="G69" s="337">
        <f>PIERNA!G64</f>
        <v>0</v>
      </c>
      <c r="H69" s="64">
        <f>PIERNA!H64</f>
        <v>0</v>
      </c>
      <c r="I69" s="333">
        <f t="shared" si="13"/>
        <v>0</v>
      </c>
      <c r="J69" s="454"/>
      <c r="K69" s="458"/>
      <c r="L69" s="459"/>
      <c r="M69" s="469"/>
      <c r="N69" s="470"/>
      <c r="O69" s="520"/>
      <c r="P69" s="468"/>
      <c r="Q69" s="465"/>
      <c r="R69" s="472"/>
      <c r="S69" s="103">
        <f t="shared" si="14"/>
        <v>0</v>
      </c>
      <c r="T69" s="103" t="e">
        <f t="shared" si="10"/>
        <v>#DIV/0!</v>
      </c>
    </row>
    <row r="70" spans="1:20" s="330" customFormat="1" hidden="1" x14ac:dyDescent="0.25">
      <c r="A70" s="331">
        <v>62</v>
      </c>
      <c r="B70" s="129">
        <f>PIERNA!B65</f>
        <v>0</v>
      </c>
      <c r="C70" s="335">
        <f>PIERNA!C65</f>
        <v>0</v>
      </c>
      <c r="D70" s="184">
        <f>PIERNA!D65</f>
        <v>0</v>
      </c>
      <c r="E70" s="150">
        <f>PIERNA!E65</f>
        <v>0</v>
      </c>
      <c r="F70" s="300">
        <f>PIERNA!F65</f>
        <v>0</v>
      </c>
      <c r="G70" s="337">
        <f>PIERNA!G65</f>
        <v>0</v>
      </c>
      <c r="H70" s="64">
        <f>PIERNA!H65</f>
        <v>0</v>
      </c>
      <c r="I70" s="333">
        <f t="shared" si="13"/>
        <v>0</v>
      </c>
      <c r="J70" s="442"/>
      <c r="K70" s="458"/>
      <c r="L70" s="459"/>
      <c r="M70" s="469"/>
      <c r="N70" s="466"/>
      <c r="O70" s="467"/>
      <c r="P70" s="468"/>
      <c r="Q70" s="465"/>
      <c r="R70" s="472"/>
      <c r="S70" s="103">
        <f t="shared" si="14"/>
        <v>0</v>
      </c>
      <c r="T70" s="103" t="e">
        <f t="shared" si="10"/>
        <v>#DIV/0!</v>
      </c>
    </row>
    <row r="71" spans="1:20" s="330" customFormat="1" hidden="1" x14ac:dyDescent="0.25">
      <c r="A71" s="331">
        <v>63</v>
      </c>
      <c r="B71" s="129">
        <f>PIERNA!B66</f>
        <v>0</v>
      </c>
      <c r="C71" s="335">
        <f>PIERNA!C66</f>
        <v>0</v>
      </c>
      <c r="D71" s="184">
        <f>PIERNA!D66</f>
        <v>0</v>
      </c>
      <c r="E71" s="150">
        <f>PIERNA!E66</f>
        <v>0</v>
      </c>
      <c r="F71" s="300">
        <f>PIERNA!F66</f>
        <v>0</v>
      </c>
      <c r="G71" s="337">
        <f>PIERNA!G66</f>
        <v>0</v>
      </c>
      <c r="H71" s="64">
        <f>PIERNA!H66</f>
        <v>0</v>
      </c>
      <c r="I71" s="333">
        <f t="shared" si="13"/>
        <v>0</v>
      </c>
      <c r="J71" s="442"/>
      <c r="K71" s="458"/>
      <c r="L71" s="459"/>
      <c r="M71" s="469"/>
      <c r="N71" s="466"/>
      <c r="O71" s="467"/>
      <c r="P71" s="468"/>
      <c r="Q71" s="465"/>
      <c r="R71" s="472"/>
      <c r="S71" s="103">
        <f t="shared" si="14"/>
        <v>0</v>
      </c>
      <c r="T71" s="103" t="e">
        <f t="shared" si="10"/>
        <v>#DIV/0!</v>
      </c>
    </row>
    <row r="72" spans="1:20" s="330" customFormat="1" hidden="1" x14ac:dyDescent="0.25">
      <c r="A72" s="331">
        <v>64</v>
      </c>
      <c r="B72" s="129">
        <f>PIERNA!B67</f>
        <v>0</v>
      </c>
      <c r="C72" s="335">
        <f>PIERNA!C67</f>
        <v>0</v>
      </c>
      <c r="D72" s="184">
        <f>PIERNA!D67</f>
        <v>0</v>
      </c>
      <c r="E72" s="150">
        <f>PIERNA!E67</f>
        <v>0</v>
      </c>
      <c r="F72" s="300">
        <f>PIERNA!F67</f>
        <v>0</v>
      </c>
      <c r="G72" s="337">
        <f>PIERNA!G67</f>
        <v>0</v>
      </c>
      <c r="H72" s="64">
        <f>PIERNA!H67</f>
        <v>0</v>
      </c>
      <c r="I72" s="333">
        <f t="shared" si="13"/>
        <v>0</v>
      </c>
      <c r="J72" s="442"/>
      <c r="K72" s="458"/>
      <c r="L72" s="459"/>
      <c r="M72" s="469"/>
      <c r="N72" s="466"/>
      <c r="O72" s="467"/>
      <c r="P72" s="468"/>
      <c r="Q72" s="465"/>
      <c r="R72" s="472"/>
      <c r="S72" s="103">
        <f t="shared" ref="S72:S95" si="15">Q72+M72+K72</f>
        <v>0</v>
      </c>
      <c r="T72" s="103" t="e">
        <f t="shared" ref="T72:T95" si="16">S72/H72+0.1</f>
        <v>#DIV/0!</v>
      </c>
    </row>
    <row r="73" spans="1:20" s="330" customFormat="1" hidden="1" x14ac:dyDescent="0.25">
      <c r="A73" s="331">
        <v>65</v>
      </c>
      <c r="B73" s="129">
        <f>PIERNA!B68</f>
        <v>0</v>
      </c>
      <c r="C73" s="335">
        <f>PIERNA!C68</f>
        <v>0</v>
      </c>
      <c r="D73" s="184">
        <f>PIERNA!D68</f>
        <v>0</v>
      </c>
      <c r="E73" s="150">
        <f>PIERNA!E68</f>
        <v>0</v>
      </c>
      <c r="F73" s="300">
        <f>PIERNA!F68</f>
        <v>0</v>
      </c>
      <c r="G73" s="337">
        <f>PIERNA!G68</f>
        <v>0</v>
      </c>
      <c r="H73" s="64">
        <f>PIERNA!H68</f>
        <v>0</v>
      </c>
      <c r="I73" s="333">
        <f t="shared" si="13"/>
        <v>0</v>
      </c>
      <c r="J73" s="442"/>
      <c r="K73" s="458"/>
      <c r="L73" s="459"/>
      <c r="M73" s="469"/>
      <c r="N73" s="466"/>
      <c r="O73" s="467"/>
      <c r="P73" s="468"/>
      <c r="Q73" s="465"/>
      <c r="R73" s="472"/>
      <c r="S73" s="103">
        <f t="shared" si="15"/>
        <v>0</v>
      </c>
      <c r="T73" s="103" t="e">
        <f t="shared" si="16"/>
        <v>#DIV/0!</v>
      </c>
    </row>
    <row r="74" spans="1:20" s="330" customFormat="1" hidden="1" x14ac:dyDescent="0.25">
      <c r="A74" s="331">
        <v>66</v>
      </c>
      <c r="B74" s="129">
        <f>PIERNA!B69</f>
        <v>0</v>
      </c>
      <c r="C74" s="335">
        <f>PIERNA!C69</f>
        <v>0</v>
      </c>
      <c r="D74" s="184">
        <f>PIERNA!D69</f>
        <v>0</v>
      </c>
      <c r="E74" s="150">
        <f>PIERNA!E69</f>
        <v>0</v>
      </c>
      <c r="F74" s="300">
        <f>PIERNA!F69</f>
        <v>0</v>
      </c>
      <c r="G74" s="337">
        <f>PIERNA!G69</f>
        <v>0</v>
      </c>
      <c r="H74" s="64">
        <f>PIERNA!H69</f>
        <v>0</v>
      </c>
      <c r="I74" s="333">
        <f t="shared" si="13"/>
        <v>0</v>
      </c>
      <c r="J74" s="442"/>
      <c r="K74" s="458"/>
      <c r="L74" s="459"/>
      <c r="M74" s="469"/>
      <c r="N74" s="466"/>
      <c r="O74" s="467"/>
      <c r="P74" s="468"/>
      <c r="Q74" s="465"/>
      <c r="R74" s="472"/>
      <c r="S74" s="103">
        <f t="shared" si="15"/>
        <v>0</v>
      </c>
      <c r="T74" s="103" t="e">
        <f t="shared" si="16"/>
        <v>#DIV/0!</v>
      </c>
    </row>
    <row r="75" spans="1:20" s="330" customFormat="1" hidden="1" x14ac:dyDescent="0.25">
      <c r="A75" s="331">
        <v>67</v>
      </c>
      <c r="B75" s="129">
        <f>PIERNA!B70</f>
        <v>0</v>
      </c>
      <c r="C75" s="335">
        <f>PIERNA!C70</f>
        <v>0</v>
      </c>
      <c r="D75" s="184">
        <f>PIERNA!D70</f>
        <v>0</v>
      </c>
      <c r="E75" s="150">
        <f>PIERNA!E70</f>
        <v>0</v>
      </c>
      <c r="F75" s="300">
        <f>PIERNA!F70</f>
        <v>0</v>
      </c>
      <c r="G75" s="337">
        <f>PIERNA!G70</f>
        <v>0</v>
      </c>
      <c r="H75" s="64">
        <f>PIERNA!H70</f>
        <v>0</v>
      </c>
      <c r="I75" s="333">
        <f t="shared" si="13"/>
        <v>0</v>
      </c>
      <c r="J75" s="442"/>
      <c r="K75" s="458"/>
      <c r="L75" s="459"/>
      <c r="M75" s="469"/>
      <c r="N75" s="466"/>
      <c r="O75" s="467"/>
      <c r="P75" s="468"/>
      <c r="Q75" s="465"/>
      <c r="R75" s="472"/>
      <c r="S75" s="103">
        <f t="shared" si="15"/>
        <v>0</v>
      </c>
      <c r="T75" s="103" t="e">
        <f t="shared" si="16"/>
        <v>#DIV/0!</v>
      </c>
    </row>
    <row r="76" spans="1:20" s="330" customFormat="1" hidden="1" x14ac:dyDescent="0.25">
      <c r="A76" s="331">
        <v>68</v>
      </c>
      <c r="B76" s="391">
        <f>PIERNA!B71</f>
        <v>0</v>
      </c>
      <c r="C76" s="335">
        <f>PIERNA!C71</f>
        <v>0</v>
      </c>
      <c r="D76" s="184">
        <f>PIERNA!D71</f>
        <v>0</v>
      </c>
      <c r="E76" s="150">
        <f>PIERNA!E71</f>
        <v>0</v>
      </c>
      <c r="F76" s="300">
        <f>PIERNA!F71</f>
        <v>0</v>
      </c>
      <c r="G76" s="337">
        <f>PIERNA!G71</f>
        <v>0</v>
      </c>
      <c r="H76" s="64">
        <f>PIERNA!H71</f>
        <v>0</v>
      </c>
      <c r="I76" s="333">
        <f t="shared" si="13"/>
        <v>0</v>
      </c>
      <c r="J76" s="442"/>
      <c r="K76" s="458"/>
      <c r="L76" s="459"/>
      <c r="M76" s="469"/>
      <c r="N76" s="466"/>
      <c r="O76" s="467"/>
      <c r="P76" s="468"/>
      <c r="Q76" s="465"/>
      <c r="R76" s="472"/>
      <c r="S76" s="103">
        <f t="shared" si="15"/>
        <v>0</v>
      </c>
      <c r="T76" s="103" t="e">
        <f t="shared" si="16"/>
        <v>#DIV/0!</v>
      </c>
    </row>
    <row r="77" spans="1:20" s="330" customFormat="1" hidden="1" x14ac:dyDescent="0.25">
      <c r="A77" s="331">
        <v>69</v>
      </c>
      <c r="B77" s="129">
        <f>PIERNA!B72</f>
        <v>0</v>
      </c>
      <c r="C77" s="335">
        <f>PIERNA!C72</f>
        <v>0</v>
      </c>
      <c r="D77" s="184">
        <f>PIERNA!D72</f>
        <v>0</v>
      </c>
      <c r="E77" s="150">
        <f>PIERNA!E72</f>
        <v>0</v>
      </c>
      <c r="F77" s="300">
        <f>PIERNA!F72</f>
        <v>0</v>
      </c>
      <c r="G77" s="337">
        <f>PIERNA!G72</f>
        <v>0</v>
      </c>
      <c r="H77" s="64">
        <f>PIERNA!H72</f>
        <v>0</v>
      </c>
      <c r="I77" s="333">
        <f t="shared" si="13"/>
        <v>0</v>
      </c>
      <c r="J77" s="442"/>
      <c r="K77" s="458"/>
      <c r="L77" s="459"/>
      <c r="M77" s="469"/>
      <c r="N77" s="466"/>
      <c r="O77" s="467"/>
      <c r="P77" s="468"/>
      <c r="Q77" s="465"/>
      <c r="R77" s="472"/>
      <c r="S77" s="103">
        <f t="shared" si="15"/>
        <v>0</v>
      </c>
      <c r="T77" s="103" t="e">
        <f t="shared" si="16"/>
        <v>#DIV/0!</v>
      </c>
    </row>
    <row r="78" spans="1:20" s="330" customFormat="1" hidden="1" x14ac:dyDescent="0.25">
      <c r="A78" s="331">
        <v>70</v>
      </c>
      <c r="B78" s="129">
        <f>PIERNA!B73</f>
        <v>0</v>
      </c>
      <c r="C78" s="335">
        <f>PIERNA!C73</f>
        <v>0</v>
      </c>
      <c r="D78" s="184">
        <f>PIERNA!D73</f>
        <v>0</v>
      </c>
      <c r="E78" s="150">
        <f>PIERNA!E73</f>
        <v>0</v>
      </c>
      <c r="F78" s="300">
        <f>PIERNA!F73</f>
        <v>0</v>
      </c>
      <c r="G78" s="337">
        <f>PIERNA!G73</f>
        <v>0</v>
      </c>
      <c r="H78" s="64">
        <f>PIERNA!H73</f>
        <v>0</v>
      </c>
      <c r="I78" s="333">
        <f t="shared" si="13"/>
        <v>0</v>
      </c>
      <c r="J78" s="442"/>
      <c r="K78" s="458"/>
      <c r="L78" s="459"/>
      <c r="M78" s="469"/>
      <c r="N78" s="466"/>
      <c r="O78" s="467"/>
      <c r="P78" s="468"/>
      <c r="Q78" s="465"/>
      <c r="R78" s="472"/>
      <c r="S78" s="103">
        <f t="shared" si="15"/>
        <v>0</v>
      </c>
      <c r="T78" s="103" t="e">
        <f t="shared" si="16"/>
        <v>#DIV/0!</v>
      </c>
    </row>
    <row r="79" spans="1:20" s="330" customFormat="1" hidden="1" x14ac:dyDescent="0.25">
      <c r="A79" s="331">
        <v>71</v>
      </c>
      <c r="B79" s="129">
        <f>PIERNA!B74</f>
        <v>0</v>
      </c>
      <c r="C79" s="335">
        <f>PIERNA!C74</f>
        <v>0</v>
      </c>
      <c r="D79" s="184">
        <f>PIERNA!D74</f>
        <v>0</v>
      </c>
      <c r="E79" s="150">
        <f>PIERNA!E74</f>
        <v>0</v>
      </c>
      <c r="F79" s="300">
        <f>PIERNA!F74</f>
        <v>0</v>
      </c>
      <c r="G79" s="337">
        <f>PIERNA!G74</f>
        <v>0</v>
      </c>
      <c r="H79" s="64">
        <f>PIERNA!H74</f>
        <v>0</v>
      </c>
      <c r="I79" s="333">
        <f t="shared" si="13"/>
        <v>0</v>
      </c>
      <c r="J79" s="442"/>
      <c r="K79" s="458"/>
      <c r="L79" s="459"/>
      <c r="M79" s="469"/>
      <c r="N79" s="466"/>
      <c r="O79" s="467"/>
      <c r="P79" s="468"/>
      <c r="Q79" s="465"/>
      <c r="R79" s="472"/>
      <c r="S79" s="103">
        <f t="shared" si="15"/>
        <v>0</v>
      </c>
      <c r="T79" s="103" t="e">
        <f t="shared" si="16"/>
        <v>#DIV/0!</v>
      </c>
    </row>
    <row r="80" spans="1:20" s="330" customFormat="1" hidden="1" x14ac:dyDescent="0.25">
      <c r="A80" s="331">
        <v>72</v>
      </c>
      <c r="B80" s="129">
        <f>PIERNA!B75</f>
        <v>0</v>
      </c>
      <c r="C80" s="335">
        <f>PIERNA!C75</f>
        <v>0</v>
      </c>
      <c r="D80" s="184">
        <f>PIERNA!D75</f>
        <v>0</v>
      </c>
      <c r="E80" s="150">
        <f>PIERNA!E75</f>
        <v>0</v>
      </c>
      <c r="F80" s="300">
        <f>PIERNA!F75</f>
        <v>0</v>
      </c>
      <c r="G80" s="337">
        <f>PIERNA!G75</f>
        <v>0</v>
      </c>
      <c r="H80" s="64">
        <f>PIERNA!H75</f>
        <v>0</v>
      </c>
      <c r="I80" s="333">
        <f t="shared" si="13"/>
        <v>0</v>
      </c>
      <c r="J80" s="442"/>
      <c r="K80" s="458"/>
      <c r="L80" s="459"/>
      <c r="M80" s="469"/>
      <c r="N80" s="466"/>
      <c r="O80" s="467"/>
      <c r="P80" s="468"/>
      <c r="Q80" s="465"/>
      <c r="R80" s="472"/>
      <c r="S80" s="103">
        <f t="shared" si="15"/>
        <v>0</v>
      </c>
      <c r="T80" s="103" t="e">
        <f t="shared" si="16"/>
        <v>#DIV/0!</v>
      </c>
    </row>
    <row r="81" spans="1:20" s="330" customFormat="1" hidden="1" x14ac:dyDescent="0.25">
      <c r="A81" s="331">
        <v>73</v>
      </c>
      <c r="B81" s="129">
        <f>PIERNA!B76</f>
        <v>0</v>
      </c>
      <c r="C81" s="335">
        <f>PIERNA!C76</f>
        <v>0</v>
      </c>
      <c r="D81" s="184">
        <f>PIERNA!D76</f>
        <v>0</v>
      </c>
      <c r="E81" s="150">
        <f>PIERNA!E76</f>
        <v>0</v>
      </c>
      <c r="F81" s="300">
        <f>PIERNA!F76</f>
        <v>0</v>
      </c>
      <c r="G81" s="337">
        <f>PIERNA!G76</f>
        <v>0</v>
      </c>
      <c r="H81" s="64">
        <f>PIERNA!H76</f>
        <v>0</v>
      </c>
      <c r="I81" s="333">
        <f t="shared" si="13"/>
        <v>0</v>
      </c>
      <c r="J81" s="442"/>
      <c r="K81" s="458"/>
      <c r="L81" s="459"/>
      <c r="M81" s="469"/>
      <c r="N81" s="466"/>
      <c r="O81" s="467"/>
      <c r="P81" s="468"/>
      <c r="Q81" s="465"/>
      <c r="R81" s="472"/>
      <c r="S81" s="103">
        <f t="shared" si="15"/>
        <v>0</v>
      </c>
      <c r="T81" s="103" t="e">
        <f t="shared" si="16"/>
        <v>#DIV/0!</v>
      </c>
    </row>
    <row r="82" spans="1:20" s="330" customFormat="1" hidden="1" x14ac:dyDescent="0.25">
      <c r="A82" s="331">
        <v>74</v>
      </c>
      <c r="B82" s="129">
        <f>PIERNA!B77</f>
        <v>0</v>
      </c>
      <c r="C82" s="335">
        <f>PIERNA!C77</f>
        <v>0</v>
      </c>
      <c r="D82" s="184">
        <f>PIERNA!D77</f>
        <v>0</v>
      </c>
      <c r="E82" s="150">
        <f>PIERNA!E77</f>
        <v>0</v>
      </c>
      <c r="F82" s="300">
        <f>PIERNA!F77</f>
        <v>0</v>
      </c>
      <c r="G82" s="337">
        <f>PIERNA!G77</f>
        <v>0</v>
      </c>
      <c r="H82" s="64">
        <f>PIERNA!H77</f>
        <v>0</v>
      </c>
      <c r="I82" s="333">
        <f t="shared" si="13"/>
        <v>0</v>
      </c>
      <c r="J82" s="442"/>
      <c r="K82" s="458"/>
      <c r="L82" s="459"/>
      <c r="M82" s="469"/>
      <c r="N82" s="466"/>
      <c r="O82" s="467"/>
      <c r="P82" s="468"/>
      <c r="Q82" s="465"/>
      <c r="R82" s="472"/>
      <c r="S82" s="103">
        <f t="shared" si="15"/>
        <v>0</v>
      </c>
      <c r="T82" s="103" t="e">
        <f t="shared" si="16"/>
        <v>#DIV/0!</v>
      </c>
    </row>
    <row r="83" spans="1:20" s="330" customFormat="1" hidden="1" x14ac:dyDescent="0.25">
      <c r="A83" s="331">
        <v>75</v>
      </c>
      <c r="B83" s="129">
        <f>PIERNA!B78</f>
        <v>0</v>
      </c>
      <c r="C83" s="335">
        <f>PIERNA!C78</f>
        <v>0</v>
      </c>
      <c r="D83" s="184">
        <f>PIERNA!D78</f>
        <v>0</v>
      </c>
      <c r="E83" s="150">
        <f>PIERNA!E78</f>
        <v>0</v>
      </c>
      <c r="F83" s="300">
        <f>PIERNA!F78</f>
        <v>0</v>
      </c>
      <c r="G83" s="337">
        <f>PIERNA!G78</f>
        <v>0</v>
      </c>
      <c r="H83" s="64">
        <f>PIERNA!H78</f>
        <v>0</v>
      </c>
      <c r="I83" s="333">
        <f t="shared" si="13"/>
        <v>0</v>
      </c>
      <c r="J83" s="442"/>
      <c r="K83" s="458"/>
      <c r="L83" s="459"/>
      <c r="M83" s="469"/>
      <c r="N83" s="466"/>
      <c r="O83" s="467"/>
      <c r="P83" s="468"/>
      <c r="Q83" s="465"/>
      <c r="R83" s="472"/>
      <c r="S83" s="103">
        <f t="shared" si="15"/>
        <v>0</v>
      </c>
      <c r="T83" s="103" t="e">
        <f t="shared" si="16"/>
        <v>#DIV/0!</v>
      </c>
    </row>
    <row r="84" spans="1:20" s="330" customFormat="1" hidden="1" x14ac:dyDescent="0.25">
      <c r="A84" s="331">
        <v>76</v>
      </c>
      <c r="B84" s="129">
        <f>PIERNA!B79</f>
        <v>0</v>
      </c>
      <c r="C84" s="335">
        <f>PIERNA!C79</f>
        <v>0</v>
      </c>
      <c r="D84" s="184">
        <f>PIERNA!D79</f>
        <v>0</v>
      </c>
      <c r="E84" s="150">
        <f>PIERNA!E79</f>
        <v>0</v>
      </c>
      <c r="F84" s="300">
        <f>PIERNA!F79</f>
        <v>0</v>
      </c>
      <c r="G84" s="337">
        <f>PIERNA!G79</f>
        <v>0</v>
      </c>
      <c r="H84" s="64">
        <f>PIERNA!H79</f>
        <v>0</v>
      </c>
      <c r="I84" s="333">
        <f t="shared" si="13"/>
        <v>0</v>
      </c>
      <c r="J84" s="442"/>
      <c r="K84" s="458"/>
      <c r="L84" s="459"/>
      <c r="M84" s="469"/>
      <c r="N84" s="466"/>
      <c r="O84" s="467"/>
      <c r="P84" s="468"/>
      <c r="Q84" s="465"/>
      <c r="R84" s="472"/>
      <c r="S84" s="103">
        <f t="shared" si="15"/>
        <v>0</v>
      </c>
      <c r="T84" s="103" t="e">
        <f t="shared" si="16"/>
        <v>#DIV/0!</v>
      </c>
    </row>
    <row r="85" spans="1:20" s="330" customFormat="1" hidden="1" x14ac:dyDescent="0.25">
      <c r="A85" s="331">
        <v>77</v>
      </c>
      <c r="B85" s="129">
        <f>PIERNA!B80</f>
        <v>0</v>
      </c>
      <c r="C85" s="335">
        <f>PIERNA!C80</f>
        <v>0</v>
      </c>
      <c r="D85" s="184">
        <f>PIERNA!D80</f>
        <v>0</v>
      </c>
      <c r="E85" s="150">
        <f>PIERNA!E80</f>
        <v>0</v>
      </c>
      <c r="F85" s="300">
        <f>PIERNA!F80</f>
        <v>0</v>
      </c>
      <c r="G85" s="337">
        <f>PIERNA!G80</f>
        <v>0</v>
      </c>
      <c r="H85" s="64">
        <f>PIERNA!H80</f>
        <v>0</v>
      </c>
      <c r="I85" s="333">
        <f t="shared" si="13"/>
        <v>0</v>
      </c>
      <c r="J85" s="442"/>
      <c r="K85" s="458"/>
      <c r="L85" s="459"/>
      <c r="M85" s="469"/>
      <c r="N85" s="466"/>
      <c r="O85" s="467"/>
      <c r="P85" s="468"/>
      <c r="Q85" s="465"/>
      <c r="R85" s="472"/>
      <c r="S85" s="103">
        <f t="shared" si="15"/>
        <v>0</v>
      </c>
      <c r="T85" s="103" t="e">
        <f t="shared" si="16"/>
        <v>#DIV/0!</v>
      </c>
    </row>
    <row r="86" spans="1:20" s="330" customFormat="1" hidden="1" x14ac:dyDescent="0.25">
      <c r="A86" s="331">
        <v>78</v>
      </c>
      <c r="B86" s="129">
        <f>PIERNA!B81</f>
        <v>0</v>
      </c>
      <c r="C86" s="335">
        <f>PIERNA!C81</f>
        <v>0</v>
      </c>
      <c r="D86" s="184">
        <f>PIERNA!D81</f>
        <v>0</v>
      </c>
      <c r="E86" s="150">
        <f>PIERNA!E81</f>
        <v>0</v>
      </c>
      <c r="F86" s="300">
        <f>PIERNA!F81</f>
        <v>0</v>
      </c>
      <c r="G86" s="337">
        <f>PIERNA!G81</f>
        <v>0</v>
      </c>
      <c r="H86" s="64">
        <f>PIERNA!H81</f>
        <v>0</v>
      </c>
      <c r="I86" s="333">
        <f t="shared" si="13"/>
        <v>0</v>
      </c>
      <c r="J86" s="442"/>
      <c r="K86" s="458"/>
      <c r="L86" s="459"/>
      <c r="M86" s="469"/>
      <c r="N86" s="466"/>
      <c r="O86" s="467"/>
      <c r="P86" s="468"/>
      <c r="Q86" s="465"/>
      <c r="R86" s="472"/>
      <c r="S86" s="103">
        <f t="shared" si="15"/>
        <v>0</v>
      </c>
      <c r="T86" s="103" t="e">
        <f t="shared" si="16"/>
        <v>#DIV/0!</v>
      </c>
    </row>
    <row r="87" spans="1:20" s="330" customFormat="1" hidden="1" x14ac:dyDescent="0.25">
      <c r="A87" s="331">
        <v>79</v>
      </c>
      <c r="B87" s="129">
        <f>PIERNA!B82</f>
        <v>0</v>
      </c>
      <c r="C87" s="335">
        <f>PIERNA!C82</f>
        <v>0</v>
      </c>
      <c r="D87" s="184">
        <f>PIERNA!D82</f>
        <v>0</v>
      </c>
      <c r="E87" s="150">
        <f>PIERNA!E82</f>
        <v>0</v>
      </c>
      <c r="F87" s="300">
        <f>PIERNA!F82</f>
        <v>0</v>
      </c>
      <c r="G87" s="337">
        <f>PIERNA!G82</f>
        <v>0</v>
      </c>
      <c r="H87" s="64">
        <f>PIERNA!H82</f>
        <v>0</v>
      </c>
      <c r="I87" s="333">
        <f t="shared" si="13"/>
        <v>0</v>
      </c>
      <c r="J87" s="442"/>
      <c r="K87" s="458"/>
      <c r="L87" s="459"/>
      <c r="M87" s="469"/>
      <c r="N87" s="466"/>
      <c r="O87" s="467"/>
      <c r="P87" s="468"/>
      <c r="Q87" s="465"/>
      <c r="R87" s="472"/>
      <c r="S87" s="103">
        <f t="shared" si="15"/>
        <v>0</v>
      </c>
      <c r="T87" s="103" t="e">
        <f t="shared" si="16"/>
        <v>#DIV/0!</v>
      </c>
    </row>
    <row r="88" spans="1:20" s="330" customFormat="1" hidden="1" x14ac:dyDescent="0.25">
      <c r="A88" s="331">
        <v>80</v>
      </c>
      <c r="B88" s="129">
        <f>PIERNA!B83</f>
        <v>0</v>
      </c>
      <c r="C88" s="335">
        <f>PIERNA!C83</f>
        <v>0</v>
      </c>
      <c r="D88" s="184">
        <f>PIERNA!D83</f>
        <v>0</v>
      </c>
      <c r="E88" s="150">
        <f>PIERNA!E83</f>
        <v>0</v>
      </c>
      <c r="F88" s="300">
        <f>PIERNA!F83</f>
        <v>0</v>
      </c>
      <c r="G88" s="337">
        <f>PIERNA!G83</f>
        <v>0</v>
      </c>
      <c r="H88" s="64">
        <f>PIERNA!H83</f>
        <v>0</v>
      </c>
      <c r="I88" s="333">
        <f t="shared" si="13"/>
        <v>0</v>
      </c>
      <c r="J88" s="442"/>
      <c r="K88" s="458"/>
      <c r="L88" s="459"/>
      <c r="M88" s="469"/>
      <c r="N88" s="466"/>
      <c r="O88" s="467"/>
      <c r="P88" s="468"/>
      <c r="Q88" s="465"/>
      <c r="R88" s="472"/>
      <c r="S88" s="103">
        <f t="shared" si="15"/>
        <v>0</v>
      </c>
      <c r="T88" s="103" t="e">
        <f t="shared" si="16"/>
        <v>#DIV/0!</v>
      </c>
    </row>
    <row r="89" spans="1:20" s="330" customFormat="1" hidden="1" x14ac:dyDescent="0.25">
      <c r="A89" s="331">
        <v>81</v>
      </c>
      <c r="B89" s="129">
        <f>PIERNA!B84</f>
        <v>0</v>
      </c>
      <c r="C89" s="335">
        <f>PIERNA!C84</f>
        <v>0</v>
      </c>
      <c r="D89" s="184">
        <f>PIERNA!D84</f>
        <v>0</v>
      </c>
      <c r="E89" s="150">
        <f>PIERNA!E84</f>
        <v>0</v>
      </c>
      <c r="F89" s="300">
        <f>PIERNA!F84</f>
        <v>0</v>
      </c>
      <c r="G89" s="337">
        <f>PIERNA!G84</f>
        <v>0</v>
      </c>
      <c r="H89" s="64">
        <f>PIERNA!H84</f>
        <v>0</v>
      </c>
      <c r="I89" s="333">
        <f t="shared" si="13"/>
        <v>0</v>
      </c>
      <c r="J89" s="442"/>
      <c r="K89" s="458"/>
      <c r="L89" s="459"/>
      <c r="M89" s="469"/>
      <c r="N89" s="466"/>
      <c r="O89" s="467"/>
      <c r="P89" s="468"/>
      <c r="Q89" s="465"/>
      <c r="R89" s="472"/>
      <c r="S89" s="103">
        <f t="shared" si="15"/>
        <v>0</v>
      </c>
      <c r="T89" s="103" t="e">
        <f t="shared" si="16"/>
        <v>#DIV/0!</v>
      </c>
    </row>
    <row r="90" spans="1:20" s="330" customFormat="1" hidden="1" x14ac:dyDescent="0.25">
      <c r="A90" s="331">
        <v>82</v>
      </c>
      <c r="B90" s="129">
        <f>PIERNA!B85</f>
        <v>0</v>
      </c>
      <c r="C90" s="335">
        <f>PIERNA!C85</f>
        <v>0</v>
      </c>
      <c r="D90" s="184">
        <f>PIERNA!D85</f>
        <v>0</v>
      </c>
      <c r="E90" s="150">
        <f>PIERNA!E85</f>
        <v>0</v>
      </c>
      <c r="F90" s="300">
        <f>PIERNA!F85</f>
        <v>0</v>
      </c>
      <c r="G90" s="337">
        <f>PIERNA!G85</f>
        <v>0</v>
      </c>
      <c r="H90" s="64">
        <f>PIERNA!H85</f>
        <v>0</v>
      </c>
      <c r="I90" s="333">
        <f t="shared" si="13"/>
        <v>0</v>
      </c>
      <c r="J90" s="442"/>
      <c r="K90" s="458"/>
      <c r="L90" s="459"/>
      <c r="M90" s="469"/>
      <c r="N90" s="466"/>
      <c r="O90" s="467"/>
      <c r="P90" s="468"/>
      <c r="Q90" s="465"/>
      <c r="R90" s="472"/>
      <c r="S90" s="103">
        <f t="shared" si="15"/>
        <v>0</v>
      </c>
      <c r="T90" s="103" t="e">
        <f t="shared" si="16"/>
        <v>#DIV/0!</v>
      </c>
    </row>
    <row r="91" spans="1:20" s="330" customFormat="1" hidden="1" x14ac:dyDescent="0.25">
      <c r="A91" s="331">
        <v>83</v>
      </c>
      <c r="B91" s="129">
        <f>PIERNA!B86</f>
        <v>0</v>
      </c>
      <c r="C91" s="335">
        <f>PIERNA!C86</f>
        <v>0</v>
      </c>
      <c r="D91" s="184">
        <f>PIERNA!D86</f>
        <v>0</v>
      </c>
      <c r="E91" s="150">
        <f>PIERNA!E86</f>
        <v>0</v>
      </c>
      <c r="F91" s="300">
        <f>PIERNA!F86</f>
        <v>0</v>
      </c>
      <c r="G91" s="337">
        <f>PIERNA!G86</f>
        <v>0</v>
      </c>
      <c r="H91" s="64">
        <f>PIERNA!H86</f>
        <v>0</v>
      </c>
      <c r="I91" s="333">
        <f t="shared" si="13"/>
        <v>0</v>
      </c>
      <c r="J91" s="442"/>
      <c r="K91" s="458"/>
      <c r="L91" s="459"/>
      <c r="M91" s="469"/>
      <c r="N91" s="466"/>
      <c r="O91" s="467"/>
      <c r="P91" s="468"/>
      <c r="Q91" s="465"/>
      <c r="R91" s="472"/>
      <c r="S91" s="103">
        <f t="shared" si="15"/>
        <v>0</v>
      </c>
      <c r="T91" s="103" t="e">
        <f t="shared" si="16"/>
        <v>#DIV/0!</v>
      </c>
    </row>
    <row r="92" spans="1:20" s="330" customFormat="1" hidden="1" x14ac:dyDescent="0.25">
      <c r="A92" s="331">
        <v>84</v>
      </c>
      <c r="B92" s="129">
        <f>PIERNA!B87</f>
        <v>0</v>
      </c>
      <c r="C92" s="335">
        <f>PIERNA!C87</f>
        <v>0</v>
      </c>
      <c r="D92" s="184">
        <f>PIERNA!D87</f>
        <v>0</v>
      </c>
      <c r="E92" s="150">
        <f>PIERNA!E87</f>
        <v>0</v>
      </c>
      <c r="F92" s="300">
        <f>PIERNA!F87</f>
        <v>0</v>
      </c>
      <c r="G92" s="337">
        <f>PIERNA!G87</f>
        <v>0</v>
      </c>
      <c r="H92" s="64">
        <f>PIERNA!H87</f>
        <v>0</v>
      </c>
      <c r="I92" s="333">
        <f t="shared" si="13"/>
        <v>0</v>
      </c>
      <c r="J92" s="442"/>
      <c r="K92" s="458"/>
      <c r="L92" s="459"/>
      <c r="M92" s="469"/>
      <c r="N92" s="466"/>
      <c r="O92" s="467"/>
      <c r="P92" s="468"/>
      <c r="Q92" s="465"/>
      <c r="R92" s="472"/>
      <c r="S92" s="103">
        <f t="shared" si="15"/>
        <v>0</v>
      </c>
      <c r="T92" s="103" t="e">
        <f t="shared" si="16"/>
        <v>#DIV/0!</v>
      </c>
    </row>
    <row r="93" spans="1:20" s="330" customFormat="1" hidden="1" x14ac:dyDescent="0.25">
      <c r="A93" s="331">
        <v>85</v>
      </c>
      <c r="B93" s="129">
        <f>PIERNA!B88</f>
        <v>0</v>
      </c>
      <c r="C93" s="335">
        <f>PIERNA!C88</f>
        <v>0</v>
      </c>
      <c r="D93" s="184">
        <f>PIERNA!D88</f>
        <v>0</v>
      </c>
      <c r="E93" s="150">
        <f>PIERNA!E88</f>
        <v>0</v>
      </c>
      <c r="F93" s="300">
        <f>PIERNA!F88</f>
        <v>0</v>
      </c>
      <c r="G93" s="337">
        <f>PIERNA!G88</f>
        <v>0</v>
      </c>
      <c r="H93" s="64">
        <f>PIERNA!H88</f>
        <v>0</v>
      </c>
      <c r="I93" s="333">
        <f t="shared" si="13"/>
        <v>0</v>
      </c>
      <c r="J93" s="442"/>
      <c r="K93" s="458"/>
      <c r="L93" s="459"/>
      <c r="M93" s="469"/>
      <c r="N93" s="466"/>
      <c r="O93" s="467"/>
      <c r="P93" s="468"/>
      <c r="Q93" s="465"/>
      <c r="R93" s="472"/>
      <c r="S93" s="103">
        <f t="shared" si="15"/>
        <v>0</v>
      </c>
      <c r="T93" s="103" t="e">
        <f t="shared" si="16"/>
        <v>#DIV/0!</v>
      </c>
    </row>
    <row r="94" spans="1:20" s="330" customFormat="1" x14ac:dyDescent="0.25">
      <c r="A94" s="331"/>
      <c r="B94" s="405"/>
      <c r="C94" s="406"/>
      <c r="D94" s="184"/>
      <c r="E94" s="150"/>
      <c r="F94" s="300"/>
      <c r="G94" s="337"/>
      <c r="H94" s="64"/>
      <c r="I94" s="333">
        <f t="shared" si="13"/>
        <v>0</v>
      </c>
      <c r="J94" s="451"/>
      <c r="K94" s="458"/>
      <c r="L94" s="459"/>
      <c r="M94" s="469"/>
      <c r="N94" s="466"/>
      <c r="O94" s="467"/>
      <c r="P94" s="468"/>
      <c r="Q94" s="465"/>
      <c r="R94" s="472"/>
      <c r="S94" s="103">
        <f t="shared" si="15"/>
        <v>0</v>
      </c>
      <c r="T94" s="103" t="e">
        <f t="shared" si="16"/>
        <v>#DIV/0!</v>
      </c>
    </row>
    <row r="95" spans="1:20" s="330" customFormat="1" ht="15.75" x14ac:dyDescent="0.25">
      <c r="A95" s="331"/>
      <c r="B95" s="129"/>
      <c r="C95" s="335"/>
      <c r="D95" s="184"/>
      <c r="E95" s="150"/>
      <c r="F95" s="300"/>
      <c r="G95" s="337"/>
      <c r="H95" s="64"/>
      <c r="I95" s="333">
        <f t="shared" si="13"/>
        <v>0</v>
      </c>
      <c r="J95" s="831" t="s">
        <v>447</v>
      </c>
      <c r="K95" s="458" t="s">
        <v>687</v>
      </c>
      <c r="L95" s="459"/>
      <c r="M95" s="465"/>
      <c r="N95" s="466"/>
      <c r="O95" s="467"/>
      <c r="P95" s="468"/>
      <c r="Q95" s="465"/>
      <c r="R95" s="472"/>
      <c r="S95" s="103" t="e">
        <f t="shared" si="15"/>
        <v>#VALUE!</v>
      </c>
      <c r="T95" s="103" t="e">
        <f t="shared" si="16"/>
        <v>#VALUE!</v>
      </c>
    </row>
    <row r="96" spans="1:20" s="330" customFormat="1" x14ac:dyDescent="0.25">
      <c r="A96" s="331"/>
      <c r="B96" s="129"/>
      <c r="C96" s="335"/>
      <c r="D96" s="184"/>
      <c r="E96" s="150"/>
      <c r="F96" s="300"/>
      <c r="G96" s="337"/>
      <c r="H96" s="64"/>
      <c r="I96" s="333"/>
      <c r="J96" s="442"/>
      <c r="K96" s="458"/>
      <c r="L96" s="459"/>
      <c r="M96" s="465"/>
      <c r="N96" s="466"/>
      <c r="O96" s="467"/>
      <c r="P96" s="468"/>
      <c r="Q96" s="465"/>
      <c r="R96" s="472"/>
      <c r="S96" s="103"/>
      <c r="T96" s="103"/>
    </row>
    <row r="97" spans="1:20" s="330" customFormat="1" x14ac:dyDescent="0.25">
      <c r="A97" s="331"/>
      <c r="B97" s="129"/>
      <c r="C97" s="335"/>
      <c r="D97" s="184"/>
      <c r="E97" s="150"/>
      <c r="F97" s="300"/>
      <c r="G97" s="337"/>
      <c r="H97" s="64"/>
      <c r="I97" s="333"/>
      <c r="J97" s="442"/>
      <c r="K97" s="458"/>
      <c r="L97" s="459"/>
      <c r="M97" s="465"/>
      <c r="N97" s="466"/>
      <c r="O97" s="467"/>
      <c r="P97" s="468"/>
      <c r="Q97" s="465"/>
      <c r="R97" s="472"/>
      <c r="S97" s="103"/>
      <c r="T97" s="103"/>
    </row>
    <row r="98" spans="1:20" s="330" customFormat="1" x14ac:dyDescent="0.25">
      <c r="A98" s="331"/>
      <c r="B98" s="129"/>
      <c r="C98" s="335"/>
      <c r="D98" s="184"/>
      <c r="E98" s="150"/>
      <c r="F98" s="300"/>
      <c r="G98" s="337"/>
      <c r="H98" s="64"/>
      <c r="I98" s="333"/>
      <c r="J98" s="442"/>
      <c r="K98" s="458"/>
      <c r="L98" s="459"/>
      <c r="M98" s="465"/>
      <c r="N98" s="466"/>
      <c r="O98" s="467"/>
      <c r="P98" s="468"/>
      <c r="Q98" s="465"/>
      <c r="R98" s="472"/>
      <c r="S98" s="103"/>
      <c r="T98" s="103"/>
    </row>
    <row r="99" spans="1:20" s="330" customFormat="1" x14ac:dyDescent="0.25">
      <c r="A99" s="331"/>
      <c r="B99" s="129"/>
      <c r="C99" s="335"/>
      <c r="D99" s="184"/>
      <c r="E99" s="150"/>
      <c r="F99" s="300"/>
      <c r="G99" s="337"/>
      <c r="H99" s="64"/>
      <c r="I99" s="333"/>
      <c r="J99" s="442"/>
      <c r="K99" s="458"/>
      <c r="L99" s="459"/>
      <c r="M99" s="465"/>
      <c r="N99" s="466"/>
      <c r="O99" s="467"/>
      <c r="P99" s="468"/>
      <c r="Q99" s="465"/>
      <c r="R99" s="472"/>
      <c r="S99" s="103"/>
      <c r="T99" s="103"/>
    </row>
    <row r="100" spans="1:20" s="330" customFormat="1" x14ac:dyDescent="0.25">
      <c r="A100" s="331"/>
      <c r="B100" s="129"/>
      <c r="C100" s="335"/>
      <c r="D100" s="184"/>
      <c r="E100" s="150"/>
      <c r="F100" s="300"/>
      <c r="G100" s="337"/>
      <c r="H100" s="64"/>
      <c r="I100" s="333"/>
      <c r="J100" s="442"/>
      <c r="K100" s="458"/>
      <c r="L100" s="459"/>
      <c r="M100" s="465"/>
      <c r="N100" s="466"/>
      <c r="O100" s="467"/>
      <c r="P100" s="468"/>
      <c r="Q100" s="465"/>
      <c r="R100" s="472"/>
      <c r="S100" s="103"/>
      <c r="T100" s="103"/>
    </row>
    <row r="101" spans="1:20" s="330" customFormat="1" x14ac:dyDescent="0.25">
      <c r="A101" s="331">
        <v>60</v>
      </c>
      <c r="B101" s="608" t="s">
        <v>80</v>
      </c>
      <c r="C101" s="283" t="s">
        <v>252</v>
      </c>
      <c r="D101" s="184"/>
      <c r="E101" s="262">
        <v>43439</v>
      </c>
      <c r="F101" s="300">
        <v>100</v>
      </c>
      <c r="G101" s="182">
        <v>5</v>
      </c>
      <c r="H101" s="64">
        <v>100</v>
      </c>
      <c r="I101" s="192">
        <f t="shared" ref="I101:I129" si="17">H101-F101</f>
        <v>0</v>
      </c>
      <c r="J101" s="442"/>
      <c r="K101" s="458"/>
      <c r="L101" s="459"/>
      <c r="M101" s="465"/>
      <c r="N101" s="466"/>
      <c r="O101" s="467" t="s">
        <v>266</v>
      </c>
      <c r="P101" s="468"/>
      <c r="Q101" s="465">
        <v>15000</v>
      </c>
      <c r="R101" s="472" t="s">
        <v>295</v>
      </c>
      <c r="S101" s="103">
        <f t="shared" ref="S101:S116" si="18">Q101+M101+K101</f>
        <v>15000</v>
      </c>
      <c r="T101" s="103">
        <f t="shared" ref="T101:T105" si="19">S101/H101</f>
        <v>150</v>
      </c>
    </row>
    <row r="102" spans="1:20" s="330" customFormat="1" x14ac:dyDescent="0.25">
      <c r="A102" s="331">
        <v>61</v>
      </c>
      <c r="B102" s="129" t="s">
        <v>80</v>
      </c>
      <c r="C102" s="283" t="s">
        <v>253</v>
      </c>
      <c r="D102" s="184"/>
      <c r="E102" s="262">
        <v>43439</v>
      </c>
      <c r="F102" s="300">
        <v>100</v>
      </c>
      <c r="G102" s="182">
        <v>1</v>
      </c>
      <c r="H102" s="64">
        <v>100</v>
      </c>
      <c r="I102" s="192">
        <f t="shared" si="17"/>
        <v>0</v>
      </c>
      <c r="J102" s="442"/>
      <c r="K102" s="458"/>
      <c r="L102" s="459"/>
      <c r="M102" s="465"/>
      <c r="N102" s="466"/>
      <c r="O102" s="467" t="s">
        <v>266</v>
      </c>
      <c r="P102" s="468"/>
      <c r="Q102" s="465">
        <v>17000</v>
      </c>
      <c r="R102" s="472" t="s">
        <v>295</v>
      </c>
      <c r="S102" s="103">
        <f>Q102+M102+K102</f>
        <v>17000</v>
      </c>
      <c r="T102" s="103">
        <f t="shared" si="19"/>
        <v>170</v>
      </c>
    </row>
    <row r="103" spans="1:20" s="330" customFormat="1" x14ac:dyDescent="0.25">
      <c r="A103" s="331">
        <v>62</v>
      </c>
      <c r="B103" s="129" t="s">
        <v>254</v>
      </c>
      <c r="C103" s="283" t="s">
        <v>267</v>
      </c>
      <c r="D103" s="184"/>
      <c r="E103" s="262">
        <v>43439</v>
      </c>
      <c r="F103" s="300">
        <v>2780.1</v>
      </c>
      <c r="G103" s="182">
        <v>3</v>
      </c>
      <c r="H103" s="64">
        <v>2780.1</v>
      </c>
      <c r="I103" s="192">
        <f t="shared" si="17"/>
        <v>0</v>
      </c>
      <c r="J103" s="442"/>
      <c r="L103" s="458"/>
      <c r="M103" s="465"/>
      <c r="N103" s="466"/>
      <c r="O103" s="467" t="s">
        <v>268</v>
      </c>
      <c r="P103" s="468"/>
      <c r="Q103" s="465">
        <v>54211.95</v>
      </c>
      <c r="R103" s="472" t="s">
        <v>346</v>
      </c>
      <c r="S103" s="103">
        <f>Q103+M103+K103</f>
        <v>54211.95</v>
      </c>
      <c r="T103" s="103">
        <f t="shared" si="19"/>
        <v>19.5</v>
      </c>
    </row>
    <row r="104" spans="1:20" s="330" customFormat="1" x14ac:dyDescent="0.25">
      <c r="A104" s="331">
        <v>63</v>
      </c>
      <c r="B104" s="608" t="s">
        <v>254</v>
      </c>
      <c r="C104" s="283" t="s">
        <v>267</v>
      </c>
      <c r="D104" s="184"/>
      <c r="E104" s="262">
        <v>43442</v>
      </c>
      <c r="F104" s="300">
        <v>3660.6</v>
      </c>
      <c r="G104" s="182">
        <v>4</v>
      </c>
      <c r="H104" s="64">
        <v>3660.6</v>
      </c>
      <c r="I104" s="192">
        <f t="shared" si="17"/>
        <v>0</v>
      </c>
      <c r="J104" s="442"/>
      <c r="K104" s="458"/>
      <c r="L104" s="459"/>
      <c r="M104" s="465"/>
      <c r="N104" s="466"/>
      <c r="O104" s="467" t="s">
        <v>274</v>
      </c>
      <c r="P104" s="468"/>
      <c r="Q104" s="465">
        <v>71381.7</v>
      </c>
      <c r="R104" s="472" t="s">
        <v>346</v>
      </c>
      <c r="S104" s="103">
        <f t="shared" ref="S104" si="20">Q104+M104+K104</f>
        <v>71381.7</v>
      </c>
      <c r="T104" s="103">
        <f t="shared" si="19"/>
        <v>19.5</v>
      </c>
    </row>
    <row r="105" spans="1:20" s="330" customFormat="1" ht="15.75" x14ac:dyDescent="0.25">
      <c r="A105" s="331">
        <v>64</v>
      </c>
      <c r="B105" s="815" t="s">
        <v>319</v>
      </c>
      <c r="C105" s="283" t="s">
        <v>320</v>
      </c>
      <c r="D105" s="184"/>
      <c r="E105" s="262">
        <v>43446</v>
      </c>
      <c r="F105" s="300">
        <v>17418.13</v>
      </c>
      <c r="G105" s="182">
        <v>1600</v>
      </c>
      <c r="H105" s="64">
        <v>17418.13</v>
      </c>
      <c r="I105" s="192">
        <f t="shared" si="17"/>
        <v>0</v>
      </c>
      <c r="J105" s="442"/>
      <c r="K105" s="458"/>
      <c r="L105" s="459"/>
      <c r="M105" s="465"/>
      <c r="N105" s="466"/>
      <c r="O105" s="467">
        <v>19494</v>
      </c>
      <c r="P105" s="468"/>
      <c r="Q105" s="813">
        <v>688015.97</v>
      </c>
      <c r="R105" s="814" t="s">
        <v>681</v>
      </c>
      <c r="S105" s="103">
        <f t="shared" si="18"/>
        <v>688015.97</v>
      </c>
      <c r="T105" s="103">
        <f t="shared" si="19"/>
        <v>39.499990527111692</v>
      </c>
    </row>
    <row r="106" spans="1:20" s="330" customFormat="1" x14ac:dyDescent="0.25">
      <c r="A106" s="331">
        <v>65</v>
      </c>
      <c r="B106" s="629" t="s">
        <v>254</v>
      </c>
      <c r="C106" s="283" t="s">
        <v>267</v>
      </c>
      <c r="D106" s="184"/>
      <c r="E106" s="262">
        <v>43446</v>
      </c>
      <c r="F106" s="300">
        <v>5761.9</v>
      </c>
      <c r="G106" s="337">
        <v>6</v>
      </c>
      <c r="H106" s="64">
        <v>5761.9</v>
      </c>
      <c r="I106" s="333">
        <f t="shared" si="17"/>
        <v>0</v>
      </c>
      <c r="J106" s="442"/>
      <c r="K106" s="458"/>
      <c r="L106" s="459"/>
      <c r="M106" s="465"/>
      <c r="N106" s="481"/>
      <c r="O106" s="467" t="s">
        <v>321</v>
      </c>
      <c r="P106" s="468"/>
      <c r="Q106" s="465">
        <v>112357.05</v>
      </c>
      <c r="R106" s="472" t="s">
        <v>356</v>
      </c>
      <c r="S106" s="103">
        <f t="shared" si="18"/>
        <v>112357.05</v>
      </c>
      <c r="T106" s="103">
        <f>S106/H106</f>
        <v>19.5</v>
      </c>
    </row>
    <row r="107" spans="1:20" s="330" customFormat="1" x14ac:dyDescent="0.25">
      <c r="A107" s="331">
        <v>66</v>
      </c>
      <c r="B107" s="629" t="s">
        <v>323</v>
      </c>
      <c r="C107" s="283" t="s">
        <v>307</v>
      </c>
      <c r="D107" s="184"/>
      <c r="E107" s="262">
        <v>43447</v>
      </c>
      <c r="F107" s="300">
        <v>1</v>
      </c>
      <c r="G107" s="337">
        <v>5</v>
      </c>
      <c r="H107" s="64">
        <v>1</v>
      </c>
      <c r="I107" s="333">
        <f t="shared" si="17"/>
        <v>0</v>
      </c>
      <c r="J107" s="442"/>
      <c r="K107" s="458"/>
      <c r="L107" s="459"/>
      <c r="M107" s="465"/>
      <c r="N107" s="481"/>
      <c r="O107" s="467" t="s">
        <v>324</v>
      </c>
      <c r="P107" s="468"/>
      <c r="Q107" s="813"/>
      <c r="R107" s="814"/>
      <c r="S107" s="103">
        <f t="shared" ref="S107:S109" si="21">Q107+M107+K107</f>
        <v>0</v>
      </c>
      <c r="T107" s="103">
        <f t="shared" ref="T107:T109" si="22">S107/H107</f>
        <v>0</v>
      </c>
    </row>
    <row r="108" spans="1:20" s="330" customFormat="1" ht="18.75" x14ac:dyDescent="0.3">
      <c r="A108" s="331">
        <v>67</v>
      </c>
      <c r="B108" s="629" t="s">
        <v>323</v>
      </c>
      <c r="C108" s="283" t="s">
        <v>325</v>
      </c>
      <c r="D108" s="184"/>
      <c r="E108" s="262">
        <v>43447</v>
      </c>
      <c r="F108" s="300">
        <v>4.42</v>
      </c>
      <c r="G108" s="337">
        <v>5</v>
      </c>
      <c r="H108" s="64">
        <v>4.42</v>
      </c>
      <c r="I108" s="333">
        <f t="shared" si="17"/>
        <v>0</v>
      </c>
      <c r="J108" s="442"/>
      <c r="K108" s="458"/>
      <c r="L108" s="459"/>
      <c r="M108" s="621"/>
      <c r="N108" s="622"/>
      <c r="O108" s="467" t="s">
        <v>326</v>
      </c>
      <c r="P108" s="468"/>
      <c r="Q108" s="813"/>
      <c r="R108" s="814"/>
      <c r="S108" s="103">
        <f t="shared" si="21"/>
        <v>0</v>
      </c>
      <c r="T108" s="103">
        <f t="shared" si="22"/>
        <v>0</v>
      </c>
    </row>
    <row r="109" spans="1:20" s="330" customFormat="1" ht="18.75" x14ac:dyDescent="0.3">
      <c r="A109" s="331">
        <v>68</v>
      </c>
      <c r="B109" s="629" t="s">
        <v>323</v>
      </c>
      <c r="C109" s="283" t="s">
        <v>327</v>
      </c>
      <c r="D109" s="184"/>
      <c r="E109" s="262">
        <v>43447</v>
      </c>
      <c r="F109" s="300">
        <v>12</v>
      </c>
      <c r="G109" s="337">
        <v>44</v>
      </c>
      <c r="H109" s="64">
        <v>12</v>
      </c>
      <c r="I109" s="333">
        <f t="shared" si="17"/>
        <v>0</v>
      </c>
      <c r="J109" s="442"/>
      <c r="K109" s="458"/>
      <c r="L109" s="459"/>
      <c r="M109" s="621"/>
      <c r="N109" s="622"/>
      <c r="O109" s="467" t="s">
        <v>328</v>
      </c>
      <c r="P109" s="468"/>
      <c r="Q109" s="813"/>
      <c r="R109" s="814"/>
      <c r="S109" s="103">
        <f t="shared" si="21"/>
        <v>0</v>
      </c>
      <c r="T109" s="103">
        <f t="shared" si="22"/>
        <v>0</v>
      </c>
    </row>
    <row r="110" spans="1:20" s="330" customFormat="1" ht="15.75" x14ac:dyDescent="0.25">
      <c r="A110" s="331">
        <v>69</v>
      </c>
      <c r="B110" s="630" t="s">
        <v>254</v>
      </c>
      <c r="C110" s="604" t="s">
        <v>267</v>
      </c>
      <c r="D110" s="526"/>
      <c r="E110" s="603">
        <v>43448</v>
      </c>
      <c r="F110" s="689">
        <v>1785.33</v>
      </c>
      <c r="G110" s="527">
        <v>2</v>
      </c>
      <c r="H110" s="528">
        <v>1785.33</v>
      </c>
      <c r="I110" s="333">
        <f t="shared" si="17"/>
        <v>0</v>
      </c>
      <c r="J110" s="442"/>
      <c r="K110" s="458"/>
      <c r="L110" s="459"/>
      <c r="M110" s="465"/>
      <c r="N110" s="466"/>
      <c r="O110" s="761" t="s">
        <v>329</v>
      </c>
      <c r="P110" s="468"/>
      <c r="Q110" s="465">
        <v>34813.94</v>
      </c>
      <c r="R110" s="472" t="s">
        <v>356</v>
      </c>
      <c r="S110" s="103">
        <f t="shared" si="18"/>
        <v>34813.94</v>
      </c>
      <c r="T110" s="103">
        <f t="shared" ref="T110:T118" si="23">S110/H110</f>
        <v>19.50000280060269</v>
      </c>
    </row>
    <row r="111" spans="1:20" s="330" customFormat="1" ht="30" x14ac:dyDescent="0.3">
      <c r="A111" s="331">
        <v>70</v>
      </c>
      <c r="B111" s="608" t="s">
        <v>98</v>
      </c>
      <c r="C111" s="283" t="s">
        <v>333</v>
      </c>
      <c r="D111" s="184"/>
      <c r="E111" s="262">
        <v>43449</v>
      </c>
      <c r="F111" s="300">
        <v>9013.61</v>
      </c>
      <c r="G111" s="182">
        <v>322</v>
      </c>
      <c r="H111" s="64">
        <v>9013.61</v>
      </c>
      <c r="I111" s="333">
        <f t="shared" si="17"/>
        <v>0</v>
      </c>
      <c r="J111" s="442"/>
      <c r="K111" s="458"/>
      <c r="L111" s="459"/>
      <c r="M111" s="465"/>
      <c r="N111" s="466"/>
      <c r="O111" s="703" t="s">
        <v>357</v>
      </c>
      <c r="P111" s="468"/>
      <c r="Q111" s="465">
        <v>842774.41</v>
      </c>
      <c r="R111" s="472" t="s">
        <v>356</v>
      </c>
      <c r="S111" s="103">
        <f t="shared" si="18"/>
        <v>842774.41</v>
      </c>
      <c r="T111" s="103">
        <f t="shared" si="23"/>
        <v>93.500208018762734</v>
      </c>
    </row>
    <row r="112" spans="1:20" s="330" customFormat="1" ht="18.75" x14ac:dyDescent="0.3">
      <c r="A112" s="331">
        <v>71</v>
      </c>
      <c r="B112" s="608" t="s">
        <v>254</v>
      </c>
      <c r="C112" s="283" t="s">
        <v>267</v>
      </c>
      <c r="D112" s="184"/>
      <c r="E112" s="262">
        <v>43453</v>
      </c>
      <c r="F112" s="300">
        <f>935.8+904.9</f>
        <v>1840.6999999999998</v>
      </c>
      <c r="G112" s="182">
        <v>2</v>
      </c>
      <c r="H112" s="64">
        <v>1840.7</v>
      </c>
      <c r="I112" s="333">
        <f t="shared" si="17"/>
        <v>0</v>
      </c>
      <c r="J112" s="442"/>
      <c r="K112" s="458"/>
      <c r="L112" s="459"/>
      <c r="M112" s="465"/>
      <c r="N112" s="470"/>
      <c r="O112" s="703" t="s">
        <v>407</v>
      </c>
      <c r="P112" s="468"/>
      <c r="Q112" s="465">
        <v>35893.65</v>
      </c>
      <c r="R112" s="472" t="s">
        <v>454</v>
      </c>
      <c r="S112" s="103">
        <f t="shared" si="18"/>
        <v>35893.65</v>
      </c>
      <c r="T112" s="103">
        <f t="shared" si="23"/>
        <v>19.5</v>
      </c>
    </row>
    <row r="113" spans="1:20" s="330" customFormat="1" ht="18.75" x14ac:dyDescent="0.3">
      <c r="A113" s="331">
        <v>72</v>
      </c>
      <c r="B113" s="608" t="s">
        <v>254</v>
      </c>
      <c r="C113" s="283" t="s">
        <v>408</v>
      </c>
      <c r="D113" s="184"/>
      <c r="E113" s="262">
        <v>43456</v>
      </c>
      <c r="F113" s="300">
        <v>1000</v>
      </c>
      <c r="G113" s="182">
        <v>100</v>
      </c>
      <c r="H113" s="64">
        <v>1000</v>
      </c>
      <c r="I113" s="333">
        <f t="shared" si="17"/>
        <v>0</v>
      </c>
      <c r="J113" s="442"/>
      <c r="K113" s="458"/>
      <c r="L113" s="459"/>
      <c r="M113" s="465"/>
      <c r="N113" s="470"/>
      <c r="O113" s="703" t="s">
        <v>409</v>
      </c>
      <c r="P113" s="468"/>
      <c r="Q113" s="465">
        <v>29500</v>
      </c>
      <c r="R113" s="472" t="s">
        <v>455</v>
      </c>
      <c r="S113" s="103">
        <f t="shared" si="18"/>
        <v>29500</v>
      </c>
      <c r="T113" s="103">
        <f t="shared" si="23"/>
        <v>29.5</v>
      </c>
    </row>
    <row r="114" spans="1:20" s="330" customFormat="1" ht="18.75" x14ac:dyDescent="0.3">
      <c r="A114" s="331">
        <v>73</v>
      </c>
      <c r="B114" s="608" t="s">
        <v>254</v>
      </c>
      <c r="C114" s="283" t="s">
        <v>410</v>
      </c>
      <c r="D114" s="184"/>
      <c r="E114" s="262">
        <v>43456</v>
      </c>
      <c r="F114" s="300">
        <v>678.09</v>
      </c>
      <c r="G114" s="182">
        <v>34</v>
      </c>
      <c r="H114" s="64">
        <v>678.09</v>
      </c>
      <c r="I114" s="333">
        <f t="shared" si="17"/>
        <v>0</v>
      </c>
      <c r="J114" s="442"/>
      <c r="K114" s="458"/>
      <c r="L114" s="459"/>
      <c r="M114" s="465"/>
      <c r="N114" s="470"/>
      <c r="O114" s="703" t="s">
        <v>409</v>
      </c>
      <c r="P114" s="468"/>
      <c r="Q114" s="465">
        <v>13222.76</v>
      </c>
      <c r="R114" s="472" t="s">
        <v>454</v>
      </c>
      <c r="S114" s="103">
        <f t="shared" si="18"/>
        <v>13222.76</v>
      </c>
      <c r="T114" s="103">
        <f t="shared" si="23"/>
        <v>19.500007373652466</v>
      </c>
    </row>
    <row r="115" spans="1:20" s="330" customFormat="1" ht="15.75" x14ac:dyDescent="0.25">
      <c r="A115" s="331">
        <v>74</v>
      </c>
      <c r="B115" s="629" t="s">
        <v>80</v>
      </c>
      <c r="C115" s="283" t="s">
        <v>81</v>
      </c>
      <c r="D115" s="184"/>
      <c r="E115" s="262">
        <v>43458</v>
      </c>
      <c r="F115" s="300">
        <v>45.4</v>
      </c>
      <c r="G115" s="337">
        <v>10</v>
      </c>
      <c r="H115" s="64">
        <v>45.4</v>
      </c>
      <c r="I115" s="333">
        <f t="shared" si="17"/>
        <v>0</v>
      </c>
      <c r="J115" s="442"/>
      <c r="K115" s="458"/>
      <c r="L115" s="459"/>
      <c r="M115" s="458"/>
      <c r="N115" s="459"/>
      <c r="O115" s="780" t="s">
        <v>382</v>
      </c>
      <c r="P115" s="468"/>
      <c r="Q115" s="465">
        <v>7945</v>
      </c>
      <c r="R115" s="472" t="s">
        <v>429</v>
      </c>
      <c r="S115" s="103">
        <f t="shared" si="18"/>
        <v>7945</v>
      </c>
      <c r="T115" s="103">
        <f t="shared" si="23"/>
        <v>175</v>
      </c>
    </row>
    <row r="116" spans="1:20" s="330" customFormat="1" ht="15.75" x14ac:dyDescent="0.25">
      <c r="A116" s="331">
        <v>75</v>
      </c>
      <c r="B116" s="608" t="s">
        <v>80</v>
      </c>
      <c r="C116" s="283" t="s">
        <v>253</v>
      </c>
      <c r="D116" s="184"/>
      <c r="E116" s="262">
        <v>43458</v>
      </c>
      <c r="F116" s="300">
        <v>100</v>
      </c>
      <c r="G116" s="337">
        <v>10</v>
      </c>
      <c r="H116" s="64">
        <v>100</v>
      </c>
      <c r="I116" s="333">
        <f t="shared" si="17"/>
        <v>0</v>
      </c>
      <c r="J116" s="442"/>
      <c r="K116" s="458"/>
      <c r="L116" s="459"/>
      <c r="M116" s="458"/>
      <c r="N116" s="459"/>
      <c r="O116" s="780" t="s">
        <v>382</v>
      </c>
      <c r="P116" s="468"/>
      <c r="Q116" s="465">
        <v>17000</v>
      </c>
      <c r="R116" s="472" t="s">
        <v>429</v>
      </c>
      <c r="S116" s="103">
        <f t="shared" si="18"/>
        <v>17000</v>
      </c>
      <c r="T116" s="103">
        <f t="shared" si="23"/>
        <v>170</v>
      </c>
    </row>
    <row r="117" spans="1:20" s="330" customFormat="1" ht="15.75" x14ac:dyDescent="0.25">
      <c r="A117" s="331">
        <v>76</v>
      </c>
      <c r="B117" s="608" t="s">
        <v>80</v>
      </c>
      <c r="C117" s="283" t="s">
        <v>383</v>
      </c>
      <c r="D117" s="184"/>
      <c r="E117" s="262">
        <v>43458</v>
      </c>
      <c r="F117" s="300">
        <v>1003.34</v>
      </c>
      <c r="G117" s="337">
        <v>221</v>
      </c>
      <c r="H117" s="64">
        <v>1003.34</v>
      </c>
      <c r="I117" s="333">
        <f t="shared" si="17"/>
        <v>0</v>
      </c>
      <c r="J117" s="442"/>
      <c r="K117" s="458"/>
      <c r="L117" s="459"/>
      <c r="M117" s="458"/>
      <c r="N117" s="459"/>
      <c r="O117" s="780" t="s">
        <v>382</v>
      </c>
      <c r="P117" s="468"/>
      <c r="Q117" s="465">
        <v>48160.32</v>
      </c>
      <c r="R117" s="472" t="s">
        <v>429</v>
      </c>
      <c r="S117" s="103">
        <f t="shared" ref="S117:S130" si="24">Q117+M117+K117</f>
        <v>48160.32</v>
      </c>
      <c r="T117" s="103">
        <f t="shared" si="23"/>
        <v>48</v>
      </c>
    </row>
    <row r="118" spans="1:20" s="330" customFormat="1" ht="15.75" x14ac:dyDescent="0.25">
      <c r="A118" s="331">
        <v>77</v>
      </c>
      <c r="B118" s="608" t="s">
        <v>80</v>
      </c>
      <c r="C118" s="283" t="s">
        <v>252</v>
      </c>
      <c r="D118" s="184"/>
      <c r="E118" s="262">
        <v>43458</v>
      </c>
      <c r="F118" s="300">
        <v>100</v>
      </c>
      <c r="G118" s="337">
        <v>5</v>
      </c>
      <c r="H118" s="64">
        <v>100</v>
      </c>
      <c r="I118" s="333">
        <f t="shared" ref="I118" si="25">H118-F118</f>
        <v>0</v>
      </c>
      <c r="J118" s="442"/>
      <c r="K118" s="458"/>
      <c r="L118" s="459"/>
      <c r="M118" s="458"/>
      <c r="N118" s="459"/>
      <c r="O118" s="780" t="s">
        <v>382</v>
      </c>
      <c r="P118" s="468"/>
      <c r="Q118" s="465">
        <v>15000</v>
      </c>
      <c r="R118" s="472" t="s">
        <v>429</v>
      </c>
      <c r="S118" s="103">
        <f t="shared" si="24"/>
        <v>15000</v>
      </c>
      <c r="T118" s="103">
        <f t="shared" si="23"/>
        <v>150</v>
      </c>
    </row>
    <row r="119" spans="1:20" s="330" customFormat="1" ht="15.75" x14ac:dyDescent="0.25">
      <c r="A119" s="331">
        <v>78</v>
      </c>
      <c r="B119" s="608" t="s">
        <v>254</v>
      </c>
      <c r="C119" s="283" t="s">
        <v>267</v>
      </c>
      <c r="D119" s="184"/>
      <c r="E119" s="262">
        <v>43462</v>
      </c>
      <c r="F119" s="300">
        <v>875.4</v>
      </c>
      <c r="G119" s="337">
        <v>1</v>
      </c>
      <c r="H119" s="64">
        <v>875.4</v>
      </c>
      <c r="I119" s="333">
        <f t="shared" si="17"/>
        <v>0</v>
      </c>
      <c r="J119" s="442"/>
      <c r="K119" s="458"/>
      <c r="L119" s="459"/>
      <c r="M119" s="465"/>
      <c r="N119" s="466"/>
      <c r="O119" s="780" t="s">
        <v>419</v>
      </c>
      <c r="P119" s="468"/>
      <c r="Q119" s="465">
        <v>16632.599999999999</v>
      </c>
      <c r="R119" s="472" t="s">
        <v>454</v>
      </c>
      <c r="S119" s="103">
        <f t="shared" si="24"/>
        <v>16632.599999999999</v>
      </c>
      <c r="T119" s="103">
        <f t="shared" ref="T119:T130" si="26">S119/H119</f>
        <v>19</v>
      </c>
    </row>
    <row r="120" spans="1:20" s="330" customFormat="1" x14ac:dyDescent="0.25">
      <c r="A120" s="331">
        <v>79</v>
      </c>
      <c r="B120" s="608"/>
      <c r="C120" s="283"/>
      <c r="D120" s="184"/>
      <c r="E120" s="262"/>
      <c r="F120" s="300"/>
      <c r="G120" s="337"/>
      <c r="H120" s="64"/>
      <c r="I120" s="333">
        <f t="shared" si="17"/>
        <v>0</v>
      </c>
      <c r="J120" s="442"/>
      <c r="K120" s="458"/>
      <c r="L120" s="459"/>
      <c r="M120" s="465"/>
      <c r="N120" s="466"/>
      <c r="O120" s="467"/>
      <c r="P120" s="468"/>
      <c r="Q120" s="465"/>
      <c r="R120" s="472"/>
      <c r="S120" s="103">
        <f t="shared" si="24"/>
        <v>0</v>
      </c>
      <c r="T120" s="103" t="e">
        <f t="shared" si="26"/>
        <v>#DIV/0!</v>
      </c>
    </row>
    <row r="121" spans="1:20" s="330" customFormat="1" x14ac:dyDescent="0.25">
      <c r="A121" s="331">
        <v>80</v>
      </c>
      <c r="B121" s="129"/>
      <c r="C121" s="283"/>
      <c r="D121" s="367"/>
      <c r="E121" s="262"/>
      <c r="F121" s="300"/>
      <c r="G121" s="182"/>
      <c r="H121" s="64"/>
      <c r="I121" s="333">
        <f t="shared" si="17"/>
        <v>0</v>
      </c>
      <c r="J121" s="442"/>
      <c r="K121" s="458"/>
      <c r="L121" s="459"/>
      <c r="M121" s="465"/>
      <c r="N121" s="466"/>
      <c r="O121" s="467"/>
      <c r="P121" s="468"/>
      <c r="Q121" s="465"/>
      <c r="R121" s="472"/>
      <c r="S121" s="103">
        <f t="shared" si="24"/>
        <v>0</v>
      </c>
      <c r="T121" s="103" t="e">
        <f t="shared" si="26"/>
        <v>#DIV/0!</v>
      </c>
    </row>
    <row r="122" spans="1:20" s="330" customFormat="1" x14ac:dyDescent="0.25">
      <c r="A122" s="331">
        <v>81</v>
      </c>
      <c r="B122" s="129"/>
      <c r="C122" s="283"/>
      <c r="D122" s="367"/>
      <c r="E122" s="262"/>
      <c r="F122" s="300"/>
      <c r="G122" s="182"/>
      <c r="H122" s="64"/>
      <c r="I122" s="333">
        <f t="shared" si="17"/>
        <v>0</v>
      </c>
      <c r="J122" s="442"/>
      <c r="K122" s="471"/>
      <c r="L122" s="459"/>
      <c r="M122" s="465"/>
      <c r="N122" s="466"/>
      <c r="O122" s="467"/>
      <c r="P122" s="468"/>
      <c r="Q122" s="465"/>
      <c r="R122" s="472"/>
      <c r="S122" s="103">
        <f t="shared" si="24"/>
        <v>0</v>
      </c>
      <c r="T122" s="103" t="e">
        <f t="shared" si="26"/>
        <v>#DIV/0!</v>
      </c>
    </row>
    <row r="123" spans="1:20" s="330" customFormat="1" ht="15.75" x14ac:dyDescent="0.25">
      <c r="A123" s="331">
        <v>82</v>
      </c>
      <c r="B123" s="128"/>
      <c r="C123" s="283"/>
      <c r="D123" s="367"/>
      <c r="E123" s="262"/>
      <c r="F123" s="300"/>
      <c r="G123" s="182"/>
      <c r="H123" s="64"/>
      <c r="I123" s="333">
        <f t="shared" si="17"/>
        <v>0</v>
      </c>
      <c r="J123" s="607"/>
      <c r="K123" s="471"/>
      <c r="L123" s="459"/>
      <c r="M123" s="465"/>
      <c r="N123" s="466"/>
      <c r="O123" s="467"/>
      <c r="P123" s="468"/>
      <c r="Q123" s="465"/>
      <c r="R123" s="472"/>
      <c r="S123" s="103">
        <f t="shared" si="24"/>
        <v>0</v>
      </c>
      <c r="T123" s="103" t="e">
        <f t="shared" si="26"/>
        <v>#DIV/0!</v>
      </c>
    </row>
    <row r="124" spans="1:20" s="330" customFormat="1" x14ac:dyDescent="0.25">
      <c r="A124" s="331">
        <v>83</v>
      </c>
      <c r="B124" s="608"/>
      <c r="C124" s="283"/>
      <c r="D124" s="367"/>
      <c r="E124" s="262"/>
      <c r="F124" s="300"/>
      <c r="G124" s="182"/>
      <c r="H124" s="64"/>
      <c r="I124" s="333">
        <f t="shared" si="17"/>
        <v>0</v>
      </c>
      <c r="J124" s="458"/>
      <c r="K124" s="125"/>
      <c r="L124" s="459"/>
      <c r="M124" s="465"/>
      <c r="N124" s="466"/>
      <c r="O124" s="467"/>
      <c r="P124" s="468"/>
      <c r="Q124" s="465"/>
      <c r="R124" s="472"/>
      <c r="S124" s="103">
        <f t="shared" si="24"/>
        <v>0</v>
      </c>
      <c r="T124" s="103" t="e">
        <f t="shared" si="26"/>
        <v>#DIV/0!</v>
      </c>
    </row>
    <row r="125" spans="1:20" s="330" customFormat="1" x14ac:dyDescent="0.25">
      <c r="A125" s="331">
        <v>84</v>
      </c>
      <c r="B125" s="592"/>
      <c r="C125" s="283"/>
      <c r="D125" s="184"/>
      <c r="E125" s="262"/>
      <c r="F125" s="300"/>
      <c r="G125" s="182"/>
      <c r="H125" s="64"/>
      <c r="I125" s="333">
        <f t="shared" si="17"/>
        <v>0</v>
      </c>
      <c r="J125" s="454"/>
      <c r="K125" s="458"/>
      <c r="L125" s="459"/>
      <c r="M125" s="465"/>
      <c r="N125" s="474"/>
      <c r="O125" s="467"/>
      <c r="P125" s="468"/>
      <c r="Q125" s="465"/>
      <c r="R125" s="472"/>
      <c r="S125" s="103">
        <f t="shared" si="24"/>
        <v>0</v>
      </c>
      <c r="T125" s="103" t="e">
        <f t="shared" si="26"/>
        <v>#DIV/0!</v>
      </c>
    </row>
    <row r="126" spans="1:20" s="330" customFormat="1" x14ac:dyDescent="0.25">
      <c r="A126" s="331"/>
      <c r="B126" s="592"/>
      <c r="C126" s="283"/>
      <c r="D126" s="184"/>
      <c r="E126" s="262"/>
      <c r="F126" s="300"/>
      <c r="G126" s="182"/>
      <c r="H126" s="64"/>
      <c r="I126" s="333">
        <f t="shared" si="17"/>
        <v>0</v>
      </c>
      <c r="J126" s="454"/>
      <c r="K126" s="458"/>
      <c r="L126" s="459"/>
      <c r="M126" s="465"/>
      <c r="N126" s="474"/>
      <c r="O126" s="467"/>
      <c r="P126" s="468"/>
      <c r="Q126" s="465"/>
      <c r="R126" s="472"/>
      <c r="S126" s="103">
        <f t="shared" si="24"/>
        <v>0</v>
      </c>
      <c r="T126" s="103" t="e">
        <f t="shared" si="26"/>
        <v>#DIV/0!</v>
      </c>
    </row>
    <row r="127" spans="1:20" s="330" customFormat="1" ht="15.75" x14ac:dyDescent="0.25">
      <c r="A127" s="331"/>
      <c r="B127" s="643"/>
      <c r="C127" s="283"/>
      <c r="D127" s="184"/>
      <c r="E127" s="262"/>
      <c r="F127" s="300"/>
      <c r="G127" s="182"/>
      <c r="H127" s="64"/>
      <c r="I127" s="333">
        <f t="shared" si="17"/>
        <v>0</v>
      </c>
      <c r="J127" s="454"/>
      <c r="K127" s="458"/>
      <c r="L127" s="459"/>
      <c r="M127" s="465"/>
      <c r="N127" s="474"/>
      <c r="O127" s="467"/>
      <c r="P127" s="468"/>
      <c r="Q127" s="465"/>
      <c r="R127" s="472"/>
      <c r="S127" s="103">
        <f t="shared" si="24"/>
        <v>0</v>
      </c>
      <c r="T127" s="103" t="e">
        <f t="shared" si="26"/>
        <v>#DIV/0!</v>
      </c>
    </row>
    <row r="128" spans="1:20" s="330" customFormat="1" x14ac:dyDescent="0.25">
      <c r="A128" s="331"/>
      <c r="B128" s="592"/>
      <c r="C128" s="283"/>
      <c r="D128" s="184"/>
      <c r="E128" s="262"/>
      <c r="F128" s="300"/>
      <c r="G128" s="182"/>
      <c r="H128" s="64"/>
      <c r="I128" s="333">
        <f t="shared" si="17"/>
        <v>0</v>
      </c>
      <c r="J128" s="454"/>
      <c r="K128" s="458"/>
      <c r="L128" s="459"/>
      <c r="M128" s="465"/>
      <c r="N128" s="474"/>
      <c r="O128" s="467"/>
      <c r="P128" s="468"/>
      <c r="Q128" s="465"/>
      <c r="R128" s="472"/>
      <c r="S128" s="103">
        <f t="shared" si="24"/>
        <v>0</v>
      </c>
      <c r="T128" s="103" t="e">
        <f t="shared" si="26"/>
        <v>#DIV/0!</v>
      </c>
    </row>
    <row r="129" spans="1:20" s="330" customFormat="1" ht="15.75" x14ac:dyDescent="0.25">
      <c r="A129" s="331"/>
      <c r="B129" s="592"/>
      <c r="C129" s="283"/>
      <c r="D129" s="184"/>
      <c r="E129" s="262"/>
      <c r="F129" s="300"/>
      <c r="G129" s="182"/>
      <c r="H129" s="64"/>
      <c r="I129" s="333">
        <f t="shared" si="17"/>
        <v>0</v>
      </c>
      <c r="J129" s="570"/>
      <c r="K129" s="458"/>
      <c r="L129" s="459"/>
      <c r="M129" s="465"/>
      <c r="N129" s="623"/>
      <c r="O129" s="467"/>
      <c r="P129" s="468"/>
      <c r="Q129" s="465"/>
      <c r="R129" s="472"/>
      <c r="S129" s="103">
        <f t="shared" si="24"/>
        <v>0</v>
      </c>
      <c r="T129" s="103" t="e">
        <f t="shared" si="26"/>
        <v>#DIV/0!</v>
      </c>
    </row>
    <row r="130" spans="1:20" s="330" customFormat="1" x14ac:dyDescent="0.25">
      <c r="A130" s="331"/>
      <c r="B130" s="608"/>
      <c r="C130" s="283"/>
      <c r="D130" s="283"/>
      <c r="E130" s="262"/>
      <c r="F130" s="300"/>
      <c r="G130" s="182"/>
      <c r="H130" s="64"/>
      <c r="I130" s="333">
        <f t="shared" ref="I130:I131" si="27">H130-F130</f>
        <v>0</v>
      </c>
      <c r="J130" s="442"/>
      <c r="K130" s="458"/>
      <c r="L130" s="459"/>
      <c r="M130" s="465"/>
      <c r="N130" s="474"/>
      <c r="O130" s="467"/>
      <c r="P130" s="468"/>
      <c r="Q130" s="465"/>
      <c r="R130" s="472"/>
      <c r="S130" s="103">
        <f t="shared" si="24"/>
        <v>0</v>
      </c>
      <c r="T130" s="103" t="e">
        <f t="shared" si="26"/>
        <v>#DIV/0!</v>
      </c>
    </row>
    <row r="131" spans="1:20" s="330" customFormat="1" x14ac:dyDescent="0.25">
      <c r="A131" s="331"/>
      <c r="B131" s="128"/>
      <c r="C131" s="119"/>
      <c r="D131" s="320"/>
      <c r="E131" s="306"/>
      <c r="F131" s="246"/>
      <c r="G131" s="182"/>
      <c r="H131" s="64"/>
      <c r="I131" s="333">
        <f t="shared" si="27"/>
        <v>0</v>
      </c>
      <c r="J131" s="442"/>
      <c r="K131" s="458"/>
      <c r="L131" s="459"/>
      <c r="M131" s="465"/>
      <c r="N131" s="474"/>
      <c r="O131" s="467"/>
      <c r="P131" s="468"/>
      <c r="Q131" s="465"/>
      <c r="R131" s="472"/>
      <c r="S131" s="103">
        <f t="shared" ref="S131" si="28">Q131+M131+K131</f>
        <v>0</v>
      </c>
      <c r="T131" s="103" t="e">
        <f t="shared" ref="T131" si="29">S131/H131</f>
        <v>#DIV/0!</v>
      </c>
    </row>
    <row r="132" spans="1:20" s="330" customFormat="1" ht="15.75" thickBot="1" x14ac:dyDescent="0.3">
      <c r="A132" s="331"/>
      <c r="B132" s="129"/>
      <c r="C132" s="283"/>
      <c r="D132" s="283"/>
      <c r="E132" s="150"/>
      <c r="F132" s="300"/>
      <c r="G132" s="182"/>
      <c r="H132" s="64"/>
      <c r="I132" s="333">
        <f t="shared" ref="I132:I144" si="30">H132-F132</f>
        <v>0</v>
      </c>
      <c r="J132" s="442"/>
      <c r="K132" s="196"/>
      <c r="L132" s="358"/>
      <c r="M132" s="111"/>
      <c r="N132" s="359"/>
      <c r="O132" s="169"/>
      <c r="P132" s="211"/>
      <c r="Q132" s="96"/>
      <c r="R132" s="379"/>
      <c r="S132" s="103">
        <f t="shared" ref="S132:S137" si="31">Q132+M132+K132</f>
        <v>0</v>
      </c>
      <c r="T132" s="103" t="e">
        <f t="shared" ref="T132:T140" si="32">S132/H132+0.1</f>
        <v>#DIV/0!</v>
      </c>
    </row>
    <row r="133" spans="1:20" s="330" customFormat="1" hidden="1" x14ac:dyDescent="0.25">
      <c r="A133" s="331">
        <v>72</v>
      </c>
      <c r="B133" s="129"/>
      <c r="C133" s="309"/>
      <c r="D133" s="283"/>
      <c r="E133" s="150"/>
      <c r="F133" s="300"/>
      <c r="G133" s="182"/>
      <c r="H133" s="64"/>
      <c r="I133" s="333">
        <f>H133-F133</f>
        <v>0</v>
      </c>
      <c r="J133" s="442"/>
      <c r="K133" s="196"/>
      <c r="L133" s="358"/>
      <c r="M133" s="111"/>
      <c r="N133" s="359"/>
      <c r="O133" s="169"/>
      <c r="P133" s="211"/>
      <c r="Q133" s="370"/>
      <c r="R133" s="368"/>
      <c r="S133" s="103">
        <f t="shared" si="31"/>
        <v>0</v>
      </c>
      <c r="T133" s="103" t="e">
        <f t="shared" si="32"/>
        <v>#DIV/0!</v>
      </c>
    </row>
    <row r="134" spans="1:20" s="330" customFormat="1" hidden="1" x14ac:dyDescent="0.25">
      <c r="A134" s="331">
        <v>73</v>
      </c>
      <c r="B134" s="129"/>
      <c r="C134" s="309"/>
      <c r="D134" s="283"/>
      <c r="E134" s="150"/>
      <c r="F134" s="300"/>
      <c r="G134" s="182"/>
      <c r="H134" s="64"/>
      <c r="I134" s="333">
        <f t="shared" si="30"/>
        <v>0</v>
      </c>
      <c r="J134" s="442"/>
      <c r="K134" s="196"/>
      <c r="L134" s="358"/>
      <c r="M134" s="111"/>
      <c r="N134" s="359"/>
      <c r="O134" s="169"/>
      <c r="P134" s="211"/>
      <c r="Q134" s="370"/>
      <c r="R134" s="368"/>
      <c r="S134" s="103">
        <f t="shared" si="31"/>
        <v>0</v>
      </c>
      <c r="T134" s="103" t="e">
        <f t="shared" si="32"/>
        <v>#DIV/0!</v>
      </c>
    </row>
    <row r="135" spans="1:20" s="330" customFormat="1" hidden="1" x14ac:dyDescent="0.25">
      <c r="A135" s="331">
        <v>74</v>
      </c>
      <c r="B135" s="129"/>
      <c r="C135" s="309"/>
      <c r="D135" s="283"/>
      <c r="E135" s="150"/>
      <c r="F135" s="300"/>
      <c r="G135" s="182"/>
      <c r="H135" s="64"/>
      <c r="I135" s="333">
        <f t="shared" si="30"/>
        <v>0</v>
      </c>
      <c r="J135" s="442"/>
      <c r="K135" s="196"/>
      <c r="L135" s="358"/>
      <c r="M135" s="111"/>
      <c r="N135" s="359"/>
      <c r="O135" s="169"/>
      <c r="P135" s="211"/>
      <c r="Q135" s="370"/>
      <c r="R135" s="369"/>
      <c r="S135" s="103">
        <f t="shared" si="31"/>
        <v>0</v>
      </c>
      <c r="T135" s="103" t="e">
        <f t="shared" si="32"/>
        <v>#DIV/0!</v>
      </c>
    </row>
    <row r="136" spans="1:20" s="330" customFormat="1" hidden="1" x14ac:dyDescent="0.25">
      <c r="A136" s="331">
        <v>75</v>
      </c>
      <c r="B136" s="129"/>
      <c r="C136" s="309"/>
      <c r="D136" s="283"/>
      <c r="E136" s="150"/>
      <c r="F136" s="300"/>
      <c r="G136" s="182"/>
      <c r="H136" s="64"/>
      <c r="I136" s="333">
        <f>H136-F136</f>
        <v>0</v>
      </c>
      <c r="J136" s="442"/>
      <c r="K136" s="196"/>
      <c r="L136" s="358"/>
      <c r="M136" s="111"/>
      <c r="N136" s="359"/>
      <c r="O136" s="169"/>
      <c r="P136" s="211"/>
      <c r="Q136" s="370"/>
      <c r="R136" s="369"/>
      <c r="S136" s="103">
        <f t="shared" si="31"/>
        <v>0</v>
      </c>
      <c r="T136" s="103" t="e">
        <f t="shared" si="32"/>
        <v>#DIV/0!</v>
      </c>
    </row>
    <row r="137" spans="1:20" s="330" customFormat="1" hidden="1" x14ac:dyDescent="0.25">
      <c r="A137" s="331">
        <v>76</v>
      </c>
      <c r="B137" s="129"/>
      <c r="C137" s="283"/>
      <c r="D137" s="309"/>
      <c r="E137" s="150"/>
      <c r="F137" s="300"/>
      <c r="G137" s="182"/>
      <c r="H137" s="64"/>
      <c r="I137" s="333">
        <f t="shared" si="30"/>
        <v>0</v>
      </c>
      <c r="J137" s="442"/>
      <c r="K137" s="196"/>
      <c r="L137" s="358"/>
      <c r="M137" s="111"/>
      <c r="N137" s="359"/>
      <c r="O137" s="169"/>
      <c r="P137" s="211"/>
      <c r="Q137" s="111"/>
      <c r="R137" s="361"/>
      <c r="S137" s="103">
        <f t="shared" si="31"/>
        <v>0</v>
      </c>
      <c r="T137" s="103" t="e">
        <f t="shared" si="32"/>
        <v>#DIV/0!</v>
      </c>
    </row>
    <row r="138" spans="1:20" s="330" customFormat="1" hidden="1" x14ac:dyDescent="0.25">
      <c r="A138" s="331">
        <v>77</v>
      </c>
      <c r="B138" s="129"/>
      <c r="C138" s="283"/>
      <c r="D138" s="184"/>
      <c r="E138" s="150"/>
      <c r="F138" s="300"/>
      <c r="G138" s="182"/>
      <c r="H138" s="64"/>
      <c r="I138" s="333">
        <f t="shared" si="30"/>
        <v>0</v>
      </c>
      <c r="J138" s="442"/>
      <c r="K138" s="196"/>
      <c r="L138" s="334"/>
      <c r="M138" s="111"/>
      <c r="N138" s="359"/>
      <c r="O138" s="169"/>
      <c r="P138" s="211"/>
      <c r="Q138" s="111"/>
      <c r="R138" s="361"/>
      <c r="S138" s="103">
        <f t="shared" ref="S138:S143" si="33">Q138+M138+K138</f>
        <v>0</v>
      </c>
      <c r="T138" s="103" t="e">
        <f t="shared" si="32"/>
        <v>#DIV/0!</v>
      </c>
    </row>
    <row r="139" spans="1:20" s="330" customFormat="1" hidden="1" x14ac:dyDescent="0.25">
      <c r="A139" s="331">
        <v>77</v>
      </c>
      <c r="B139" s="129"/>
      <c r="C139" s="335"/>
      <c r="D139" s="184"/>
      <c r="E139" s="150"/>
      <c r="F139" s="300"/>
      <c r="G139" s="182"/>
      <c r="H139" s="64"/>
      <c r="I139" s="333">
        <f t="shared" si="30"/>
        <v>0</v>
      </c>
      <c r="J139" s="442"/>
      <c r="K139" s="196"/>
      <c r="L139" s="334"/>
      <c r="M139" s="111"/>
      <c r="N139" s="359"/>
      <c r="O139" s="169"/>
      <c r="P139" s="211"/>
      <c r="Q139" s="111"/>
      <c r="R139" s="361"/>
      <c r="S139" s="103">
        <f t="shared" si="33"/>
        <v>0</v>
      </c>
      <c r="T139" s="103" t="e">
        <f t="shared" si="32"/>
        <v>#DIV/0!</v>
      </c>
    </row>
    <row r="140" spans="1:20" s="330" customFormat="1" hidden="1" x14ac:dyDescent="0.25">
      <c r="A140" s="331">
        <v>78</v>
      </c>
      <c r="B140" s="129"/>
      <c r="C140" s="335"/>
      <c r="D140" s="184"/>
      <c r="E140" s="150"/>
      <c r="F140" s="300"/>
      <c r="G140" s="182"/>
      <c r="H140" s="64"/>
      <c r="I140" s="333">
        <f t="shared" si="30"/>
        <v>0</v>
      </c>
      <c r="J140" s="442"/>
      <c r="K140" s="196"/>
      <c r="L140" s="334"/>
      <c r="M140" s="111"/>
      <c r="N140" s="359"/>
      <c r="O140" s="169"/>
      <c r="P140" s="211"/>
      <c r="Q140" s="111"/>
      <c r="R140" s="361"/>
      <c r="S140" s="103">
        <f t="shared" si="33"/>
        <v>0</v>
      </c>
      <c r="T140" s="103" t="e">
        <f t="shared" si="32"/>
        <v>#DIV/0!</v>
      </c>
    </row>
    <row r="141" spans="1:20" s="330" customFormat="1" hidden="1" x14ac:dyDescent="0.25">
      <c r="A141" s="331"/>
      <c r="B141" s="129"/>
      <c r="C141" s="335"/>
      <c r="D141" s="184"/>
      <c r="E141" s="150"/>
      <c r="F141" s="300"/>
      <c r="G141" s="182"/>
      <c r="H141" s="64"/>
      <c r="I141" s="333">
        <f t="shared" si="30"/>
        <v>0</v>
      </c>
      <c r="J141" s="442"/>
      <c r="K141" s="196"/>
      <c r="L141" s="334"/>
      <c r="M141" s="111"/>
      <c r="N141" s="336"/>
      <c r="O141" s="169"/>
      <c r="P141" s="211"/>
      <c r="Q141" s="111"/>
      <c r="R141" s="361"/>
      <c r="S141" s="103">
        <f t="shared" si="33"/>
        <v>0</v>
      </c>
      <c r="T141" s="103" t="e">
        <f>S141/H141</f>
        <v>#DIV/0!</v>
      </c>
    </row>
    <row r="142" spans="1:20" s="330" customFormat="1" hidden="1" x14ac:dyDescent="0.25">
      <c r="A142" s="331"/>
      <c r="B142" s="129"/>
      <c r="C142" s="335"/>
      <c r="D142" s="314"/>
      <c r="E142" s="150"/>
      <c r="F142" s="300"/>
      <c r="G142" s="182"/>
      <c r="H142" s="64"/>
      <c r="I142" s="333">
        <f t="shared" si="30"/>
        <v>0</v>
      </c>
      <c r="J142" s="442"/>
      <c r="K142" s="196"/>
      <c r="L142" s="334"/>
      <c r="M142" s="111"/>
      <c r="N142" s="336"/>
      <c r="O142" s="169"/>
      <c r="P142" s="211"/>
      <c r="Q142" s="96"/>
      <c r="R142" s="362"/>
      <c r="S142" s="103">
        <f t="shared" si="33"/>
        <v>0</v>
      </c>
      <c r="T142" s="103" t="e">
        <f>S142/H142</f>
        <v>#DIV/0!</v>
      </c>
    </row>
    <row r="143" spans="1:20" s="330" customFormat="1" hidden="1" x14ac:dyDescent="0.25">
      <c r="A143" s="331"/>
      <c r="B143" s="129"/>
      <c r="C143" s="335"/>
      <c r="D143" s="314"/>
      <c r="E143" s="150"/>
      <c r="F143" s="300"/>
      <c r="G143" s="182"/>
      <c r="H143" s="64"/>
      <c r="I143" s="333">
        <f t="shared" si="30"/>
        <v>0</v>
      </c>
      <c r="J143" s="442"/>
      <c r="K143" s="196"/>
      <c r="L143" s="334"/>
      <c r="M143" s="111"/>
      <c r="N143" s="336"/>
      <c r="O143" s="169"/>
      <c r="P143" s="211"/>
      <c r="Q143" s="96"/>
      <c r="R143" s="347"/>
      <c r="S143" s="103">
        <f t="shared" si="33"/>
        <v>0</v>
      </c>
      <c r="T143" s="103" t="e">
        <f>S143/H143</f>
        <v>#DIV/0!</v>
      </c>
    </row>
    <row r="144" spans="1:20" s="330" customFormat="1" ht="15.75" hidden="1" thickBot="1" x14ac:dyDescent="0.3">
      <c r="A144" s="331"/>
      <c r="B144" s="339"/>
      <c r="C144" s="124"/>
      <c r="D144" s="314"/>
      <c r="E144" s="201"/>
      <c r="F144" s="300"/>
      <c r="G144" s="182"/>
      <c r="H144" s="64"/>
      <c r="I144" s="333">
        <f t="shared" si="30"/>
        <v>0</v>
      </c>
      <c r="J144" s="443"/>
      <c r="K144" s="348"/>
      <c r="L144" s="349"/>
      <c r="M144" s="111"/>
      <c r="N144" s="247"/>
      <c r="O144" s="169"/>
      <c r="P144" s="172"/>
      <c r="Q144" s="128"/>
      <c r="R144" s="303"/>
      <c r="S144" s="103">
        <f>Q144+M144+K144</f>
        <v>0</v>
      </c>
      <c r="T144" s="103" t="e">
        <f>S144/H144+0.1</f>
        <v>#DIV/0!</v>
      </c>
    </row>
    <row r="145" spans="1:20" s="330" customFormat="1" ht="29.25" customHeight="1" thickTop="1" thickBot="1" x14ac:dyDescent="0.3">
      <c r="A145" s="331"/>
      <c r="B145" s="309"/>
      <c r="C145" s="124"/>
      <c r="D145" s="350"/>
      <c r="E145" s="150"/>
      <c r="F145" s="115" t="s">
        <v>31</v>
      </c>
      <c r="G145" s="116">
        <f>SUM(G5:G144)</f>
        <v>3718</v>
      </c>
      <c r="H145" s="410">
        <f>SUM(H3:H144)</f>
        <v>1123050.8400000001</v>
      </c>
      <c r="I145" s="351">
        <f>PIERNA!I37</f>
        <v>22.760000000002037</v>
      </c>
      <c r="J145" s="62"/>
      <c r="K145" s="353">
        <f>SUM(K5:K144)</f>
        <v>5885143</v>
      </c>
      <c r="L145" s="354"/>
      <c r="M145" s="353">
        <f>SUM(M5:M144)</f>
        <v>1682696</v>
      </c>
      <c r="N145" s="355"/>
      <c r="O145" s="352"/>
      <c r="P145" s="212"/>
      <c r="Q145" s="356">
        <f>SUM(Q5:Q144)</f>
        <v>31662510.572793998</v>
      </c>
      <c r="R145" s="304"/>
      <c r="S145" s="376">
        <f>Q145+M145+K145</f>
        <v>39230349.572793998</v>
      </c>
      <c r="T145" s="103"/>
    </row>
    <row r="146" spans="1:20" s="330" customFormat="1" ht="15.75" thickTop="1" x14ac:dyDescent="0.25">
      <c r="D146" s="331"/>
      <c r="E146" s="126"/>
      <c r="J146" s="243"/>
      <c r="O146" s="331"/>
      <c r="P146" s="213"/>
      <c r="Q146" s="126"/>
      <c r="R146" s="305" t="s">
        <v>66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S33"/>
  <sheetViews>
    <sheetView topLeftCell="K1" workbookViewId="0">
      <pane ySplit="7" topLeftCell="A23" activePane="bottomLeft" state="frozen"/>
      <selection pane="bottomLeft" activeCell="M15" sqref="M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0" width="11.42578125" style="59"/>
    <col min="11" max="11" width="32.42578125" style="59" bestFit="1" customWidth="1"/>
    <col min="12" max="12" width="17.7109375" style="169" bestFit="1" customWidth="1"/>
    <col min="13" max="13" width="13.28515625" style="59" bestFit="1" customWidth="1"/>
    <col min="14" max="15" width="11.42578125" style="59"/>
    <col min="16" max="16" width="12" style="59" customWidth="1"/>
    <col min="17" max="16384" width="11.42578125" style="59"/>
  </cols>
  <sheetData>
    <row r="1" spans="1:19" ht="36.75" customHeight="1" x14ac:dyDescent="0.55000000000000004">
      <c r="A1" s="853" t="s">
        <v>213</v>
      </c>
      <c r="B1" s="853"/>
      <c r="C1" s="853"/>
      <c r="D1" s="853"/>
      <c r="E1" s="853"/>
      <c r="F1" s="853"/>
      <c r="G1" s="853"/>
      <c r="H1" s="14">
        <v>1</v>
      </c>
      <c r="K1" s="847" t="s">
        <v>250</v>
      </c>
      <c r="L1" s="847"/>
      <c r="M1" s="847"/>
      <c r="N1" s="847"/>
      <c r="O1" s="847"/>
      <c r="P1" s="847"/>
      <c r="Q1" s="847"/>
      <c r="R1" s="14">
        <v>2</v>
      </c>
    </row>
    <row r="2" spans="1:19" ht="15.75" thickBot="1" x14ac:dyDescent="0.3">
      <c r="A2"/>
      <c r="B2" s="277"/>
      <c r="C2"/>
      <c r="D2"/>
      <c r="E2"/>
      <c r="F2"/>
      <c r="G2"/>
      <c r="H2"/>
      <c r="K2"/>
      <c r="L2" s="277"/>
      <c r="M2"/>
      <c r="N2"/>
      <c r="O2"/>
      <c r="P2"/>
      <c r="Q2"/>
      <c r="R2"/>
    </row>
    <row r="3" spans="1:1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K3" s="12" t="s">
        <v>0</v>
      </c>
      <c r="L3" s="127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</row>
    <row r="4" spans="1:19" ht="16.5" thickTop="1" x14ac:dyDescent="0.25">
      <c r="A4" s="16"/>
      <c r="B4" s="119"/>
      <c r="C4" s="104"/>
      <c r="D4" s="262"/>
      <c r="E4" s="456"/>
      <c r="F4" s="415"/>
      <c r="G4" s="52"/>
      <c r="H4" s="16"/>
      <c r="K4" s="16"/>
      <c r="L4" s="119"/>
      <c r="M4" s="104"/>
      <c r="N4" s="262"/>
      <c r="O4" s="456"/>
      <c r="P4" s="415"/>
      <c r="Q4" s="52"/>
      <c r="R4" s="16"/>
    </row>
    <row r="5" spans="1:19" ht="18.75" x14ac:dyDescent="0.3">
      <c r="A5" s="128" t="s">
        <v>91</v>
      </c>
      <c r="B5" s="548" t="s">
        <v>81</v>
      </c>
      <c r="C5" s="210">
        <v>175</v>
      </c>
      <c r="D5" s="262">
        <v>43348</v>
      </c>
      <c r="E5" s="456">
        <v>45.4</v>
      </c>
      <c r="F5" s="415">
        <v>10</v>
      </c>
      <c r="G5" s="797">
        <f>F29</f>
        <v>45.4</v>
      </c>
      <c r="H5" s="10">
        <f>E5-G5+E4+E6</f>
        <v>0</v>
      </c>
      <c r="K5" s="128" t="s">
        <v>91</v>
      </c>
      <c r="L5" s="548" t="s">
        <v>81</v>
      </c>
      <c r="M5" s="210">
        <v>175</v>
      </c>
      <c r="N5" s="262">
        <v>43458</v>
      </c>
      <c r="O5" s="456">
        <v>45.4</v>
      </c>
      <c r="P5" s="415">
        <v>10</v>
      </c>
      <c r="Q5" s="163">
        <f>P29</f>
        <v>27.240000000000002</v>
      </c>
      <c r="R5" s="10">
        <f>O5-Q5+O4+O6</f>
        <v>18.159999999999997</v>
      </c>
    </row>
    <row r="6" spans="1:19" ht="16.5" thickBot="1" x14ac:dyDescent="0.3">
      <c r="A6" s="16"/>
      <c r="B6" s="445"/>
      <c r="C6" s="245"/>
      <c r="D6" s="17"/>
      <c r="E6" s="457"/>
      <c r="F6" s="415"/>
      <c r="G6" s="792"/>
      <c r="H6"/>
      <c r="K6" s="16"/>
      <c r="L6" s="445"/>
      <c r="M6" s="245"/>
      <c r="N6" s="17"/>
      <c r="O6" s="457"/>
      <c r="P6" s="415"/>
      <c r="Q6" s="16"/>
      <c r="R6"/>
    </row>
    <row r="7" spans="1:19" ht="16.5" thickTop="1" thickBot="1" x14ac:dyDescent="0.3">
      <c r="A7"/>
      <c r="B7" s="460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K7"/>
      <c r="L7" s="460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</row>
    <row r="8" spans="1:19" ht="15.75" thickTop="1" x14ac:dyDescent="0.25">
      <c r="A8" s="89" t="s">
        <v>32</v>
      </c>
      <c r="B8" s="461">
        <v>4.54</v>
      </c>
      <c r="C8" s="20">
        <v>1</v>
      </c>
      <c r="D8" s="109">
        <f t="shared" ref="D8:D9" si="0">C8*B8</f>
        <v>4.54</v>
      </c>
      <c r="E8" s="150">
        <v>43392</v>
      </c>
      <c r="F8" s="192">
        <f t="shared" ref="F8:F28" si="1">D8</f>
        <v>4.54</v>
      </c>
      <c r="G8" s="110" t="s">
        <v>142</v>
      </c>
      <c r="H8" s="111">
        <v>210</v>
      </c>
      <c r="I8" s="173">
        <f>E5+E6-F8</f>
        <v>40.86</v>
      </c>
      <c r="K8" s="89" t="s">
        <v>32</v>
      </c>
      <c r="L8" s="461">
        <v>4.54</v>
      </c>
      <c r="M8" s="20">
        <v>2</v>
      </c>
      <c r="N8" s="109">
        <f t="shared" ref="N8:N9" si="2">M8*L8</f>
        <v>9.08</v>
      </c>
      <c r="O8" s="150">
        <v>43461</v>
      </c>
      <c r="P8" s="192">
        <f t="shared" ref="P8:P28" si="3">N8</f>
        <v>9.08</v>
      </c>
      <c r="Q8" s="110" t="s">
        <v>641</v>
      </c>
      <c r="R8" s="111">
        <v>210</v>
      </c>
      <c r="S8" s="173">
        <f>O5+O6-P8</f>
        <v>36.32</v>
      </c>
    </row>
    <row r="9" spans="1:19" x14ac:dyDescent="0.25">
      <c r="A9" s="16"/>
      <c r="B9" s="461">
        <v>4.54</v>
      </c>
      <c r="C9" s="20">
        <v>1</v>
      </c>
      <c r="D9" s="109">
        <f t="shared" si="0"/>
        <v>4.54</v>
      </c>
      <c r="E9" s="150">
        <v>43404</v>
      </c>
      <c r="F9" s="192">
        <f t="shared" si="1"/>
        <v>4.54</v>
      </c>
      <c r="G9" s="110" t="s">
        <v>152</v>
      </c>
      <c r="H9" s="111">
        <v>210</v>
      </c>
      <c r="I9" s="173">
        <f>I8-F9</f>
        <v>36.32</v>
      </c>
      <c r="K9" s="16"/>
      <c r="L9" s="461">
        <v>4.54</v>
      </c>
      <c r="M9" s="20">
        <v>2</v>
      </c>
      <c r="N9" s="109">
        <f t="shared" si="2"/>
        <v>9.08</v>
      </c>
      <c r="O9" s="150">
        <v>43461</v>
      </c>
      <c r="P9" s="192">
        <f t="shared" si="3"/>
        <v>9.08</v>
      </c>
      <c r="Q9" s="110" t="s">
        <v>651</v>
      </c>
      <c r="R9" s="111">
        <v>210</v>
      </c>
      <c r="S9" s="173">
        <f>S8-P9</f>
        <v>27.240000000000002</v>
      </c>
    </row>
    <row r="10" spans="1:19" x14ac:dyDescent="0.25">
      <c r="B10" s="461">
        <v>4.54</v>
      </c>
      <c r="C10" s="20">
        <v>1</v>
      </c>
      <c r="D10" s="635">
        <f>C10*B10</f>
        <v>4.54</v>
      </c>
      <c r="E10" s="636">
        <v>43407</v>
      </c>
      <c r="F10" s="637">
        <f t="shared" si="1"/>
        <v>4.54</v>
      </c>
      <c r="G10" s="365" t="s">
        <v>162</v>
      </c>
      <c r="H10" s="214">
        <v>210</v>
      </c>
      <c r="I10" s="173">
        <f t="shared" ref="I10:I17" si="4">I9-F10</f>
        <v>31.78</v>
      </c>
      <c r="L10" s="461">
        <v>4.54</v>
      </c>
      <c r="M10" s="20">
        <v>2</v>
      </c>
      <c r="N10" s="109">
        <f>M10*L10</f>
        <v>9.08</v>
      </c>
      <c r="O10" s="150">
        <v>43465</v>
      </c>
      <c r="P10" s="192">
        <f t="shared" si="3"/>
        <v>9.08</v>
      </c>
      <c r="Q10" s="110" t="s">
        <v>678</v>
      </c>
      <c r="R10" s="111">
        <v>210</v>
      </c>
      <c r="S10" s="173">
        <f t="shared" ref="S10:S17" si="5">S9-P10</f>
        <v>18.160000000000004</v>
      </c>
    </row>
    <row r="11" spans="1:19" x14ac:dyDescent="0.25">
      <c r="A11" s="141" t="s">
        <v>33</v>
      </c>
      <c r="B11" s="461">
        <v>4.54</v>
      </c>
      <c r="C11" s="20">
        <v>1</v>
      </c>
      <c r="D11" s="635">
        <f>C11*B11</f>
        <v>4.54</v>
      </c>
      <c r="E11" s="636">
        <v>43409</v>
      </c>
      <c r="F11" s="637">
        <f t="shared" si="1"/>
        <v>4.54</v>
      </c>
      <c r="G11" s="365" t="s">
        <v>164</v>
      </c>
      <c r="H11" s="214">
        <v>210</v>
      </c>
      <c r="I11" s="173">
        <f t="shared" si="4"/>
        <v>27.240000000000002</v>
      </c>
      <c r="K11" s="141" t="s">
        <v>33</v>
      </c>
      <c r="L11" s="461">
        <v>4.54</v>
      </c>
      <c r="M11" s="20"/>
      <c r="N11" s="109">
        <f>M11*L11</f>
        <v>0</v>
      </c>
      <c r="O11" s="150"/>
      <c r="P11" s="192">
        <f t="shared" si="3"/>
        <v>0</v>
      </c>
      <c r="Q11" s="110"/>
      <c r="R11" s="111"/>
      <c r="S11" s="173">
        <f t="shared" si="5"/>
        <v>18.160000000000004</v>
      </c>
    </row>
    <row r="12" spans="1:19" x14ac:dyDescent="0.25">
      <c r="B12" s="461">
        <v>4.54</v>
      </c>
      <c r="C12" s="20">
        <v>1</v>
      </c>
      <c r="D12" s="635">
        <f>C12*B12</f>
        <v>4.54</v>
      </c>
      <c r="E12" s="636">
        <v>43413</v>
      </c>
      <c r="F12" s="637">
        <f t="shared" si="1"/>
        <v>4.54</v>
      </c>
      <c r="G12" s="365" t="s">
        <v>171</v>
      </c>
      <c r="H12" s="214">
        <v>210</v>
      </c>
      <c r="I12" s="173">
        <f t="shared" si="4"/>
        <v>22.700000000000003</v>
      </c>
      <c r="L12" s="461">
        <v>4.54</v>
      </c>
      <c r="M12" s="20"/>
      <c r="N12" s="109">
        <f>M12*L12</f>
        <v>0</v>
      </c>
      <c r="O12" s="150"/>
      <c r="P12" s="192">
        <f t="shared" si="3"/>
        <v>0</v>
      </c>
      <c r="Q12" s="110"/>
      <c r="R12" s="111"/>
      <c r="S12" s="173">
        <f t="shared" si="5"/>
        <v>18.160000000000004</v>
      </c>
    </row>
    <row r="13" spans="1:19" x14ac:dyDescent="0.25">
      <c r="A13" s="170"/>
      <c r="B13" s="461">
        <v>4.54</v>
      </c>
      <c r="C13" s="20">
        <v>1</v>
      </c>
      <c r="D13" s="635">
        <f t="shared" ref="D13:D27" si="6">C13*B13</f>
        <v>4.54</v>
      </c>
      <c r="E13" s="636">
        <v>43426</v>
      </c>
      <c r="F13" s="637">
        <f t="shared" si="1"/>
        <v>4.54</v>
      </c>
      <c r="G13" s="365" t="s">
        <v>189</v>
      </c>
      <c r="H13" s="214">
        <v>210</v>
      </c>
      <c r="I13" s="173">
        <f t="shared" si="4"/>
        <v>18.160000000000004</v>
      </c>
      <c r="K13" s="170"/>
      <c r="L13" s="461">
        <v>4.54</v>
      </c>
      <c r="M13" s="20"/>
      <c r="N13" s="109">
        <f t="shared" ref="N13:N27" si="7">M13*L13</f>
        <v>0</v>
      </c>
      <c r="O13" s="150"/>
      <c r="P13" s="192">
        <f t="shared" si="3"/>
        <v>0</v>
      </c>
      <c r="Q13" s="110"/>
      <c r="R13" s="111"/>
      <c r="S13" s="173">
        <f t="shared" si="5"/>
        <v>18.160000000000004</v>
      </c>
    </row>
    <row r="14" spans="1:19" x14ac:dyDescent="0.25">
      <c r="A14" s="170"/>
      <c r="B14" s="461">
        <v>4.54</v>
      </c>
      <c r="C14" s="20">
        <v>1</v>
      </c>
      <c r="D14" s="635">
        <f t="shared" si="6"/>
        <v>4.54</v>
      </c>
      <c r="E14" s="636">
        <v>43431</v>
      </c>
      <c r="F14" s="637">
        <f t="shared" si="1"/>
        <v>4.54</v>
      </c>
      <c r="G14" s="365" t="s">
        <v>202</v>
      </c>
      <c r="H14" s="214">
        <v>210</v>
      </c>
      <c r="I14" s="173">
        <f t="shared" si="4"/>
        <v>13.620000000000005</v>
      </c>
      <c r="K14" s="170"/>
      <c r="L14" s="461">
        <v>4.54</v>
      </c>
      <c r="M14" s="20"/>
      <c r="N14" s="109">
        <f t="shared" si="7"/>
        <v>0</v>
      </c>
      <c r="O14" s="150"/>
      <c r="P14" s="192">
        <f t="shared" si="3"/>
        <v>0</v>
      </c>
      <c r="Q14" s="110"/>
      <c r="R14" s="111"/>
      <c r="S14" s="173">
        <f t="shared" si="5"/>
        <v>18.160000000000004</v>
      </c>
    </row>
    <row r="15" spans="1:19" x14ac:dyDescent="0.25">
      <c r="A15" s="170"/>
      <c r="B15" s="461">
        <v>4.54</v>
      </c>
      <c r="C15" s="20">
        <v>1</v>
      </c>
      <c r="D15" s="95">
        <f t="shared" si="6"/>
        <v>4.54</v>
      </c>
      <c r="E15" s="790">
        <v>43439</v>
      </c>
      <c r="F15" s="147">
        <f t="shared" si="1"/>
        <v>4.54</v>
      </c>
      <c r="G15" s="106" t="s">
        <v>486</v>
      </c>
      <c r="H15" s="96">
        <v>210</v>
      </c>
      <c r="I15" s="173">
        <f t="shared" si="4"/>
        <v>9.0800000000000054</v>
      </c>
      <c r="K15" s="170"/>
      <c r="L15" s="461">
        <v>4.54</v>
      </c>
      <c r="M15" s="20"/>
      <c r="N15" s="109">
        <f t="shared" si="7"/>
        <v>0</v>
      </c>
      <c r="O15" s="150"/>
      <c r="P15" s="192">
        <f t="shared" si="3"/>
        <v>0</v>
      </c>
      <c r="Q15" s="110"/>
      <c r="R15" s="111"/>
      <c r="S15" s="173">
        <f t="shared" si="5"/>
        <v>18.160000000000004</v>
      </c>
    </row>
    <row r="16" spans="1:19" x14ac:dyDescent="0.25">
      <c r="A16" s="170"/>
      <c r="B16" s="461">
        <v>4.54</v>
      </c>
      <c r="C16" s="20">
        <v>1</v>
      </c>
      <c r="D16" s="95">
        <f t="shared" si="6"/>
        <v>4.54</v>
      </c>
      <c r="E16" s="790">
        <v>43449</v>
      </c>
      <c r="F16" s="147">
        <f t="shared" si="1"/>
        <v>4.54</v>
      </c>
      <c r="G16" s="106" t="s">
        <v>557</v>
      </c>
      <c r="H16" s="96">
        <v>210</v>
      </c>
      <c r="I16" s="173">
        <f t="shared" si="4"/>
        <v>4.5400000000000054</v>
      </c>
      <c r="K16" s="170"/>
      <c r="L16" s="461">
        <v>4.54</v>
      </c>
      <c r="M16" s="20"/>
      <c r="N16" s="109">
        <f t="shared" si="7"/>
        <v>0</v>
      </c>
      <c r="O16" s="150"/>
      <c r="P16" s="192">
        <f t="shared" si="3"/>
        <v>0</v>
      </c>
      <c r="Q16" s="110"/>
      <c r="R16" s="111"/>
      <c r="S16" s="173">
        <f t="shared" si="5"/>
        <v>18.160000000000004</v>
      </c>
    </row>
    <row r="17" spans="1:19" x14ac:dyDescent="0.25">
      <c r="A17" s="170"/>
      <c r="B17" s="461">
        <v>4.54</v>
      </c>
      <c r="C17" s="20">
        <v>1</v>
      </c>
      <c r="D17" s="95">
        <f t="shared" si="6"/>
        <v>4.54</v>
      </c>
      <c r="E17" s="790">
        <v>43451</v>
      </c>
      <c r="F17" s="147">
        <f t="shared" si="1"/>
        <v>4.54</v>
      </c>
      <c r="G17" s="106" t="s">
        <v>564</v>
      </c>
      <c r="H17" s="96">
        <v>210</v>
      </c>
      <c r="I17" s="173">
        <f t="shared" si="4"/>
        <v>0</v>
      </c>
      <c r="K17" s="170"/>
      <c r="L17" s="461">
        <v>4.54</v>
      </c>
      <c r="M17" s="20"/>
      <c r="N17" s="109">
        <f t="shared" si="7"/>
        <v>0</v>
      </c>
      <c r="O17" s="150"/>
      <c r="P17" s="192">
        <f t="shared" si="3"/>
        <v>0</v>
      </c>
      <c r="Q17" s="110"/>
      <c r="R17" s="111"/>
      <c r="S17" s="173">
        <f t="shared" si="5"/>
        <v>18.160000000000004</v>
      </c>
    </row>
    <row r="18" spans="1:19" x14ac:dyDescent="0.25">
      <c r="A18" s="170"/>
      <c r="B18" s="461">
        <v>4.54</v>
      </c>
      <c r="C18" s="20"/>
      <c r="D18" s="95">
        <f t="shared" si="6"/>
        <v>0</v>
      </c>
      <c r="E18" s="790"/>
      <c r="F18" s="147">
        <f t="shared" si="1"/>
        <v>0</v>
      </c>
      <c r="G18" s="798"/>
      <c r="H18" s="799"/>
      <c r="I18" s="173"/>
      <c r="K18" s="170"/>
      <c r="L18" s="461">
        <v>4.54</v>
      </c>
      <c r="M18" s="20"/>
      <c r="N18" s="109">
        <f t="shared" si="7"/>
        <v>0</v>
      </c>
      <c r="O18" s="150"/>
      <c r="P18" s="192">
        <f t="shared" si="3"/>
        <v>0</v>
      </c>
      <c r="Q18" s="110"/>
      <c r="R18" s="111"/>
      <c r="S18" s="173"/>
    </row>
    <row r="19" spans="1:19" x14ac:dyDescent="0.25">
      <c r="A19" s="170"/>
      <c r="B19" s="461">
        <v>4.54</v>
      </c>
      <c r="C19" s="20"/>
      <c r="D19" s="95">
        <f t="shared" si="6"/>
        <v>0</v>
      </c>
      <c r="E19" s="790"/>
      <c r="F19" s="147">
        <f t="shared" si="1"/>
        <v>0</v>
      </c>
      <c r="G19" s="798"/>
      <c r="H19" s="799"/>
      <c r="I19" s="173"/>
      <c r="K19" s="170"/>
      <c r="L19" s="461">
        <v>4.54</v>
      </c>
      <c r="M19" s="20"/>
      <c r="N19" s="109">
        <f t="shared" si="7"/>
        <v>0</v>
      </c>
      <c r="O19" s="150"/>
      <c r="P19" s="192">
        <f t="shared" si="3"/>
        <v>0</v>
      </c>
      <c r="Q19" s="110"/>
      <c r="R19" s="111"/>
      <c r="S19" s="173"/>
    </row>
    <row r="20" spans="1:19" x14ac:dyDescent="0.25">
      <c r="A20" s="170"/>
      <c r="B20" s="461">
        <v>4.54</v>
      </c>
      <c r="C20" s="20"/>
      <c r="D20" s="95">
        <f t="shared" si="6"/>
        <v>0</v>
      </c>
      <c r="E20" s="790"/>
      <c r="F20" s="147">
        <f t="shared" si="1"/>
        <v>0</v>
      </c>
      <c r="G20" s="798"/>
      <c r="H20" s="799"/>
      <c r="I20" s="339"/>
      <c r="K20" s="170"/>
      <c r="L20" s="461">
        <v>4.54</v>
      </c>
      <c r="M20" s="20"/>
      <c r="N20" s="109">
        <f t="shared" si="7"/>
        <v>0</v>
      </c>
      <c r="O20" s="150"/>
      <c r="P20" s="192">
        <f t="shared" si="3"/>
        <v>0</v>
      </c>
      <c r="Q20" s="110"/>
      <c r="R20" s="111"/>
      <c r="S20" s="339"/>
    </row>
    <row r="21" spans="1:19" x14ac:dyDescent="0.25">
      <c r="A21" s="170"/>
      <c r="B21" s="461">
        <v>4.54</v>
      </c>
      <c r="C21" s="20"/>
      <c r="D21" s="95">
        <f t="shared" si="6"/>
        <v>0</v>
      </c>
      <c r="E21" s="790"/>
      <c r="F21" s="147">
        <f t="shared" si="1"/>
        <v>0</v>
      </c>
      <c r="G21" s="106"/>
      <c r="H21" s="96"/>
      <c r="I21" s="339"/>
      <c r="K21" s="170"/>
      <c r="L21" s="461">
        <v>4.54</v>
      </c>
      <c r="M21" s="20"/>
      <c r="N21" s="109">
        <f t="shared" si="7"/>
        <v>0</v>
      </c>
      <c r="O21" s="150"/>
      <c r="P21" s="192">
        <f t="shared" si="3"/>
        <v>0</v>
      </c>
      <c r="Q21" s="110"/>
      <c r="R21" s="111"/>
      <c r="S21" s="339"/>
    </row>
    <row r="22" spans="1:19" x14ac:dyDescent="0.25">
      <c r="A22" s="170"/>
      <c r="B22" s="461">
        <v>4.54</v>
      </c>
      <c r="C22" s="20"/>
      <c r="D22" s="95">
        <f t="shared" si="6"/>
        <v>0</v>
      </c>
      <c r="E22" s="790"/>
      <c r="F22" s="147">
        <f t="shared" si="1"/>
        <v>0</v>
      </c>
      <c r="G22" s="106"/>
      <c r="H22" s="96"/>
      <c r="I22" s="339"/>
      <c r="K22" s="170"/>
      <c r="L22" s="461">
        <v>4.54</v>
      </c>
      <c r="M22" s="20"/>
      <c r="N22" s="109">
        <f t="shared" si="7"/>
        <v>0</v>
      </c>
      <c r="O22" s="150"/>
      <c r="P22" s="192">
        <f t="shared" si="3"/>
        <v>0</v>
      </c>
      <c r="Q22" s="110"/>
      <c r="R22" s="111"/>
      <c r="S22" s="339"/>
    </row>
    <row r="23" spans="1:19" x14ac:dyDescent="0.25">
      <c r="A23" s="170"/>
      <c r="B23" s="461">
        <v>4.54</v>
      </c>
      <c r="C23" s="20"/>
      <c r="D23" s="109">
        <f t="shared" si="6"/>
        <v>0</v>
      </c>
      <c r="E23" s="150"/>
      <c r="F23" s="192">
        <f t="shared" si="1"/>
        <v>0</v>
      </c>
      <c r="G23" s="110"/>
      <c r="H23" s="111"/>
      <c r="I23" s="339"/>
      <c r="K23" s="170"/>
      <c r="L23" s="461">
        <v>4.54</v>
      </c>
      <c r="M23" s="20"/>
      <c r="N23" s="109">
        <f t="shared" si="7"/>
        <v>0</v>
      </c>
      <c r="O23" s="150"/>
      <c r="P23" s="192">
        <f t="shared" si="3"/>
        <v>0</v>
      </c>
      <c r="Q23" s="110"/>
      <c r="R23" s="111"/>
      <c r="S23" s="339"/>
    </row>
    <row r="24" spans="1:19" x14ac:dyDescent="0.25">
      <c r="A24" s="170"/>
      <c r="B24" s="461">
        <v>4.54</v>
      </c>
      <c r="C24" s="20"/>
      <c r="D24" s="109">
        <f t="shared" si="6"/>
        <v>0</v>
      </c>
      <c r="E24" s="150"/>
      <c r="F24" s="192">
        <f t="shared" si="1"/>
        <v>0</v>
      </c>
      <c r="G24" s="110"/>
      <c r="H24" s="111"/>
      <c r="I24" s="339"/>
      <c r="K24" s="170"/>
      <c r="L24" s="461">
        <v>4.54</v>
      </c>
      <c r="M24" s="20"/>
      <c r="N24" s="109">
        <f t="shared" si="7"/>
        <v>0</v>
      </c>
      <c r="O24" s="150"/>
      <c r="P24" s="192">
        <f t="shared" si="3"/>
        <v>0</v>
      </c>
      <c r="Q24" s="110"/>
      <c r="R24" s="111"/>
      <c r="S24" s="339"/>
    </row>
    <row r="25" spans="1:19" x14ac:dyDescent="0.25">
      <c r="A25" s="170"/>
      <c r="B25" s="461">
        <v>4.54</v>
      </c>
      <c r="C25" s="20"/>
      <c r="D25" s="109">
        <f t="shared" si="6"/>
        <v>0</v>
      </c>
      <c r="E25" s="150"/>
      <c r="F25" s="192">
        <f t="shared" si="1"/>
        <v>0</v>
      </c>
      <c r="G25" s="110"/>
      <c r="H25" s="111"/>
      <c r="I25" s="339"/>
      <c r="K25" s="170"/>
      <c r="L25" s="461">
        <v>4.54</v>
      </c>
      <c r="M25" s="20"/>
      <c r="N25" s="109">
        <f t="shared" si="7"/>
        <v>0</v>
      </c>
      <c r="O25" s="150"/>
      <c r="P25" s="192">
        <f t="shared" si="3"/>
        <v>0</v>
      </c>
      <c r="Q25" s="110"/>
      <c r="R25" s="111"/>
      <c r="S25" s="339"/>
    </row>
    <row r="26" spans="1:19" x14ac:dyDescent="0.25">
      <c r="A26" s="170"/>
      <c r="B26" s="461">
        <v>4.54</v>
      </c>
      <c r="C26" s="20"/>
      <c r="D26" s="109">
        <f t="shared" si="6"/>
        <v>0</v>
      </c>
      <c r="E26" s="150"/>
      <c r="F26" s="192">
        <f t="shared" si="1"/>
        <v>0</v>
      </c>
      <c r="G26" s="110"/>
      <c r="H26" s="111"/>
      <c r="I26" s="339"/>
      <c r="K26" s="170"/>
      <c r="L26" s="461">
        <v>4.54</v>
      </c>
      <c r="M26" s="20"/>
      <c r="N26" s="109">
        <f t="shared" si="7"/>
        <v>0</v>
      </c>
      <c r="O26" s="150"/>
      <c r="P26" s="192">
        <f t="shared" si="3"/>
        <v>0</v>
      </c>
      <c r="Q26" s="110"/>
      <c r="R26" s="111"/>
      <c r="S26" s="339"/>
    </row>
    <row r="27" spans="1:19" x14ac:dyDescent="0.25">
      <c r="B27" s="461">
        <v>4.54</v>
      </c>
      <c r="C27" s="20"/>
      <c r="D27" s="109">
        <f t="shared" si="6"/>
        <v>0</v>
      </c>
      <c r="E27" s="150"/>
      <c r="F27" s="192">
        <f t="shared" si="1"/>
        <v>0</v>
      </c>
      <c r="G27" s="110"/>
      <c r="H27" s="111"/>
      <c r="I27" s="339"/>
      <c r="L27" s="461">
        <v>4.54</v>
      </c>
      <c r="M27" s="20"/>
      <c r="N27" s="109">
        <f t="shared" si="7"/>
        <v>0</v>
      </c>
      <c r="O27" s="150"/>
      <c r="P27" s="192">
        <f t="shared" si="3"/>
        <v>0</v>
      </c>
      <c r="Q27" s="110"/>
      <c r="R27" s="111"/>
      <c r="S27" s="339"/>
    </row>
    <row r="28" spans="1:19" ht="15.75" thickBot="1" x14ac:dyDescent="0.3">
      <c r="A28" s="228"/>
      <c r="B28" s="462"/>
      <c r="C28" s="48"/>
      <c r="D28" s="573">
        <f>B28*C28</f>
        <v>0</v>
      </c>
      <c r="E28" s="574"/>
      <c r="F28" s="575">
        <f t="shared" si="1"/>
        <v>0</v>
      </c>
      <c r="G28" s="269"/>
      <c r="H28" s="576"/>
      <c r="I28" s="339"/>
      <c r="K28" s="228"/>
      <c r="L28" s="462"/>
      <c r="M28" s="48"/>
      <c r="N28" s="573">
        <f>L28*M28</f>
        <v>0</v>
      </c>
      <c r="O28" s="574"/>
      <c r="P28" s="575">
        <f t="shared" si="3"/>
        <v>0</v>
      </c>
      <c r="Q28" s="269"/>
      <c r="R28" s="576"/>
      <c r="S28" s="339"/>
    </row>
    <row r="29" spans="1:19" ht="15.75" thickTop="1" x14ac:dyDescent="0.25">
      <c r="A29" s="63">
        <f>SUM(A28:A28)</f>
        <v>0</v>
      </c>
      <c r="B29" s="119"/>
      <c r="C29" s="119">
        <f>SUM(C8:C28)</f>
        <v>10</v>
      </c>
      <c r="D29" s="192">
        <f>SUM(D8:D28)</f>
        <v>45.4</v>
      </c>
      <c r="E29" s="128"/>
      <c r="F29" s="192">
        <f>SUM(F8:F28)</f>
        <v>45.4</v>
      </c>
      <c r="G29" s="309"/>
      <c r="H29" s="309"/>
      <c r="K29" s="63">
        <f>SUM(K28:K28)</f>
        <v>0</v>
      </c>
      <c r="L29" s="119"/>
      <c r="M29" s="119">
        <f>SUM(M8:M28)</f>
        <v>6</v>
      </c>
      <c r="N29" s="192">
        <f>SUM(N8:N28)</f>
        <v>27.240000000000002</v>
      </c>
      <c r="O29" s="128"/>
      <c r="P29" s="192">
        <f>SUM(P8:P28)</f>
        <v>27.240000000000002</v>
      </c>
      <c r="Q29" s="309"/>
      <c r="R29" s="309"/>
    </row>
    <row r="30" spans="1:19" ht="15.75" thickBot="1" x14ac:dyDescent="0.3">
      <c r="A30" s="160"/>
      <c r="B30" s="277"/>
      <c r="C30"/>
      <c r="G30"/>
      <c r="H30"/>
      <c r="K30" s="160"/>
      <c r="L30" s="277"/>
      <c r="M30"/>
      <c r="Q30"/>
      <c r="R30"/>
    </row>
    <row r="31" spans="1:19" x14ac:dyDescent="0.25">
      <c r="A31"/>
      <c r="B31" s="463"/>
      <c r="C31"/>
      <c r="D31" s="849" t="s">
        <v>21</v>
      </c>
      <c r="E31" s="850"/>
      <c r="F31" s="272">
        <f>E4+E5-F29+E6</f>
        <v>0</v>
      </c>
      <c r="G31"/>
      <c r="H31"/>
      <c r="K31"/>
      <c r="L31" s="463"/>
      <c r="M31"/>
      <c r="N31" s="849" t="s">
        <v>21</v>
      </c>
      <c r="O31" s="850"/>
      <c r="P31" s="272">
        <f>O4+O5-P29+O6</f>
        <v>18.159999999999997</v>
      </c>
      <c r="Q31"/>
      <c r="R31"/>
    </row>
    <row r="32" spans="1:19" ht="15.75" thickBot="1" x14ac:dyDescent="0.3">
      <c r="A32" s="237"/>
      <c r="B32" s="277"/>
      <c r="C32"/>
      <c r="D32" s="674" t="s">
        <v>4</v>
      </c>
      <c r="E32" s="675"/>
      <c r="F32" s="66">
        <f>F4+F5-C29+F6</f>
        <v>0</v>
      </c>
      <c r="G32"/>
      <c r="H32"/>
      <c r="K32" s="237"/>
      <c r="L32" s="277"/>
      <c r="M32"/>
      <c r="N32" s="765" t="s">
        <v>4</v>
      </c>
      <c r="O32" s="766"/>
      <c r="P32" s="66">
        <f>P4+P5-M29+P6</f>
        <v>4</v>
      </c>
      <c r="Q32"/>
      <c r="R32"/>
    </row>
    <row r="33" spans="1:18" x14ac:dyDescent="0.25">
      <c r="A33"/>
      <c r="B33" s="463"/>
      <c r="C33"/>
      <c r="D33"/>
      <c r="E33"/>
      <c r="F33"/>
      <c r="G33"/>
      <c r="H33"/>
      <c r="K33"/>
      <c r="L33" s="463"/>
      <c r="M33"/>
      <c r="N33"/>
      <c r="O33"/>
      <c r="P33"/>
      <c r="Q33"/>
      <c r="R33"/>
    </row>
  </sheetData>
  <mergeCells count="4">
    <mergeCell ref="A1:G1"/>
    <mergeCell ref="D31:E31"/>
    <mergeCell ref="K1:Q1"/>
    <mergeCell ref="N31:O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workbookViewId="0">
      <pane ySplit="7" topLeftCell="A20" activePane="bottomLeft" state="frozen"/>
      <selection activeCell="K1" sqref="K1"/>
      <selection pane="bottomLeft" activeCell="H13" sqref="H1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7" t="s">
        <v>250</v>
      </c>
      <c r="B1" s="847"/>
      <c r="C1" s="847"/>
      <c r="D1" s="847"/>
      <c r="E1" s="847"/>
      <c r="F1" s="847"/>
      <c r="G1" s="84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4"/>
      <c r="D4" s="216"/>
      <c r="E4" s="157"/>
      <c r="F4" s="22"/>
      <c r="G4" s="238"/>
      <c r="H4" s="16"/>
    </row>
    <row r="5" spans="1:8" ht="15.75" x14ac:dyDescent="0.25">
      <c r="A5" s="128" t="s">
        <v>80</v>
      </c>
      <c r="B5" s="415" t="s">
        <v>253</v>
      </c>
      <c r="C5" s="104">
        <v>170</v>
      </c>
      <c r="D5" s="216">
        <v>43439</v>
      </c>
      <c r="E5" s="157">
        <v>100</v>
      </c>
      <c r="F5" s="22">
        <v>10</v>
      </c>
      <c r="G5" s="163">
        <f>F26</f>
        <v>80</v>
      </c>
      <c r="H5" s="10">
        <f>E5-G5+E4+E6</f>
        <v>120</v>
      </c>
    </row>
    <row r="6" spans="1:8" ht="15.75" thickBot="1" x14ac:dyDescent="0.3">
      <c r="A6" s="16"/>
      <c r="B6" s="445"/>
      <c r="C6" s="104">
        <v>170</v>
      </c>
      <c r="D6" s="216">
        <v>43458</v>
      </c>
      <c r="E6" s="192">
        <v>100</v>
      </c>
      <c r="F6" s="119">
        <v>10</v>
      </c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571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10</v>
      </c>
      <c r="C8" s="20">
        <v>2</v>
      </c>
      <c r="D8" s="109">
        <f t="shared" ref="D8:D24" si="0">B8*C8</f>
        <v>20</v>
      </c>
      <c r="E8" s="150">
        <v>43440</v>
      </c>
      <c r="F8" s="192">
        <f>D8</f>
        <v>20</v>
      </c>
      <c r="G8" s="110" t="s">
        <v>509</v>
      </c>
      <c r="H8" s="111">
        <v>210</v>
      </c>
    </row>
    <row r="9" spans="1:8" x14ac:dyDescent="0.25">
      <c r="A9" s="16"/>
      <c r="B9" s="164">
        <v>10</v>
      </c>
      <c r="C9" s="20">
        <v>1</v>
      </c>
      <c r="D9" s="109">
        <f t="shared" si="0"/>
        <v>10</v>
      </c>
      <c r="E9" s="150">
        <v>43451</v>
      </c>
      <c r="F9" s="192">
        <f>D9</f>
        <v>10</v>
      </c>
      <c r="G9" s="110" t="s">
        <v>564</v>
      </c>
      <c r="H9" s="111">
        <v>210</v>
      </c>
    </row>
    <row r="10" spans="1:8" x14ac:dyDescent="0.25">
      <c r="B10" s="164">
        <v>10</v>
      </c>
      <c r="C10" s="20">
        <v>2</v>
      </c>
      <c r="D10" s="109">
        <f t="shared" si="0"/>
        <v>20</v>
      </c>
      <c r="E10" s="150">
        <v>43454</v>
      </c>
      <c r="F10" s="192">
        <f t="shared" ref="F10:F25" si="1">D10</f>
        <v>20</v>
      </c>
      <c r="G10" s="110" t="s">
        <v>590</v>
      </c>
      <c r="H10" s="111">
        <v>210</v>
      </c>
    </row>
    <row r="11" spans="1:8" x14ac:dyDescent="0.25">
      <c r="A11" s="141" t="s">
        <v>33</v>
      </c>
      <c r="B11" s="164">
        <v>10</v>
      </c>
      <c r="C11" s="20">
        <v>2</v>
      </c>
      <c r="D11" s="109">
        <f t="shared" si="0"/>
        <v>20</v>
      </c>
      <c r="E11" s="150">
        <v>43455</v>
      </c>
      <c r="F11" s="192">
        <f t="shared" si="1"/>
        <v>20</v>
      </c>
      <c r="G11" s="110" t="s">
        <v>606</v>
      </c>
      <c r="H11" s="111">
        <v>210</v>
      </c>
    </row>
    <row r="12" spans="1:8" x14ac:dyDescent="0.25">
      <c r="B12" s="164">
        <v>10</v>
      </c>
      <c r="C12" s="20">
        <v>1</v>
      </c>
      <c r="D12" s="109">
        <f t="shared" si="0"/>
        <v>10</v>
      </c>
      <c r="E12" s="150">
        <v>43442</v>
      </c>
      <c r="F12" s="192">
        <f t="shared" si="1"/>
        <v>10</v>
      </c>
      <c r="G12" s="110" t="s">
        <v>522</v>
      </c>
      <c r="H12" s="111">
        <v>210</v>
      </c>
    </row>
    <row r="13" spans="1:8" x14ac:dyDescent="0.25">
      <c r="A13" s="170"/>
      <c r="B13" s="164">
        <v>10</v>
      </c>
      <c r="C13" s="20"/>
      <c r="D13" s="109">
        <f t="shared" si="0"/>
        <v>0</v>
      </c>
      <c r="E13" s="150"/>
      <c r="F13" s="192">
        <f t="shared" si="1"/>
        <v>0</v>
      </c>
      <c r="G13" s="110"/>
      <c r="H13" s="111"/>
    </row>
    <row r="14" spans="1:8" x14ac:dyDescent="0.25">
      <c r="B14" s="164">
        <v>10</v>
      </c>
      <c r="C14" s="20"/>
      <c r="D14" s="109">
        <f t="shared" si="0"/>
        <v>0</v>
      </c>
      <c r="E14" s="150"/>
      <c r="F14" s="192">
        <f t="shared" si="1"/>
        <v>0</v>
      </c>
      <c r="G14" s="110"/>
      <c r="H14" s="111"/>
    </row>
    <row r="15" spans="1:8" x14ac:dyDescent="0.25">
      <c r="B15" s="164">
        <v>10</v>
      </c>
      <c r="C15" s="20"/>
      <c r="D15" s="109">
        <f t="shared" si="0"/>
        <v>0</v>
      </c>
      <c r="E15" s="150"/>
      <c r="F15" s="192">
        <f t="shared" si="1"/>
        <v>0</v>
      </c>
      <c r="G15" s="110"/>
      <c r="H15" s="111"/>
    </row>
    <row r="16" spans="1:8" x14ac:dyDescent="0.25">
      <c r="B16" s="164">
        <v>10</v>
      </c>
      <c r="C16" s="20"/>
      <c r="D16" s="109">
        <f t="shared" si="0"/>
        <v>0</v>
      </c>
      <c r="E16" s="150"/>
      <c r="F16" s="192">
        <f t="shared" si="1"/>
        <v>0</v>
      </c>
      <c r="G16" s="110"/>
      <c r="H16" s="111"/>
    </row>
    <row r="17" spans="1:8" x14ac:dyDescent="0.25">
      <c r="B17" s="164">
        <v>10</v>
      </c>
      <c r="C17" s="20"/>
      <c r="D17" s="109">
        <f t="shared" si="0"/>
        <v>0</v>
      </c>
      <c r="E17" s="150"/>
      <c r="F17" s="192">
        <f t="shared" si="1"/>
        <v>0</v>
      </c>
      <c r="G17" s="110"/>
      <c r="H17" s="111"/>
    </row>
    <row r="18" spans="1:8" x14ac:dyDescent="0.25">
      <c r="B18" s="164">
        <v>10</v>
      </c>
      <c r="C18" s="20"/>
      <c r="D18" s="109">
        <f t="shared" si="0"/>
        <v>0</v>
      </c>
      <c r="E18" s="150"/>
      <c r="F18" s="192">
        <f t="shared" si="1"/>
        <v>0</v>
      </c>
      <c r="G18" s="110"/>
      <c r="H18" s="111"/>
    </row>
    <row r="19" spans="1:8" x14ac:dyDescent="0.25">
      <c r="B19" s="164">
        <v>10</v>
      </c>
      <c r="C19" s="20"/>
      <c r="D19" s="109">
        <f t="shared" si="0"/>
        <v>0</v>
      </c>
      <c r="E19" s="150"/>
      <c r="F19" s="192">
        <f t="shared" si="1"/>
        <v>0</v>
      </c>
      <c r="G19" s="110"/>
      <c r="H19" s="111"/>
    </row>
    <row r="20" spans="1:8" x14ac:dyDescent="0.25">
      <c r="B20" s="164">
        <v>10</v>
      </c>
      <c r="C20" s="20"/>
      <c r="D20" s="109">
        <f t="shared" si="0"/>
        <v>0</v>
      </c>
      <c r="E20" s="150"/>
      <c r="F20" s="192">
        <f t="shared" si="1"/>
        <v>0</v>
      </c>
      <c r="G20" s="110"/>
      <c r="H20" s="111"/>
    </row>
    <row r="21" spans="1:8" x14ac:dyDescent="0.25">
      <c r="B21" s="164">
        <v>10</v>
      </c>
      <c r="C21" s="20"/>
      <c r="D21" s="109">
        <f t="shared" si="0"/>
        <v>0</v>
      </c>
      <c r="E21" s="150"/>
      <c r="F21" s="192">
        <f t="shared" si="1"/>
        <v>0</v>
      </c>
      <c r="G21" s="110"/>
      <c r="H21" s="111"/>
    </row>
    <row r="22" spans="1:8" x14ac:dyDescent="0.25">
      <c r="B22" s="164">
        <v>10</v>
      </c>
      <c r="C22" s="20"/>
      <c r="D22" s="109">
        <f t="shared" si="0"/>
        <v>0</v>
      </c>
      <c r="E22" s="150"/>
      <c r="F22" s="192">
        <f t="shared" si="1"/>
        <v>0</v>
      </c>
      <c r="G22" s="110"/>
      <c r="H22" s="111"/>
    </row>
    <row r="23" spans="1:8" x14ac:dyDescent="0.25">
      <c r="B23" s="164">
        <v>10</v>
      </c>
      <c r="C23" s="20"/>
      <c r="D23" s="109">
        <f t="shared" si="0"/>
        <v>0</v>
      </c>
      <c r="E23" s="150"/>
      <c r="F23" s="192">
        <f t="shared" si="1"/>
        <v>0</v>
      </c>
      <c r="G23" s="110"/>
      <c r="H23" s="111"/>
    </row>
    <row r="24" spans="1:8" x14ac:dyDescent="0.25">
      <c r="B24" s="164">
        <v>10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573">
        <f>B25*C25</f>
        <v>0</v>
      </c>
      <c r="E25" s="574"/>
      <c r="F25" s="575">
        <f t="shared" si="1"/>
        <v>0</v>
      </c>
      <c r="G25" s="269"/>
      <c r="H25" s="576"/>
    </row>
    <row r="26" spans="1:8" ht="15.75" thickTop="1" x14ac:dyDescent="0.25">
      <c r="A26" s="63">
        <f>SUM(A25:A25)</f>
        <v>0</v>
      </c>
      <c r="B26" s="16"/>
      <c r="C26" s="119">
        <f>SUM(C8:C25)</f>
        <v>8</v>
      </c>
      <c r="D26" s="192">
        <f>SUM(D8:D25)</f>
        <v>80</v>
      </c>
      <c r="E26" s="128"/>
      <c r="F26" s="192">
        <f>SUM(F8:F25)</f>
        <v>80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49" t="s">
        <v>21</v>
      </c>
      <c r="E28" s="850"/>
      <c r="F28" s="272">
        <f>E4+E5-F26+E6</f>
        <v>120</v>
      </c>
      <c r="G28"/>
      <c r="H28"/>
    </row>
    <row r="29" spans="1:8" ht="15.75" thickBot="1" x14ac:dyDescent="0.3">
      <c r="A29" s="237"/>
      <c r="B29"/>
      <c r="C29"/>
      <c r="D29" s="639" t="s">
        <v>4</v>
      </c>
      <c r="E29" s="640"/>
      <c r="F29" s="66">
        <f>F4+F5-C26+F6</f>
        <v>12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topLeftCell="B1" workbookViewId="0">
      <selection activeCell="I20" sqref="I20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7" t="s">
        <v>250</v>
      </c>
      <c r="B1" s="847"/>
      <c r="C1" s="847"/>
      <c r="D1" s="847"/>
      <c r="E1" s="847"/>
      <c r="F1" s="847"/>
      <c r="G1" s="847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6"/>
      <c r="E4" s="98"/>
      <c r="F4" s="99"/>
      <c r="G4" s="238"/>
      <c r="H4" s="16"/>
    </row>
    <row r="5" spans="1:8" ht="15.75" x14ac:dyDescent="0.25">
      <c r="A5" s="128" t="s">
        <v>251</v>
      </c>
      <c r="B5" s="556" t="s">
        <v>252</v>
      </c>
      <c r="C5" s="104">
        <v>150</v>
      </c>
      <c r="D5" s="216">
        <v>43439</v>
      </c>
      <c r="E5" s="157">
        <v>100</v>
      </c>
      <c r="F5" s="22">
        <v>5</v>
      </c>
      <c r="G5" s="797">
        <f>F26</f>
        <v>200</v>
      </c>
      <c r="H5" s="10">
        <f>E5-G5+E4+E6</f>
        <v>0</v>
      </c>
    </row>
    <row r="6" spans="1:8" ht="16.5" thickBot="1" x14ac:dyDescent="0.3">
      <c r="A6" s="16"/>
      <c r="B6" s="415"/>
      <c r="C6" s="318">
        <v>150</v>
      </c>
      <c r="D6" s="17">
        <v>43458</v>
      </c>
      <c r="E6" s="767">
        <v>100</v>
      </c>
      <c r="F6" s="119">
        <v>5</v>
      </c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20</v>
      </c>
      <c r="C8" s="20">
        <v>1</v>
      </c>
      <c r="D8" s="109">
        <f>C8*B8</f>
        <v>20</v>
      </c>
      <c r="E8" s="150">
        <v>43440</v>
      </c>
      <c r="F8" s="192">
        <f>D8</f>
        <v>20</v>
      </c>
      <c r="G8" s="110" t="s">
        <v>509</v>
      </c>
      <c r="H8" s="111">
        <v>200</v>
      </c>
    </row>
    <row r="9" spans="1:8" x14ac:dyDescent="0.25">
      <c r="A9" s="16"/>
      <c r="B9" s="164">
        <v>20</v>
      </c>
      <c r="C9" s="20">
        <v>2</v>
      </c>
      <c r="D9" s="109">
        <f>C9*B9</f>
        <v>40</v>
      </c>
      <c r="E9" s="150">
        <v>43449</v>
      </c>
      <c r="F9" s="192">
        <f>D9</f>
        <v>40</v>
      </c>
      <c r="G9" s="110" t="s">
        <v>557</v>
      </c>
      <c r="H9" s="111">
        <v>200</v>
      </c>
    </row>
    <row r="10" spans="1:8" x14ac:dyDescent="0.25">
      <c r="B10" s="164">
        <v>20</v>
      </c>
      <c r="C10" s="20">
        <v>2</v>
      </c>
      <c r="D10" s="234">
        <f>C10*B10</f>
        <v>40</v>
      </c>
      <c r="E10" s="201">
        <v>43455</v>
      </c>
      <c r="F10" s="617">
        <f>D10</f>
        <v>40</v>
      </c>
      <c r="G10" s="235" t="s">
        <v>606</v>
      </c>
      <c r="H10" s="236">
        <v>200</v>
      </c>
    </row>
    <row r="11" spans="1:8" x14ac:dyDescent="0.25">
      <c r="A11" s="141" t="s">
        <v>33</v>
      </c>
      <c r="B11" s="164">
        <v>20</v>
      </c>
      <c r="C11" s="20">
        <v>2</v>
      </c>
      <c r="D11" s="234">
        <f t="shared" ref="D11:D25" si="0">B11*C11</f>
        <v>40</v>
      </c>
      <c r="E11" s="201">
        <v>43461</v>
      </c>
      <c r="F11" s="617">
        <f t="shared" ref="F11:F25" si="1">D11</f>
        <v>40</v>
      </c>
      <c r="G11" s="235" t="s">
        <v>641</v>
      </c>
      <c r="H11" s="236">
        <v>200</v>
      </c>
    </row>
    <row r="12" spans="1:8" x14ac:dyDescent="0.25">
      <c r="B12" s="164">
        <v>20</v>
      </c>
      <c r="C12" s="20">
        <v>2</v>
      </c>
      <c r="D12" s="234">
        <f t="shared" si="0"/>
        <v>40</v>
      </c>
      <c r="E12" s="201">
        <v>43461</v>
      </c>
      <c r="F12" s="617">
        <f t="shared" si="1"/>
        <v>40</v>
      </c>
      <c r="G12" s="235" t="s">
        <v>651</v>
      </c>
      <c r="H12" s="236">
        <v>200</v>
      </c>
    </row>
    <row r="13" spans="1:8" x14ac:dyDescent="0.25">
      <c r="A13" s="170"/>
      <c r="B13" s="164">
        <v>20</v>
      </c>
      <c r="C13" s="20">
        <v>1</v>
      </c>
      <c r="D13" s="234">
        <f t="shared" si="0"/>
        <v>20</v>
      </c>
      <c r="E13" s="201">
        <v>43462</v>
      </c>
      <c r="F13" s="617">
        <f t="shared" si="1"/>
        <v>20</v>
      </c>
      <c r="G13" s="235" t="s">
        <v>643</v>
      </c>
      <c r="H13" s="236">
        <v>200</v>
      </c>
    </row>
    <row r="14" spans="1:8" x14ac:dyDescent="0.25">
      <c r="B14" s="164">
        <v>20</v>
      </c>
      <c r="C14" s="20"/>
      <c r="D14" s="234">
        <f t="shared" si="0"/>
        <v>0</v>
      </c>
      <c r="E14" s="201"/>
      <c r="F14" s="617">
        <f t="shared" si="1"/>
        <v>0</v>
      </c>
      <c r="G14" s="808"/>
      <c r="H14" s="809"/>
    </row>
    <row r="15" spans="1:8" x14ac:dyDescent="0.25">
      <c r="B15" s="164">
        <v>20</v>
      </c>
      <c r="C15" s="20"/>
      <c r="D15" s="234">
        <f t="shared" si="0"/>
        <v>0</v>
      </c>
      <c r="E15" s="201"/>
      <c r="F15" s="617">
        <f t="shared" si="1"/>
        <v>0</v>
      </c>
      <c r="G15" s="808"/>
      <c r="H15" s="809"/>
    </row>
    <row r="16" spans="1:8" x14ac:dyDescent="0.25">
      <c r="B16" s="164">
        <v>20</v>
      </c>
      <c r="C16" s="20"/>
      <c r="D16" s="234">
        <f t="shared" si="0"/>
        <v>0</v>
      </c>
      <c r="E16" s="201"/>
      <c r="F16" s="617">
        <f t="shared" si="1"/>
        <v>0</v>
      </c>
      <c r="G16" s="808"/>
      <c r="H16" s="809"/>
    </row>
    <row r="17" spans="1:8" x14ac:dyDescent="0.25">
      <c r="B17" s="164">
        <v>20</v>
      </c>
      <c r="C17" s="20"/>
      <c r="D17" s="234">
        <f t="shared" si="0"/>
        <v>0</v>
      </c>
      <c r="E17" s="201"/>
      <c r="F17" s="617">
        <f t="shared" si="1"/>
        <v>0</v>
      </c>
      <c r="G17" s="808"/>
      <c r="H17" s="809"/>
    </row>
    <row r="18" spans="1:8" x14ac:dyDescent="0.25">
      <c r="B18" s="164">
        <v>20</v>
      </c>
      <c r="C18" s="20"/>
      <c r="D18" s="234">
        <f t="shared" si="0"/>
        <v>0</v>
      </c>
      <c r="E18" s="201"/>
      <c r="F18" s="617">
        <f t="shared" si="1"/>
        <v>0</v>
      </c>
      <c r="G18" s="235"/>
      <c r="H18" s="236"/>
    </row>
    <row r="19" spans="1:8" x14ac:dyDescent="0.25">
      <c r="B19" s="164">
        <v>20</v>
      </c>
      <c r="C19" s="20"/>
      <c r="D19" s="234">
        <f t="shared" si="0"/>
        <v>0</v>
      </c>
      <c r="E19" s="201"/>
      <c r="F19" s="617">
        <f t="shared" si="1"/>
        <v>0</v>
      </c>
      <c r="G19" s="235"/>
      <c r="H19" s="236"/>
    </row>
    <row r="20" spans="1:8" x14ac:dyDescent="0.25">
      <c r="B20" s="164">
        <v>20</v>
      </c>
      <c r="C20" s="20"/>
      <c r="D20" s="234">
        <f t="shared" si="0"/>
        <v>0</v>
      </c>
      <c r="E20" s="201"/>
      <c r="F20" s="617">
        <f t="shared" si="1"/>
        <v>0</v>
      </c>
      <c r="G20" s="235"/>
      <c r="H20" s="236"/>
    </row>
    <row r="21" spans="1:8" x14ac:dyDescent="0.25">
      <c r="B21" s="164">
        <v>20</v>
      </c>
      <c r="C21" s="20"/>
      <c r="D21" s="234">
        <f t="shared" si="0"/>
        <v>0</v>
      </c>
      <c r="E21" s="201"/>
      <c r="F21" s="617">
        <f t="shared" si="1"/>
        <v>0</v>
      </c>
      <c r="G21" s="235"/>
      <c r="H21" s="236"/>
    </row>
    <row r="22" spans="1:8" x14ac:dyDescent="0.25">
      <c r="B22" s="164">
        <v>20</v>
      </c>
      <c r="C22" s="20"/>
      <c r="D22" s="234">
        <f t="shared" si="0"/>
        <v>0</v>
      </c>
      <c r="E22" s="201"/>
      <c r="F22" s="617">
        <f t="shared" si="1"/>
        <v>0</v>
      </c>
      <c r="G22" s="235"/>
      <c r="H22" s="236"/>
    </row>
    <row r="23" spans="1:8" x14ac:dyDescent="0.25">
      <c r="B23" s="164">
        <v>20</v>
      </c>
      <c r="C23" s="20"/>
      <c r="D23" s="234">
        <f t="shared" si="0"/>
        <v>0</v>
      </c>
      <c r="E23" s="201"/>
      <c r="F23" s="617">
        <f t="shared" si="1"/>
        <v>0</v>
      </c>
      <c r="G23" s="235"/>
      <c r="H23" s="236"/>
    </row>
    <row r="24" spans="1:8" x14ac:dyDescent="0.25">
      <c r="B24" s="164">
        <v>20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109">
        <f t="shared" si="0"/>
        <v>0</v>
      </c>
      <c r="E25" s="574"/>
      <c r="F25" s="575">
        <f t="shared" si="1"/>
        <v>0</v>
      </c>
      <c r="G25" s="269"/>
      <c r="H25" s="576"/>
    </row>
    <row r="26" spans="1:8" ht="15.75" thickTop="1" x14ac:dyDescent="0.25">
      <c r="A26" s="63">
        <f>SUM(A25:A25)</f>
        <v>0</v>
      </c>
      <c r="B26" s="16"/>
      <c r="C26" s="119">
        <f>SUM(C8:C25)</f>
        <v>10</v>
      </c>
      <c r="D26" s="192">
        <f>SUM(D8:D25)</f>
        <v>200</v>
      </c>
      <c r="E26" s="128"/>
      <c r="F26" s="192">
        <f>SUM(F8:F25)</f>
        <v>200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49" t="s">
        <v>21</v>
      </c>
      <c r="E28" s="850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09" t="s">
        <v>4</v>
      </c>
      <c r="E29" s="610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7"/>
  <sheetViews>
    <sheetView topLeftCell="B1" workbookViewId="0">
      <pane ySplit="7" topLeftCell="A53" activePane="bottomLeft" state="frozen"/>
      <selection pane="bottomLeft" activeCell="D60" sqref="D6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9" ht="40.5" x14ac:dyDescent="0.55000000000000004">
      <c r="A1" s="853" t="s">
        <v>214</v>
      </c>
      <c r="B1" s="853"/>
      <c r="C1" s="853"/>
      <c r="D1" s="853"/>
      <c r="E1" s="853"/>
      <c r="F1" s="853"/>
      <c r="G1" s="853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6.5" thickTop="1" x14ac:dyDescent="0.25">
      <c r="B4" s="15"/>
      <c r="C4" s="572"/>
      <c r="D4" s="263"/>
      <c r="E4" s="246">
        <v>762.16</v>
      </c>
      <c r="F4" s="119">
        <v>28</v>
      </c>
      <c r="G4" s="315"/>
    </row>
    <row r="5" spans="1:9" ht="15.75" customHeight="1" x14ac:dyDescent="0.25">
      <c r="A5" s="857" t="s">
        <v>98</v>
      </c>
      <c r="B5" s="15" t="s">
        <v>43</v>
      </c>
      <c r="C5" s="320">
        <v>49.5</v>
      </c>
      <c r="D5" s="263">
        <v>43374</v>
      </c>
      <c r="E5" s="246">
        <v>18509.599999999999</v>
      </c>
      <c r="F5" s="119">
        <v>680</v>
      </c>
      <c r="G5" s="186">
        <f>F62</f>
        <v>38434.639999999992</v>
      </c>
      <c r="H5" s="316">
        <f>E5+E6-G5+E4</f>
        <v>435.52000000000783</v>
      </c>
    </row>
    <row r="6" spans="1:9" ht="15.75" customHeight="1" thickBot="1" x14ac:dyDescent="0.3">
      <c r="A6" s="857"/>
      <c r="B6" s="324" t="s">
        <v>44</v>
      </c>
      <c r="C6" s="320">
        <v>49.5</v>
      </c>
      <c r="D6" s="263">
        <v>43381</v>
      </c>
      <c r="E6" s="192">
        <v>19598.400000000001</v>
      </c>
      <c r="F6" s="119">
        <v>720</v>
      </c>
    </row>
    <row r="7" spans="1:9" ht="16.5" thickTop="1" thickBot="1" x14ac:dyDescent="0.3">
      <c r="B7" s="102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89" t="s">
        <v>32</v>
      </c>
      <c r="B8" s="2">
        <v>27.22</v>
      </c>
      <c r="C8" s="20">
        <v>32</v>
      </c>
      <c r="D8" s="109">
        <f t="shared" ref="D8:D9" si="0">C8*B8</f>
        <v>871.04</v>
      </c>
      <c r="E8" s="158">
        <v>43382</v>
      </c>
      <c r="F8" s="109">
        <f t="shared" ref="F8:F45" si="1">D8</f>
        <v>871.04</v>
      </c>
      <c r="G8" s="110" t="s">
        <v>133</v>
      </c>
      <c r="H8" s="111">
        <v>53</v>
      </c>
      <c r="I8" s="628">
        <f>E4+E5+E6-F8</f>
        <v>37999.120000000003</v>
      </c>
    </row>
    <row r="9" spans="1:9" x14ac:dyDescent="0.25">
      <c r="A9" s="256"/>
      <c r="B9" s="2">
        <v>27.22</v>
      </c>
      <c r="C9" s="20">
        <v>32</v>
      </c>
      <c r="D9" s="109">
        <f t="shared" si="0"/>
        <v>871.04</v>
      </c>
      <c r="E9" s="158">
        <v>43385</v>
      </c>
      <c r="F9" s="109">
        <f t="shared" si="1"/>
        <v>871.04</v>
      </c>
      <c r="G9" s="110" t="s">
        <v>136</v>
      </c>
      <c r="H9" s="111">
        <v>53</v>
      </c>
      <c r="I9" s="628">
        <f>I8-F9</f>
        <v>37128.080000000002</v>
      </c>
    </row>
    <row r="10" spans="1:9" x14ac:dyDescent="0.25">
      <c r="A10" s="257"/>
      <c r="B10" s="2">
        <v>27.22</v>
      </c>
      <c r="C10" s="20">
        <v>64</v>
      </c>
      <c r="D10" s="109">
        <f t="shared" ref="D10:D61" si="2">C10*B10</f>
        <v>1742.08</v>
      </c>
      <c r="E10" s="158">
        <v>43385</v>
      </c>
      <c r="F10" s="109">
        <f t="shared" si="1"/>
        <v>1742.08</v>
      </c>
      <c r="G10" s="110" t="s">
        <v>137</v>
      </c>
      <c r="H10" s="111">
        <v>53</v>
      </c>
      <c r="I10" s="628">
        <f t="shared" ref="I10:I60" si="3">I9-F10</f>
        <v>35386</v>
      </c>
    </row>
    <row r="11" spans="1:9" x14ac:dyDescent="0.25">
      <c r="A11" s="141" t="s">
        <v>33</v>
      </c>
      <c r="B11" s="2">
        <v>27.22</v>
      </c>
      <c r="C11" s="20">
        <v>32</v>
      </c>
      <c r="D11" s="109">
        <f t="shared" si="2"/>
        <v>871.04</v>
      </c>
      <c r="E11" s="158">
        <v>43388</v>
      </c>
      <c r="F11" s="109">
        <f t="shared" si="1"/>
        <v>871.04</v>
      </c>
      <c r="G11" s="110" t="s">
        <v>139</v>
      </c>
      <c r="H11" s="111">
        <v>53</v>
      </c>
      <c r="I11" s="628">
        <f t="shared" si="3"/>
        <v>34514.959999999999</v>
      </c>
    </row>
    <row r="12" spans="1:9" x14ac:dyDescent="0.25">
      <c r="A12" s="258"/>
      <c r="B12" s="2">
        <v>27.22</v>
      </c>
      <c r="C12" s="20">
        <v>32</v>
      </c>
      <c r="D12" s="109">
        <f t="shared" si="2"/>
        <v>871.04</v>
      </c>
      <c r="E12" s="158">
        <v>43389</v>
      </c>
      <c r="F12" s="109">
        <f t="shared" si="1"/>
        <v>871.04</v>
      </c>
      <c r="G12" s="110" t="s">
        <v>138</v>
      </c>
      <c r="H12" s="111">
        <v>53</v>
      </c>
      <c r="I12" s="628">
        <f t="shared" si="3"/>
        <v>33643.919999999998</v>
      </c>
    </row>
    <row r="13" spans="1:9" x14ac:dyDescent="0.25">
      <c r="A13" s="169"/>
      <c r="B13" s="2">
        <v>27.22</v>
      </c>
      <c r="C13" s="20">
        <v>32</v>
      </c>
      <c r="D13" s="109">
        <f t="shared" si="2"/>
        <v>871.04</v>
      </c>
      <c r="E13" s="158">
        <v>43396</v>
      </c>
      <c r="F13" s="109">
        <f t="shared" si="1"/>
        <v>871.04</v>
      </c>
      <c r="G13" s="110" t="s">
        <v>144</v>
      </c>
      <c r="H13" s="111">
        <v>53</v>
      </c>
      <c r="I13" s="628">
        <f t="shared" si="3"/>
        <v>32772.879999999997</v>
      </c>
    </row>
    <row r="14" spans="1:9" x14ac:dyDescent="0.25">
      <c r="A14" s="59"/>
      <c r="B14" s="2">
        <v>27.22</v>
      </c>
      <c r="C14" s="20">
        <v>32</v>
      </c>
      <c r="D14" s="109">
        <f t="shared" si="2"/>
        <v>871.04</v>
      </c>
      <c r="E14" s="158">
        <v>43396</v>
      </c>
      <c r="F14" s="109">
        <f t="shared" si="1"/>
        <v>871.04</v>
      </c>
      <c r="G14" s="110" t="s">
        <v>145</v>
      </c>
      <c r="H14" s="111">
        <v>53</v>
      </c>
      <c r="I14" s="628">
        <f t="shared" si="3"/>
        <v>31901.839999999997</v>
      </c>
    </row>
    <row r="15" spans="1:9" x14ac:dyDescent="0.25">
      <c r="B15" s="2">
        <v>27.22</v>
      </c>
      <c r="C15" s="20">
        <v>5</v>
      </c>
      <c r="D15" s="109">
        <f t="shared" si="2"/>
        <v>136.1</v>
      </c>
      <c r="E15" s="158">
        <v>43399</v>
      </c>
      <c r="F15" s="109">
        <f t="shared" si="1"/>
        <v>136.1</v>
      </c>
      <c r="G15" s="110" t="s">
        <v>147</v>
      </c>
      <c r="H15" s="111">
        <v>53</v>
      </c>
      <c r="I15" s="628">
        <f t="shared" si="3"/>
        <v>31765.739999999998</v>
      </c>
    </row>
    <row r="16" spans="1:9" x14ac:dyDescent="0.25">
      <c r="B16" s="2">
        <v>27.22</v>
      </c>
      <c r="C16" s="20">
        <v>32</v>
      </c>
      <c r="D16" s="109">
        <f t="shared" si="2"/>
        <v>871.04</v>
      </c>
      <c r="E16" s="158">
        <v>43402</v>
      </c>
      <c r="F16" s="109">
        <f t="shared" si="1"/>
        <v>871.04</v>
      </c>
      <c r="G16" s="110" t="s">
        <v>151</v>
      </c>
      <c r="H16" s="111">
        <v>53</v>
      </c>
      <c r="I16" s="628">
        <f t="shared" si="3"/>
        <v>30894.699999999997</v>
      </c>
    </row>
    <row r="17" spans="1:9" x14ac:dyDescent="0.25">
      <c r="B17" s="2">
        <v>27.22</v>
      </c>
      <c r="C17" s="20">
        <v>10</v>
      </c>
      <c r="D17" s="109">
        <f t="shared" si="2"/>
        <v>272.2</v>
      </c>
      <c r="E17" s="158">
        <v>43402</v>
      </c>
      <c r="F17" s="109">
        <f t="shared" si="1"/>
        <v>272.2</v>
      </c>
      <c r="G17" s="110" t="s">
        <v>148</v>
      </c>
      <c r="H17" s="111">
        <v>53</v>
      </c>
      <c r="I17" s="628">
        <f t="shared" si="3"/>
        <v>30622.499999999996</v>
      </c>
    </row>
    <row r="18" spans="1:9" x14ac:dyDescent="0.25">
      <c r="B18" s="2">
        <v>27.22</v>
      </c>
      <c r="C18" s="707">
        <v>28</v>
      </c>
      <c r="D18" s="708">
        <f t="shared" si="2"/>
        <v>762.16</v>
      </c>
      <c r="E18" s="709">
        <v>43377</v>
      </c>
      <c r="F18" s="708">
        <f t="shared" si="1"/>
        <v>762.16</v>
      </c>
      <c r="G18" s="710" t="s">
        <v>153</v>
      </c>
      <c r="H18" s="711">
        <v>46</v>
      </c>
      <c r="I18" s="628">
        <f t="shared" si="3"/>
        <v>29860.339999999997</v>
      </c>
    </row>
    <row r="19" spans="1:9" x14ac:dyDescent="0.25">
      <c r="B19" s="2">
        <v>27.22</v>
      </c>
      <c r="C19" s="292">
        <v>32</v>
      </c>
      <c r="D19" s="717">
        <f t="shared" si="2"/>
        <v>871.04</v>
      </c>
      <c r="E19" s="718">
        <v>43405</v>
      </c>
      <c r="F19" s="635">
        <f t="shared" si="1"/>
        <v>871.04</v>
      </c>
      <c r="G19" s="719" t="s">
        <v>155</v>
      </c>
      <c r="H19" s="684">
        <v>53</v>
      </c>
      <c r="I19" s="628">
        <f t="shared" si="3"/>
        <v>28989.299999999996</v>
      </c>
    </row>
    <row r="20" spans="1:9" x14ac:dyDescent="0.25">
      <c r="B20" s="2">
        <v>27.22</v>
      </c>
      <c r="C20" s="292">
        <v>32</v>
      </c>
      <c r="D20" s="717">
        <f t="shared" si="2"/>
        <v>871.04</v>
      </c>
      <c r="E20" s="718">
        <v>43409</v>
      </c>
      <c r="F20" s="635">
        <f t="shared" si="1"/>
        <v>871.04</v>
      </c>
      <c r="G20" s="719" t="s">
        <v>165</v>
      </c>
      <c r="H20" s="684">
        <v>53</v>
      </c>
      <c r="I20" s="628">
        <f t="shared" si="3"/>
        <v>28118.259999999995</v>
      </c>
    </row>
    <row r="21" spans="1:9" x14ac:dyDescent="0.25">
      <c r="A21" t="s">
        <v>22</v>
      </c>
      <c r="B21" s="2">
        <v>27.22</v>
      </c>
      <c r="C21" s="20">
        <v>32</v>
      </c>
      <c r="D21" s="717">
        <f t="shared" si="2"/>
        <v>871.04</v>
      </c>
      <c r="E21" s="687">
        <v>43411</v>
      </c>
      <c r="F21" s="635">
        <f t="shared" si="1"/>
        <v>871.04</v>
      </c>
      <c r="G21" s="365" t="s">
        <v>167</v>
      </c>
      <c r="H21" s="214">
        <v>53</v>
      </c>
      <c r="I21" s="628">
        <f t="shared" si="3"/>
        <v>27247.219999999994</v>
      </c>
    </row>
    <row r="22" spans="1:9" x14ac:dyDescent="0.25">
      <c r="B22" s="2">
        <v>27.22</v>
      </c>
      <c r="C22" s="20">
        <v>32</v>
      </c>
      <c r="D22" s="635">
        <f t="shared" si="2"/>
        <v>871.04</v>
      </c>
      <c r="E22" s="720">
        <v>43413</v>
      </c>
      <c r="F22" s="635">
        <f t="shared" si="1"/>
        <v>871.04</v>
      </c>
      <c r="G22" s="365" t="s">
        <v>171</v>
      </c>
      <c r="H22" s="214">
        <v>53</v>
      </c>
      <c r="I22" s="628">
        <f t="shared" si="3"/>
        <v>26376.179999999993</v>
      </c>
    </row>
    <row r="23" spans="1:9" x14ac:dyDescent="0.25">
      <c r="B23" s="2">
        <v>27.22</v>
      </c>
      <c r="C23" s="20">
        <v>32</v>
      </c>
      <c r="D23" s="717">
        <f t="shared" si="2"/>
        <v>871.04</v>
      </c>
      <c r="E23" s="718">
        <v>43414</v>
      </c>
      <c r="F23" s="635">
        <f t="shared" si="1"/>
        <v>871.04</v>
      </c>
      <c r="G23" s="365" t="s">
        <v>169</v>
      </c>
      <c r="H23" s="214">
        <v>53</v>
      </c>
      <c r="I23" s="628">
        <f t="shared" si="3"/>
        <v>25505.139999999992</v>
      </c>
    </row>
    <row r="24" spans="1:9" x14ac:dyDescent="0.25">
      <c r="B24" s="2">
        <v>27.22</v>
      </c>
      <c r="C24" s="20">
        <v>32</v>
      </c>
      <c r="D24" s="635">
        <f t="shared" si="2"/>
        <v>871.04</v>
      </c>
      <c r="E24" s="720">
        <v>43418</v>
      </c>
      <c r="F24" s="635">
        <f t="shared" si="1"/>
        <v>871.04</v>
      </c>
      <c r="G24" s="365" t="s">
        <v>175</v>
      </c>
      <c r="H24" s="96">
        <v>57</v>
      </c>
      <c r="I24" s="628">
        <f t="shared" si="3"/>
        <v>24634.099999999991</v>
      </c>
    </row>
    <row r="25" spans="1:9" x14ac:dyDescent="0.25">
      <c r="B25" s="2">
        <v>27.22</v>
      </c>
      <c r="C25" s="20">
        <v>32</v>
      </c>
      <c r="D25" s="635">
        <f t="shared" si="2"/>
        <v>871.04</v>
      </c>
      <c r="E25" s="720">
        <v>43421</v>
      </c>
      <c r="F25" s="635">
        <f t="shared" si="1"/>
        <v>871.04</v>
      </c>
      <c r="G25" s="365" t="s">
        <v>178</v>
      </c>
      <c r="H25" s="96">
        <v>57</v>
      </c>
      <c r="I25" s="628">
        <f t="shared" si="3"/>
        <v>23763.05999999999</v>
      </c>
    </row>
    <row r="26" spans="1:9" x14ac:dyDescent="0.25">
      <c r="B26" s="2">
        <v>27.22</v>
      </c>
      <c r="C26" s="20">
        <v>32</v>
      </c>
      <c r="D26" s="635">
        <f t="shared" si="2"/>
        <v>871.04</v>
      </c>
      <c r="E26" s="720">
        <v>43421</v>
      </c>
      <c r="F26" s="635">
        <f t="shared" si="1"/>
        <v>871.04</v>
      </c>
      <c r="G26" s="365" t="s">
        <v>182</v>
      </c>
      <c r="H26" s="96">
        <v>57</v>
      </c>
      <c r="I26" s="628">
        <f t="shared" si="3"/>
        <v>22892.01999999999</v>
      </c>
    </row>
    <row r="27" spans="1:9" x14ac:dyDescent="0.25">
      <c r="B27" s="2">
        <v>27.22</v>
      </c>
      <c r="C27" s="20">
        <v>32</v>
      </c>
      <c r="D27" s="635">
        <f t="shared" si="2"/>
        <v>871.04</v>
      </c>
      <c r="E27" s="720">
        <v>43425</v>
      </c>
      <c r="F27" s="635">
        <f t="shared" si="1"/>
        <v>871.04</v>
      </c>
      <c r="G27" s="365" t="s">
        <v>188</v>
      </c>
      <c r="H27" s="96">
        <v>57</v>
      </c>
      <c r="I27" s="628">
        <f t="shared" si="3"/>
        <v>22020.979999999989</v>
      </c>
    </row>
    <row r="28" spans="1:9" x14ac:dyDescent="0.25">
      <c r="B28" s="2">
        <v>27.22</v>
      </c>
      <c r="C28" s="20">
        <v>40</v>
      </c>
      <c r="D28" s="635">
        <f t="shared" si="2"/>
        <v>1088.8</v>
      </c>
      <c r="E28" s="720">
        <v>43426</v>
      </c>
      <c r="F28" s="635">
        <f t="shared" si="1"/>
        <v>1088.8</v>
      </c>
      <c r="G28" s="365" t="s">
        <v>193</v>
      </c>
      <c r="H28" s="96">
        <v>57</v>
      </c>
      <c r="I28" s="628">
        <f t="shared" si="3"/>
        <v>20932.179999999989</v>
      </c>
    </row>
    <row r="29" spans="1:9" x14ac:dyDescent="0.25">
      <c r="B29" s="2">
        <v>27.22</v>
      </c>
      <c r="C29" s="20">
        <v>20</v>
      </c>
      <c r="D29" s="635">
        <f t="shared" si="2"/>
        <v>544.4</v>
      </c>
      <c r="E29" s="720">
        <v>43426</v>
      </c>
      <c r="F29" s="635">
        <f t="shared" si="1"/>
        <v>544.4</v>
      </c>
      <c r="G29" s="365" t="s">
        <v>194</v>
      </c>
      <c r="H29" s="96">
        <v>57</v>
      </c>
      <c r="I29" s="628">
        <f t="shared" si="3"/>
        <v>20387.779999999988</v>
      </c>
    </row>
    <row r="30" spans="1:9" x14ac:dyDescent="0.25">
      <c r="B30" s="2">
        <v>27.22</v>
      </c>
      <c r="C30" s="20">
        <v>22</v>
      </c>
      <c r="D30" s="635">
        <f t="shared" si="2"/>
        <v>598.83999999999992</v>
      </c>
      <c r="E30" s="720">
        <v>43427</v>
      </c>
      <c r="F30" s="635">
        <f t="shared" si="1"/>
        <v>598.83999999999992</v>
      </c>
      <c r="G30" s="365" t="s">
        <v>195</v>
      </c>
      <c r="H30" s="96">
        <v>57</v>
      </c>
      <c r="I30" s="628">
        <f t="shared" si="3"/>
        <v>19788.939999999988</v>
      </c>
    </row>
    <row r="31" spans="1:9" x14ac:dyDescent="0.25">
      <c r="B31" s="2">
        <v>27.22</v>
      </c>
      <c r="C31" s="20">
        <v>7</v>
      </c>
      <c r="D31" s="635">
        <f t="shared" si="2"/>
        <v>190.54</v>
      </c>
      <c r="E31" s="720">
        <v>43427</v>
      </c>
      <c r="F31" s="635">
        <f t="shared" si="1"/>
        <v>190.54</v>
      </c>
      <c r="G31" s="365" t="s">
        <v>195</v>
      </c>
      <c r="H31" s="96">
        <v>57</v>
      </c>
      <c r="I31" s="628">
        <f t="shared" si="3"/>
        <v>19598.399999999987</v>
      </c>
    </row>
    <row r="32" spans="1:9" x14ac:dyDescent="0.25">
      <c r="B32" s="2">
        <v>27.22</v>
      </c>
      <c r="C32" s="20">
        <v>36</v>
      </c>
      <c r="D32" s="635">
        <f t="shared" si="2"/>
        <v>979.92</v>
      </c>
      <c r="E32" s="720">
        <v>43430</v>
      </c>
      <c r="F32" s="635">
        <f t="shared" si="1"/>
        <v>979.92</v>
      </c>
      <c r="G32" s="365" t="s">
        <v>198</v>
      </c>
      <c r="H32" s="96">
        <v>57</v>
      </c>
      <c r="I32" s="628">
        <f t="shared" si="3"/>
        <v>18618.479999999989</v>
      </c>
    </row>
    <row r="33" spans="2:9" x14ac:dyDescent="0.25">
      <c r="B33" s="2">
        <v>27.22</v>
      </c>
      <c r="C33" s="20">
        <v>36</v>
      </c>
      <c r="D33" s="635">
        <f t="shared" si="2"/>
        <v>979.92</v>
      </c>
      <c r="E33" s="720">
        <v>43431</v>
      </c>
      <c r="F33" s="635">
        <f t="shared" si="1"/>
        <v>979.92</v>
      </c>
      <c r="G33" s="365" t="s">
        <v>200</v>
      </c>
      <c r="H33" s="96">
        <v>57</v>
      </c>
      <c r="I33" s="628">
        <f t="shared" si="3"/>
        <v>17638.55999999999</v>
      </c>
    </row>
    <row r="34" spans="2:9" x14ac:dyDescent="0.25">
      <c r="B34" s="2">
        <v>27.22</v>
      </c>
      <c r="C34" s="20">
        <v>10</v>
      </c>
      <c r="D34" s="635">
        <f t="shared" si="2"/>
        <v>272.2</v>
      </c>
      <c r="E34" s="720">
        <v>43431</v>
      </c>
      <c r="F34" s="635">
        <f t="shared" si="1"/>
        <v>272.2</v>
      </c>
      <c r="G34" s="365" t="s">
        <v>201</v>
      </c>
      <c r="H34" s="96">
        <v>57</v>
      </c>
      <c r="I34" s="628">
        <f t="shared" si="3"/>
        <v>17366.35999999999</v>
      </c>
    </row>
    <row r="35" spans="2:9" x14ac:dyDescent="0.25">
      <c r="B35" s="2">
        <v>27.22</v>
      </c>
      <c r="C35" s="20">
        <v>10</v>
      </c>
      <c r="D35" s="635">
        <f t="shared" si="2"/>
        <v>272.2</v>
      </c>
      <c r="E35" s="720">
        <v>43433</v>
      </c>
      <c r="F35" s="635">
        <f t="shared" si="1"/>
        <v>272.2</v>
      </c>
      <c r="G35" s="365" t="s">
        <v>205</v>
      </c>
      <c r="H35" s="96">
        <v>57</v>
      </c>
      <c r="I35" s="628">
        <f t="shared" si="3"/>
        <v>17094.159999999989</v>
      </c>
    </row>
    <row r="36" spans="2:9" x14ac:dyDescent="0.25">
      <c r="B36" s="2">
        <v>27.22</v>
      </c>
      <c r="C36" s="20">
        <v>36</v>
      </c>
      <c r="D36" s="693">
        <f t="shared" si="2"/>
        <v>979.92</v>
      </c>
      <c r="E36" s="745">
        <v>43435</v>
      </c>
      <c r="F36" s="693">
        <f t="shared" si="1"/>
        <v>979.92</v>
      </c>
      <c r="G36" s="694" t="s">
        <v>468</v>
      </c>
      <c r="H36" s="695">
        <v>57</v>
      </c>
      <c r="I36" s="628">
        <f t="shared" si="3"/>
        <v>16114.239999999989</v>
      </c>
    </row>
    <row r="37" spans="2:9" x14ac:dyDescent="0.25">
      <c r="B37" s="2">
        <v>27.22</v>
      </c>
      <c r="C37" s="20">
        <v>36</v>
      </c>
      <c r="D37" s="693">
        <f t="shared" si="2"/>
        <v>979.92</v>
      </c>
      <c r="E37" s="745">
        <v>43435</v>
      </c>
      <c r="F37" s="693">
        <f t="shared" si="1"/>
        <v>979.92</v>
      </c>
      <c r="G37" s="694" t="s">
        <v>469</v>
      </c>
      <c r="H37" s="695">
        <v>57</v>
      </c>
      <c r="I37" s="628">
        <f t="shared" si="3"/>
        <v>15134.319999999989</v>
      </c>
    </row>
    <row r="38" spans="2:9" x14ac:dyDescent="0.25">
      <c r="B38" s="2">
        <v>27.22</v>
      </c>
      <c r="C38" s="20">
        <v>36</v>
      </c>
      <c r="D38" s="693">
        <f t="shared" si="2"/>
        <v>979.92</v>
      </c>
      <c r="E38" s="745">
        <v>43440</v>
      </c>
      <c r="F38" s="693">
        <f t="shared" si="1"/>
        <v>979.92</v>
      </c>
      <c r="G38" s="694" t="s">
        <v>509</v>
      </c>
      <c r="H38" s="695">
        <v>57</v>
      </c>
      <c r="I38" s="628">
        <f t="shared" si="3"/>
        <v>14154.399999999989</v>
      </c>
    </row>
    <row r="39" spans="2:9" x14ac:dyDescent="0.25">
      <c r="B39" s="2">
        <v>27.22</v>
      </c>
      <c r="C39" s="20">
        <v>36</v>
      </c>
      <c r="D39" s="693">
        <f t="shared" si="2"/>
        <v>979.92</v>
      </c>
      <c r="E39" s="745">
        <v>43441</v>
      </c>
      <c r="F39" s="693">
        <f t="shared" si="1"/>
        <v>979.92</v>
      </c>
      <c r="G39" s="694" t="s">
        <v>503</v>
      </c>
      <c r="H39" s="695">
        <v>57</v>
      </c>
      <c r="I39" s="628">
        <f t="shared" si="3"/>
        <v>13174.479999999989</v>
      </c>
    </row>
    <row r="40" spans="2:9" x14ac:dyDescent="0.25">
      <c r="B40" s="2">
        <v>27.22</v>
      </c>
      <c r="C40" s="20">
        <v>36</v>
      </c>
      <c r="D40" s="693">
        <f t="shared" si="2"/>
        <v>979.92</v>
      </c>
      <c r="E40" s="745">
        <v>43441</v>
      </c>
      <c r="F40" s="693">
        <f t="shared" si="1"/>
        <v>979.92</v>
      </c>
      <c r="G40" s="694" t="s">
        <v>465</v>
      </c>
      <c r="H40" s="695">
        <v>57</v>
      </c>
      <c r="I40" s="628">
        <f t="shared" si="3"/>
        <v>12194.559999999989</v>
      </c>
    </row>
    <row r="41" spans="2:9" x14ac:dyDescent="0.25">
      <c r="B41" s="2">
        <v>27.22</v>
      </c>
      <c r="C41" s="20">
        <v>10</v>
      </c>
      <c r="D41" s="693">
        <f t="shared" si="2"/>
        <v>272.2</v>
      </c>
      <c r="E41" s="745">
        <v>43444</v>
      </c>
      <c r="F41" s="693">
        <f t="shared" si="1"/>
        <v>272.2</v>
      </c>
      <c r="G41" s="694" t="s">
        <v>479</v>
      </c>
      <c r="H41" s="695">
        <v>57</v>
      </c>
      <c r="I41" s="628">
        <f t="shared" si="3"/>
        <v>11922.359999999988</v>
      </c>
    </row>
    <row r="42" spans="2:9" x14ac:dyDescent="0.25">
      <c r="B42" s="2">
        <v>27.22</v>
      </c>
      <c r="C42" s="20">
        <v>36</v>
      </c>
      <c r="D42" s="693">
        <f t="shared" si="2"/>
        <v>979.92</v>
      </c>
      <c r="E42" s="745">
        <v>43445</v>
      </c>
      <c r="F42" s="693">
        <f t="shared" si="1"/>
        <v>979.92</v>
      </c>
      <c r="G42" s="694" t="s">
        <v>528</v>
      </c>
      <c r="H42" s="695">
        <v>57</v>
      </c>
      <c r="I42" s="628">
        <f t="shared" si="3"/>
        <v>10942.439999999988</v>
      </c>
    </row>
    <row r="43" spans="2:9" x14ac:dyDescent="0.25">
      <c r="B43" s="2">
        <v>27.22</v>
      </c>
      <c r="C43" s="20">
        <v>36</v>
      </c>
      <c r="D43" s="693">
        <f t="shared" si="2"/>
        <v>979.92</v>
      </c>
      <c r="E43" s="745">
        <v>43448</v>
      </c>
      <c r="F43" s="693">
        <f t="shared" si="1"/>
        <v>979.92</v>
      </c>
      <c r="G43" s="694" t="s">
        <v>548</v>
      </c>
      <c r="H43" s="695">
        <v>57</v>
      </c>
      <c r="I43" s="628">
        <f t="shared" si="3"/>
        <v>9962.5199999999877</v>
      </c>
    </row>
    <row r="44" spans="2:9" x14ac:dyDescent="0.25">
      <c r="B44" s="2">
        <v>27.22</v>
      </c>
      <c r="C44" s="20">
        <v>42</v>
      </c>
      <c r="D44" s="693">
        <f t="shared" si="2"/>
        <v>1143.24</v>
      </c>
      <c r="E44" s="745">
        <v>43450</v>
      </c>
      <c r="F44" s="693">
        <f t="shared" si="1"/>
        <v>1143.24</v>
      </c>
      <c r="G44" s="694" t="s">
        <v>558</v>
      </c>
      <c r="H44" s="695">
        <v>57</v>
      </c>
      <c r="I44" s="628">
        <f t="shared" si="3"/>
        <v>8819.2799999999879</v>
      </c>
    </row>
    <row r="45" spans="2:9" x14ac:dyDescent="0.25">
      <c r="B45" s="2">
        <v>27.22</v>
      </c>
      <c r="C45" s="20">
        <v>5</v>
      </c>
      <c r="D45" s="693">
        <f t="shared" si="2"/>
        <v>136.1</v>
      </c>
      <c r="E45" s="745">
        <v>43451</v>
      </c>
      <c r="F45" s="693">
        <f t="shared" si="1"/>
        <v>136.1</v>
      </c>
      <c r="G45" s="694" t="s">
        <v>569</v>
      </c>
      <c r="H45" s="695">
        <v>57</v>
      </c>
      <c r="I45" s="628">
        <f t="shared" si="3"/>
        <v>8683.1799999999876</v>
      </c>
    </row>
    <row r="46" spans="2:9" x14ac:dyDescent="0.25">
      <c r="B46" s="2">
        <v>27.22</v>
      </c>
      <c r="C46" s="20">
        <v>36</v>
      </c>
      <c r="D46" s="693">
        <f t="shared" si="2"/>
        <v>979.92</v>
      </c>
      <c r="E46" s="745">
        <v>43454</v>
      </c>
      <c r="F46" s="693">
        <f t="shared" ref="F46:F61" si="4">D46</f>
        <v>979.92</v>
      </c>
      <c r="G46" s="694" t="s">
        <v>590</v>
      </c>
      <c r="H46" s="695">
        <v>57</v>
      </c>
      <c r="I46" s="628">
        <f t="shared" si="3"/>
        <v>7703.2599999999875</v>
      </c>
    </row>
    <row r="47" spans="2:9" x14ac:dyDescent="0.25">
      <c r="B47" s="2">
        <v>27.22</v>
      </c>
      <c r="C47" s="20">
        <v>20</v>
      </c>
      <c r="D47" s="693">
        <f t="shared" si="2"/>
        <v>544.4</v>
      </c>
      <c r="E47" s="745">
        <v>43454</v>
      </c>
      <c r="F47" s="693">
        <f t="shared" si="4"/>
        <v>544.4</v>
      </c>
      <c r="G47" s="694" t="s">
        <v>594</v>
      </c>
      <c r="H47" s="695">
        <v>57</v>
      </c>
      <c r="I47" s="628">
        <f t="shared" si="3"/>
        <v>7158.8599999999878</v>
      </c>
    </row>
    <row r="48" spans="2:9" x14ac:dyDescent="0.25">
      <c r="B48" s="2">
        <v>27.22</v>
      </c>
      <c r="C48" s="20">
        <v>10</v>
      </c>
      <c r="D48" s="693">
        <f t="shared" si="2"/>
        <v>272.2</v>
      </c>
      <c r="E48" s="745">
        <v>43454</v>
      </c>
      <c r="F48" s="693">
        <f t="shared" si="4"/>
        <v>272.2</v>
      </c>
      <c r="G48" s="694" t="s">
        <v>562</v>
      </c>
      <c r="H48" s="695">
        <v>57</v>
      </c>
      <c r="I48" s="628">
        <f t="shared" si="3"/>
        <v>6886.659999999988</v>
      </c>
    </row>
    <row r="49" spans="1:9" x14ac:dyDescent="0.25">
      <c r="B49" s="2">
        <v>27.22</v>
      </c>
      <c r="C49" s="20">
        <v>10</v>
      </c>
      <c r="D49" s="693">
        <f t="shared" si="2"/>
        <v>272.2</v>
      </c>
      <c r="E49" s="745">
        <v>43456</v>
      </c>
      <c r="F49" s="693">
        <f t="shared" si="4"/>
        <v>272.2</v>
      </c>
      <c r="G49" s="694" t="s">
        <v>610</v>
      </c>
      <c r="H49" s="695">
        <v>57</v>
      </c>
      <c r="I49" s="628">
        <f t="shared" si="3"/>
        <v>6614.4599999999882</v>
      </c>
    </row>
    <row r="50" spans="1:9" x14ac:dyDescent="0.25">
      <c r="B50" s="2">
        <v>27.22</v>
      </c>
      <c r="C50" s="20">
        <v>36</v>
      </c>
      <c r="D50" s="693">
        <f t="shared" si="2"/>
        <v>979.92</v>
      </c>
      <c r="E50" s="745">
        <v>43456</v>
      </c>
      <c r="F50" s="693">
        <f t="shared" si="4"/>
        <v>979.92</v>
      </c>
      <c r="G50" s="694" t="s">
        <v>611</v>
      </c>
      <c r="H50" s="695">
        <v>57</v>
      </c>
      <c r="I50" s="628">
        <f t="shared" si="3"/>
        <v>5634.5399999999881</v>
      </c>
    </row>
    <row r="51" spans="1:9" x14ac:dyDescent="0.25">
      <c r="B51" s="2">
        <v>27.22</v>
      </c>
      <c r="C51" s="20">
        <v>36</v>
      </c>
      <c r="D51" s="693">
        <f t="shared" si="2"/>
        <v>979.92</v>
      </c>
      <c r="E51" s="745">
        <v>43460</v>
      </c>
      <c r="F51" s="693">
        <f t="shared" si="4"/>
        <v>979.92</v>
      </c>
      <c r="G51" s="694" t="s">
        <v>634</v>
      </c>
      <c r="H51" s="695">
        <v>57</v>
      </c>
      <c r="I51" s="628">
        <f t="shared" si="3"/>
        <v>4654.6199999999881</v>
      </c>
    </row>
    <row r="52" spans="1:9" x14ac:dyDescent="0.25">
      <c r="B52" s="2">
        <v>27.22</v>
      </c>
      <c r="C52" s="20">
        <v>5</v>
      </c>
      <c r="D52" s="693">
        <f t="shared" si="2"/>
        <v>136.1</v>
      </c>
      <c r="E52" s="745">
        <v>43460</v>
      </c>
      <c r="F52" s="693">
        <f t="shared" si="4"/>
        <v>136.1</v>
      </c>
      <c r="G52" s="694" t="s">
        <v>635</v>
      </c>
      <c r="H52" s="695">
        <v>57</v>
      </c>
      <c r="I52" s="628">
        <f t="shared" si="3"/>
        <v>4518.5199999999877</v>
      </c>
    </row>
    <row r="53" spans="1:9" x14ac:dyDescent="0.25">
      <c r="B53" s="2">
        <v>27.22</v>
      </c>
      <c r="C53" s="20">
        <v>2</v>
      </c>
      <c r="D53" s="693">
        <f t="shared" si="2"/>
        <v>54.44</v>
      </c>
      <c r="E53" s="745">
        <v>43460</v>
      </c>
      <c r="F53" s="693">
        <f t="shared" si="4"/>
        <v>54.44</v>
      </c>
      <c r="G53" s="694" t="s">
        <v>638</v>
      </c>
      <c r="H53" s="695">
        <v>57</v>
      </c>
      <c r="I53" s="628">
        <f t="shared" si="3"/>
        <v>4464.0799999999881</v>
      </c>
    </row>
    <row r="54" spans="1:9" x14ac:dyDescent="0.25">
      <c r="B54" s="2">
        <v>27.22</v>
      </c>
      <c r="C54" s="20">
        <v>20</v>
      </c>
      <c r="D54" s="693">
        <f t="shared" si="2"/>
        <v>544.4</v>
      </c>
      <c r="E54" s="745">
        <v>43461</v>
      </c>
      <c r="F54" s="693">
        <f t="shared" si="4"/>
        <v>544.4</v>
      </c>
      <c r="G54" s="694" t="s">
        <v>647</v>
      </c>
      <c r="H54" s="695">
        <v>57</v>
      </c>
      <c r="I54" s="628">
        <f t="shared" si="3"/>
        <v>3919.679999999988</v>
      </c>
    </row>
    <row r="55" spans="1:9" x14ac:dyDescent="0.25">
      <c r="B55" s="2">
        <v>27.22</v>
      </c>
      <c r="C55" s="20">
        <v>5</v>
      </c>
      <c r="D55" s="693">
        <f t="shared" si="2"/>
        <v>136.1</v>
      </c>
      <c r="E55" s="745">
        <v>43462</v>
      </c>
      <c r="F55" s="693">
        <f t="shared" si="4"/>
        <v>136.1</v>
      </c>
      <c r="G55" s="694" t="s">
        <v>659</v>
      </c>
      <c r="H55" s="695">
        <v>57</v>
      </c>
      <c r="I55" s="628">
        <f t="shared" si="3"/>
        <v>3783.5799999999881</v>
      </c>
    </row>
    <row r="56" spans="1:9" x14ac:dyDescent="0.25">
      <c r="B56" s="2">
        <v>27.22</v>
      </c>
      <c r="C56" s="20">
        <v>15</v>
      </c>
      <c r="D56" s="693">
        <f t="shared" si="2"/>
        <v>408.29999999999995</v>
      </c>
      <c r="E56" s="745">
        <v>43462</v>
      </c>
      <c r="F56" s="693">
        <f t="shared" si="4"/>
        <v>408.29999999999995</v>
      </c>
      <c r="G56" s="694" t="s">
        <v>661</v>
      </c>
      <c r="H56" s="695">
        <v>57</v>
      </c>
      <c r="I56" s="628">
        <f t="shared" si="3"/>
        <v>3375.2799999999879</v>
      </c>
    </row>
    <row r="57" spans="1:9" x14ac:dyDescent="0.25">
      <c r="B57" s="2">
        <v>27.22</v>
      </c>
      <c r="C57" s="20">
        <v>36</v>
      </c>
      <c r="D57" s="693">
        <f t="shared" si="2"/>
        <v>979.92</v>
      </c>
      <c r="E57" s="745">
        <v>43463</v>
      </c>
      <c r="F57" s="693">
        <f t="shared" si="4"/>
        <v>979.92</v>
      </c>
      <c r="G57" s="694" t="s">
        <v>663</v>
      </c>
      <c r="H57" s="695">
        <v>57</v>
      </c>
      <c r="I57" s="628">
        <f t="shared" si="3"/>
        <v>2395.3599999999878</v>
      </c>
    </row>
    <row r="58" spans="1:9" x14ac:dyDescent="0.25">
      <c r="B58" s="2">
        <v>27.22</v>
      </c>
      <c r="C58" s="20">
        <v>36</v>
      </c>
      <c r="D58" s="693">
        <f t="shared" si="2"/>
        <v>979.92</v>
      </c>
      <c r="E58" s="746">
        <v>43463</v>
      </c>
      <c r="F58" s="693">
        <f t="shared" si="4"/>
        <v>979.92</v>
      </c>
      <c r="G58" s="724" t="s">
        <v>668</v>
      </c>
      <c r="H58" s="725">
        <v>57</v>
      </c>
      <c r="I58" s="628">
        <f t="shared" si="3"/>
        <v>1415.4399999999878</v>
      </c>
    </row>
    <row r="59" spans="1:9" ht="15.75" thickBot="1" x14ac:dyDescent="0.3">
      <c r="A59" s="227"/>
      <c r="B59" s="2">
        <v>27.22</v>
      </c>
      <c r="C59" s="20">
        <v>36</v>
      </c>
      <c r="D59" s="693">
        <f t="shared" si="2"/>
        <v>979.92</v>
      </c>
      <c r="E59" s="746">
        <v>43465</v>
      </c>
      <c r="F59" s="693">
        <f t="shared" si="4"/>
        <v>979.92</v>
      </c>
      <c r="G59" s="724" t="s">
        <v>678</v>
      </c>
      <c r="H59" s="725">
        <v>57</v>
      </c>
      <c r="I59" s="628">
        <f t="shared" si="3"/>
        <v>435.51999999998782</v>
      </c>
    </row>
    <row r="60" spans="1:9" ht="15.75" thickTop="1" x14ac:dyDescent="0.25">
      <c r="A60">
        <f>SUM(A58:A59)</f>
        <v>0</v>
      </c>
      <c r="B60" s="2">
        <v>27.22</v>
      </c>
      <c r="C60" s="20"/>
      <c r="D60" s="109">
        <f t="shared" si="2"/>
        <v>0</v>
      </c>
      <c r="E60" s="625"/>
      <c r="F60" s="109">
        <f t="shared" si="4"/>
        <v>0</v>
      </c>
      <c r="G60" s="409"/>
      <c r="H60" s="408"/>
      <c r="I60" s="628">
        <f t="shared" si="3"/>
        <v>435.51999999998782</v>
      </c>
    </row>
    <row r="61" spans="1:9" ht="15.75" thickBot="1" x14ac:dyDescent="0.3">
      <c r="B61" s="2">
        <v>27.22</v>
      </c>
      <c r="C61" s="47"/>
      <c r="D61" s="307">
        <f t="shared" si="2"/>
        <v>0</v>
      </c>
      <c r="E61" s="453"/>
      <c r="F61" s="307">
        <f t="shared" si="4"/>
        <v>0</v>
      </c>
      <c r="G61" s="536"/>
      <c r="H61" s="408"/>
    </row>
    <row r="62" spans="1:9" x14ac:dyDescent="0.25">
      <c r="C62" s="79">
        <f>SUM(C8:C61)</f>
        <v>1412</v>
      </c>
      <c r="D62" s="9">
        <f>SUM(D8:D61)</f>
        <v>38434.639999999992</v>
      </c>
      <c r="F62" s="9">
        <f>SUM(F8:F61)</f>
        <v>38434.639999999992</v>
      </c>
    </row>
    <row r="64" spans="1:9" ht="15.75" thickBot="1" x14ac:dyDescent="0.3"/>
    <row r="65" spans="3:8" ht="15.75" thickBot="1" x14ac:dyDescent="0.3">
      <c r="D65" s="61" t="s">
        <v>4</v>
      </c>
      <c r="E65" s="90">
        <f>F5-C62+F4+F6</f>
        <v>16</v>
      </c>
    </row>
    <row r="66" spans="3:8" ht="15.75" thickBot="1" x14ac:dyDescent="0.3"/>
    <row r="67" spans="3:8" ht="15.75" thickBot="1" x14ac:dyDescent="0.3">
      <c r="C67" s="854" t="s">
        <v>11</v>
      </c>
      <c r="D67" s="855"/>
      <c r="E67" s="92">
        <f>E4+E5+E6-F62</f>
        <v>435.52000000001135</v>
      </c>
      <c r="G67" s="160"/>
      <c r="H67" s="166"/>
    </row>
  </sheetData>
  <mergeCells count="3"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K1" workbookViewId="0">
      <pane ySplit="8" topLeftCell="A48" activePane="bottomLeft" state="frozen"/>
      <selection pane="bottomLeft" activeCell="L17" sqref="L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53" t="s">
        <v>215</v>
      </c>
      <c r="B1" s="853"/>
      <c r="C1" s="853"/>
      <c r="D1" s="853"/>
      <c r="E1" s="853"/>
      <c r="F1" s="853"/>
      <c r="G1" s="853"/>
      <c r="H1" s="14">
        <v>1</v>
      </c>
      <c r="K1" s="853" t="str">
        <f>A1</f>
        <v>INVENTARIO     DEL MES DE     NOVIEMBRE     2018</v>
      </c>
      <c r="L1" s="853"/>
      <c r="M1" s="853"/>
      <c r="N1" s="853"/>
      <c r="O1" s="853"/>
      <c r="P1" s="853"/>
      <c r="Q1" s="853"/>
      <c r="R1" s="14">
        <v>1</v>
      </c>
    </row>
    <row r="2" spans="1:19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5.75" thickTop="1" x14ac:dyDescent="0.25">
      <c r="A4" s="16"/>
      <c r="B4" s="156" t="s">
        <v>42</v>
      </c>
      <c r="C4" s="318"/>
      <c r="D4" s="262"/>
      <c r="E4" s="234">
        <v>2.64</v>
      </c>
      <c r="F4" s="169"/>
      <c r="G4" s="119"/>
      <c r="H4" s="16"/>
      <c r="K4" s="16"/>
      <c r="L4" s="156" t="s">
        <v>42</v>
      </c>
      <c r="M4" s="318"/>
      <c r="N4" s="262"/>
      <c r="O4" s="234"/>
      <c r="P4" s="169"/>
      <c r="Q4" s="119"/>
      <c r="R4" s="16"/>
    </row>
    <row r="5" spans="1:19" ht="15.75" customHeight="1" x14ac:dyDescent="0.25">
      <c r="A5" s="59" t="s">
        <v>92</v>
      </c>
      <c r="B5" s="702" t="s">
        <v>140</v>
      </c>
      <c r="C5" s="185">
        <v>95</v>
      </c>
      <c r="D5" s="262">
        <v>43386</v>
      </c>
      <c r="E5" s="234">
        <v>4993.72</v>
      </c>
      <c r="F5" s="169">
        <v>258</v>
      </c>
      <c r="G5" s="791">
        <f>F55</f>
        <v>4996.3600000000006</v>
      </c>
      <c r="H5" s="10">
        <f>E5-G5+E4+E6+E7</f>
        <v>-3.2729374765949615E-13</v>
      </c>
      <c r="K5" s="59" t="s">
        <v>160</v>
      </c>
      <c r="L5" s="702" t="s">
        <v>140</v>
      </c>
      <c r="M5" s="185">
        <v>95.5</v>
      </c>
      <c r="N5" s="262">
        <v>43430</v>
      </c>
      <c r="O5" s="234">
        <v>4989.76</v>
      </c>
      <c r="P5" s="169">
        <v>236</v>
      </c>
      <c r="Q5" s="173">
        <f>P55</f>
        <v>4698.9800000000005</v>
      </c>
      <c r="R5" s="10">
        <f>O5-Q5+O4+O6+O7</f>
        <v>290.77999999999975</v>
      </c>
    </row>
    <row r="6" spans="1:19" x14ac:dyDescent="0.25">
      <c r="A6" s="16" t="s">
        <v>93</v>
      </c>
      <c r="B6" s="169"/>
      <c r="C6" s="185"/>
      <c r="D6" s="313"/>
      <c r="E6" s="192"/>
      <c r="F6" s="119"/>
      <c r="G6" s="792"/>
      <c r="K6" s="16"/>
      <c r="L6" s="169"/>
      <c r="M6" s="185"/>
      <c r="N6" s="313"/>
      <c r="O6" s="192"/>
      <c r="P6" s="119"/>
      <c r="Q6" s="16"/>
    </row>
    <row r="7" spans="1:19" ht="15.75" thickBot="1" x14ac:dyDescent="0.3">
      <c r="A7" s="16"/>
      <c r="B7" s="169"/>
      <c r="C7" s="185"/>
      <c r="D7" s="313"/>
      <c r="E7" s="192"/>
      <c r="F7" s="119"/>
      <c r="G7" s="792"/>
      <c r="K7" s="16"/>
      <c r="L7" s="169"/>
      <c r="M7" s="185"/>
      <c r="N7" s="313"/>
      <c r="O7" s="192"/>
      <c r="P7" s="119"/>
      <c r="Q7" s="16"/>
    </row>
    <row r="8" spans="1:1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19" ht="15.75" thickTop="1" x14ac:dyDescent="0.25">
      <c r="A9" s="89" t="s">
        <v>32</v>
      </c>
      <c r="B9" s="461">
        <f>F5-C9</f>
        <v>248</v>
      </c>
      <c r="C9" s="20">
        <v>10</v>
      </c>
      <c r="D9" s="109">
        <v>221.96</v>
      </c>
      <c r="E9" s="158">
        <v>43399</v>
      </c>
      <c r="F9" s="109">
        <f t="shared" ref="F9:F54" si="0">D9</f>
        <v>221.96</v>
      </c>
      <c r="G9" s="110" t="s">
        <v>146</v>
      </c>
      <c r="H9" s="111">
        <v>105</v>
      </c>
      <c r="I9" s="582">
        <f>E6+E5+E4-F9+E7</f>
        <v>4774.4000000000005</v>
      </c>
      <c r="K9" s="89" t="s">
        <v>32</v>
      </c>
      <c r="L9" s="194"/>
      <c r="M9" s="20">
        <v>15</v>
      </c>
      <c r="N9" s="488">
        <v>320.89999999999998</v>
      </c>
      <c r="O9" s="781">
        <v>43440</v>
      </c>
      <c r="P9" s="488">
        <f t="shared" ref="P9:P10" si="1">N9</f>
        <v>320.89999999999998</v>
      </c>
      <c r="Q9" s="743" t="s">
        <v>488</v>
      </c>
      <c r="R9" s="489">
        <v>105</v>
      </c>
      <c r="S9" s="582">
        <f>O6+O5+O4-P9+O7</f>
        <v>4668.8600000000006</v>
      </c>
    </row>
    <row r="10" spans="1:19" x14ac:dyDescent="0.25">
      <c r="A10" s="145"/>
      <c r="B10" s="461">
        <f>B9-C10</f>
        <v>246</v>
      </c>
      <c r="C10" s="20">
        <v>2</v>
      </c>
      <c r="D10" s="109">
        <v>43.14</v>
      </c>
      <c r="E10" s="158">
        <v>43402</v>
      </c>
      <c r="F10" s="109">
        <f t="shared" si="0"/>
        <v>43.14</v>
      </c>
      <c r="G10" s="110" t="s">
        <v>148</v>
      </c>
      <c r="H10" s="111">
        <v>105</v>
      </c>
      <c r="I10" s="582">
        <f>I9-F10</f>
        <v>4731.26</v>
      </c>
      <c r="K10" s="145"/>
      <c r="L10" s="194"/>
      <c r="M10" s="20">
        <v>30</v>
      </c>
      <c r="N10" s="488">
        <v>593.82000000000005</v>
      </c>
      <c r="O10" s="781">
        <v>43442</v>
      </c>
      <c r="P10" s="488">
        <f t="shared" si="1"/>
        <v>593.82000000000005</v>
      </c>
      <c r="Q10" s="743" t="s">
        <v>522</v>
      </c>
      <c r="R10" s="489">
        <v>105</v>
      </c>
      <c r="S10" s="582">
        <f>S9-P10</f>
        <v>4075.0400000000004</v>
      </c>
    </row>
    <row r="11" spans="1:19" x14ac:dyDescent="0.25">
      <c r="A11" s="15"/>
      <c r="B11" s="461">
        <f t="shared" ref="B11:B52" si="2">B10-C11</f>
        <v>238</v>
      </c>
      <c r="C11" s="20">
        <v>8</v>
      </c>
      <c r="D11" s="635">
        <v>166.74</v>
      </c>
      <c r="E11" s="720">
        <v>43406</v>
      </c>
      <c r="F11" s="635">
        <f t="shared" si="0"/>
        <v>166.74</v>
      </c>
      <c r="G11" s="365" t="s">
        <v>161</v>
      </c>
      <c r="H11" s="214">
        <v>105</v>
      </c>
      <c r="I11" s="582">
        <f t="shared" ref="I11:I54" si="3">I10-F11</f>
        <v>4564.5200000000004</v>
      </c>
      <c r="K11" s="15"/>
      <c r="L11" s="194"/>
      <c r="M11" s="20">
        <v>15</v>
      </c>
      <c r="N11" s="488">
        <v>338.64</v>
      </c>
      <c r="O11" s="781">
        <v>43444</v>
      </c>
      <c r="P11" s="488">
        <f t="shared" ref="P11:P54" si="4">N11</f>
        <v>338.64</v>
      </c>
      <c r="Q11" s="743" t="s">
        <v>491</v>
      </c>
      <c r="R11" s="489">
        <v>105</v>
      </c>
      <c r="S11" s="582">
        <f t="shared" ref="S11:S54" si="5">S10-P11</f>
        <v>3736.4000000000005</v>
      </c>
    </row>
    <row r="12" spans="1:19" x14ac:dyDescent="0.25">
      <c r="A12" s="141" t="s">
        <v>33</v>
      </c>
      <c r="B12" s="461">
        <f t="shared" si="2"/>
        <v>228</v>
      </c>
      <c r="C12" s="20">
        <v>10</v>
      </c>
      <c r="D12" s="635">
        <v>219.12</v>
      </c>
      <c r="E12" s="720">
        <v>43409</v>
      </c>
      <c r="F12" s="635">
        <f t="shared" si="0"/>
        <v>219.12</v>
      </c>
      <c r="G12" s="365" t="s">
        <v>164</v>
      </c>
      <c r="H12" s="214">
        <v>105</v>
      </c>
      <c r="I12" s="582">
        <f t="shared" si="3"/>
        <v>4345.4000000000005</v>
      </c>
      <c r="K12" s="141" t="s">
        <v>33</v>
      </c>
      <c r="L12" s="199"/>
      <c r="M12" s="20">
        <v>30</v>
      </c>
      <c r="N12" s="488">
        <v>663.22</v>
      </c>
      <c r="O12" s="781">
        <v>43445</v>
      </c>
      <c r="P12" s="488">
        <f t="shared" si="4"/>
        <v>663.22</v>
      </c>
      <c r="Q12" s="743" t="s">
        <v>528</v>
      </c>
      <c r="R12" s="489">
        <v>105</v>
      </c>
      <c r="S12" s="582">
        <f t="shared" si="5"/>
        <v>3073.1800000000003</v>
      </c>
    </row>
    <row r="13" spans="1:19" x14ac:dyDescent="0.25">
      <c r="A13" s="146"/>
      <c r="B13" s="461">
        <f t="shared" si="2"/>
        <v>198</v>
      </c>
      <c r="C13" s="20">
        <v>30</v>
      </c>
      <c r="D13" s="635">
        <v>626.29999999999995</v>
      </c>
      <c r="E13" s="720">
        <v>43409</v>
      </c>
      <c r="F13" s="635">
        <f t="shared" si="0"/>
        <v>626.29999999999995</v>
      </c>
      <c r="G13" s="365" t="s">
        <v>165</v>
      </c>
      <c r="H13" s="214">
        <v>105</v>
      </c>
      <c r="I13" s="582">
        <f t="shared" si="3"/>
        <v>3719.1000000000004</v>
      </c>
      <c r="K13" s="146"/>
      <c r="L13" s="199"/>
      <c r="M13" s="20">
        <v>30</v>
      </c>
      <c r="N13" s="488">
        <v>632.70000000000005</v>
      </c>
      <c r="O13" s="781">
        <v>43450</v>
      </c>
      <c r="P13" s="488">
        <f t="shared" si="4"/>
        <v>632.70000000000005</v>
      </c>
      <c r="Q13" s="743" t="s">
        <v>558</v>
      </c>
      <c r="R13" s="489">
        <v>105</v>
      </c>
      <c r="S13" s="582">
        <f t="shared" si="5"/>
        <v>2440.4800000000005</v>
      </c>
    </row>
    <row r="14" spans="1:19" x14ac:dyDescent="0.25">
      <c r="A14" s="114"/>
      <c r="B14" s="461">
        <f t="shared" si="2"/>
        <v>168</v>
      </c>
      <c r="C14" s="20">
        <v>30</v>
      </c>
      <c r="D14" s="635">
        <v>634.08000000000004</v>
      </c>
      <c r="E14" s="720">
        <v>43418</v>
      </c>
      <c r="F14" s="635">
        <f t="shared" si="0"/>
        <v>634.08000000000004</v>
      </c>
      <c r="G14" s="365" t="s">
        <v>175</v>
      </c>
      <c r="H14" s="214">
        <v>105</v>
      </c>
      <c r="I14" s="582">
        <f t="shared" si="3"/>
        <v>3085.0200000000004</v>
      </c>
      <c r="K14" s="114"/>
      <c r="L14" s="199"/>
      <c r="M14" s="20">
        <v>10</v>
      </c>
      <c r="N14" s="488">
        <v>207</v>
      </c>
      <c r="O14" s="781">
        <v>43455</v>
      </c>
      <c r="P14" s="488">
        <f t="shared" si="4"/>
        <v>207</v>
      </c>
      <c r="Q14" s="743" t="s">
        <v>606</v>
      </c>
      <c r="R14" s="489">
        <v>105</v>
      </c>
      <c r="S14" s="582">
        <f t="shared" si="5"/>
        <v>2233.4800000000005</v>
      </c>
    </row>
    <row r="15" spans="1:19" x14ac:dyDescent="0.25">
      <c r="A15" s="59"/>
      <c r="B15" s="461">
        <f t="shared" si="2"/>
        <v>128</v>
      </c>
      <c r="C15" s="255">
        <v>40</v>
      </c>
      <c r="D15" s="635">
        <v>874.9</v>
      </c>
      <c r="E15" s="720">
        <v>43420</v>
      </c>
      <c r="F15" s="635">
        <f t="shared" si="0"/>
        <v>874.9</v>
      </c>
      <c r="G15" s="365" t="s">
        <v>177</v>
      </c>
      <c r="H15" s="214">
        <v>105</v>
      </c>
      <c r="I15" s="582">
        <f t="shared" si="3"/>
        <v>2210.1200000000003</v>
      </c>
      <c r="K15" s="59"/>
      <c r="L15" s="199"/>
      <c r="M15" s="255">
        <v>2</v>
      </c>
      <c r="N15" s="488">
        <v>44.98</v>
      </c>
      <c r="O15" s="781">
        <v>43456</v>
      </c>
      <c r="P15" s="488">
        <f t="shared" si="4"/>
        <v>44.98</v>
      </c>
      <c r="Q15" s="743" t="s">
        <v>610</v>
      </c>
      <c r="R15" s="489">
        <v>105</v>
      </c>
      <c r="S15" s="582">
        <f t="shared" si="5"/>
        <v>2188.5000000000005</v>
      </c>
    </row>
    <row r="16" spans="1:19" x14ac:dyDescent="0.25">
      <c r="B16" s="461">
        <f t="shared" si="2"/>
        <v>118</v>
      </c>
      <c r="C16" s="20">
        <v>10</v>
      </c>
      <c r="D16" s="635">
        <v>226.4</v>
      </c>
      <c r="E16" s="720">
        <v>43421</v>
      </c>
      <c r="F16" s="635">
        <f t="shared" si="0"/>
        <v>226.4</v>
      </c>
      <c r="G16" s="365" t="s">
        <v>180</v>
      </c>
      <c r="H16" s="214">
        <v>105</v>
      </c>
      <c r="I16" s="582">
        <f t="shared" si="3"/>
        <v>1983.7200000000003</v>
      </c>
      <c r="L16" s="284"/>
      <c r="M16" s="20">
        <v>20</v>
      </c>
      <c r="N16" s="488">
        <v>401.82</v>
      </c>
      <c r="O16" s="781">
        <v>43457</v>
      </c>
      <c r="P16" s="488">
        <f t="shared" si="4"/>
        <v>401.82</v>
      </c>
      <c r="Q16" s="743" t="s">
        <v>624</v>
      </c>
      <c r="R16" s="489">
        <v>105</v>
      </c>
      <c r="S16" s="582">
        <f t="shared" si="5"/>
        <v>1786.6800000000005</v>
      </c>
    </row>
    <row r="17" spans="2:19" x14ac:dyDescent="0.25">
      <c r="B17" s="461">
        <f t="shared" si="2"/>
        <v>108</v>
      </c>
      <c r="C17" s="20">
        <v>10</v>
      </c>
      <c r="D17" s="635">
        <v>223.78</v>
      </c>
      <c r="E17" s="720">
        <v>43426</v>
      </c>
      <c r="F17" s="635">
        <f t="shared" si="0"/>
        <v>223.78</v>
      </c>
      <c r="G17" s="365" t="s">
        <v>189</v>
      </c>
      <c r="H17" s="214">
        <v>105</v>
      </c>
      <c r="I17" s="582">
        <f t="shared" si="3"/>
        <v>1759.9400000000003</v>
      </c>
      <c r="L17" s="284"/>
      <c r="M17" s="20">
        <v>10</v>
      </c>
      <c r="N17" s="488">
        <v>194.24</v>
      </c>
      <c r="O17" s="781">
        <v>43460</v>
      </c>
      <c r="P17" s="488">
        <f t="shared" si="4"/>
        <v>194.24</v>
      </c>
      <c r="Q17" s="743" t="s">
        <v>634</v>
      </c>
      <c r="R17" s="489">
        <v>105</v>
      </c>
      <c r="S17" s="582">
        <f t="shared" si="5"/>
        <v>1592.4400000000005</v>
      </c>
    </row>
    <row r="18" spans="2:19" x14ac:dyDescent="0.25">
      <c r="B18" s="461">
        <f t="shared" si="2"/>
        <v>76</v>
      </c>
      <c r="C18" s="255">
        <v>32</v>
      </c>
      <c r="D18" s="635">
        <v>690.1</v>
      </c>
      <c r="E18" s="720">
        <v>43426</v>
      </c>
      <c r="F18" s="635">
        <f t="shared" si="0"/>
        <v>690.1</v>
      </c>
      <c r="G18" s="365" t="s">
        <v>193</v>
      </c>
      <c r="H18" s="214">
        <v>105</v>
      </c>
      <c r="I18" s="582">
        <f t="shared" si="3"/>
        <v>1069.8400000000001</v>
      </c>
      <c r="L18" s="251"/>
      <c r="M18" s="255">
        <v>10</v>
      </c>
      <c r="N18" s="488">
        <v>190.16</v>
      </c>
      <c r="O18" s="781">
        <v>43462</v>
      </c>
      <c r="P18" s="488">
        <f t="shared" si="4"/>
        <v>190.16</v>
      </c>
      <c r="Q18" s="743" t="s">
        <v>643</v>
      </c>
      <c r="R18" s="489">
        <v>105</v>
      </c>
      <c r="S18" s="582">
        <f t="shared" si="5"/>
        <v>1402.2800000000004</v>
      </c>
    </row>
    <row r="19" spans="2:19" x14ac:dyDescent="0.25">
      <c r="B19" s="461">
        <f t="shared" si="2"/>
        <v>68</v>
      </c>
      <c r="C19" s="20">
        <v>8</v>
      </c>
      <c r="D19" s="635">
        <v>108.04</v>
      </c>
      <c r="E19" s="720">
        <v>43430</v>
      </c>
      <c r="F19" s="635">
        <f t="shared" si="0"/>
        <v>108.04</v>
      </c>
      <c r="G19" s="365" t="s">
        <v>198</v>
      </c>
      <c r="H19" s="214">
        <v>105</v>
      </c>
      <c r="I19" s="582">
        <f t="shared" si="3"/>
        <v>961.80000000000018</v>
      </c>
      <c r="L19" s="251"/>
      <c r="M19" s="20">
        <v>10</v>
      </c>
      <c r="N19" s="488">
        <v>229.45</v>
      </c>
      <c r="O19" s="781">
        <v>43463</v>
      </c>
      <c r="P19" s="488">
        <f t="shared" si="4"/>
        <v>229.45</v>
      </c>
      <c r="Q19" s="743" t="s">
        <v>672</v>
      </c>
      <c r="R19" s="489">
        <v>105</v>
      </c>
      <c r="S19" s="582">
        <f t="shared" si="5"/>
        <v>1172.8300000000004</v>
      </c>
    </row>
    <row r="20" spans="2:19" x14ac:dyDescent="0.25">
      <c r="B20" s="461">
        <f t="shared" si="2"/>
        <v>60</v>
      </c>
      <c r="C20" s="20">
        <v>8</v>
      </c>
      <c r="D20" s="635">
        <v>109.26</v>
      </c>
      <c r="E20" s="720">
        <v>43434</v>
      </c>
      <c r="F20" s="635">
        <f t="shared" si="0"/>
        <v>109.26</v>
      </c>
      <c r="G20" s="365" t="s">
        <v>206</v>
      </c>
      <c r="H20" s="214">
        <v>105</v>
      </c>
      <c r="I20" s="582">
        <f t="shared" si="3"/>
        <v>852.54000000000019</v>
      </c>
      <c r="L20" s="199"/>
      <c r="M20" s="20">
        <v>20</v>
      </c>
      <c r="N20" s="488">
        <v>459.33</v>
      </c>
      <c r="O20" s="781">
        <v>43463</v>
      </c>
      <c r="P20" s="488">
        <f t="shared" si="4"/>
        <v>459.33</v>
      </c>
      <c r="Q20" s="743" t="s">
        <v>673</v>
      </c>
      <c r="R20" s="489">
        <v>105</v>
      </c>
      <c r="S20" s="582">
        <f t="shared" si="5"/>
        <v>713.50000000000045</v>
      </c>
    </row>
    <row r="21" spans="2:19" x14ac:dyDescent="0.25">
      <c r="B21" s="461">
        <f t="shared" si="2"/>
        <v>56</v>
      </c>
      <c r="C21" s="20">
        <v>4</v>
      </c>
      <c r="D21" s="635">
        <v>52.64</v>
      </c>
      <c r="E21" s="720">
        <v>43434</v>
      </c>
      <c r="F21" s="635">
        <f t="shared" ref="F21" si="6">D21</f>
        <v>52.64</v>
      </c>
      <c r="G21" s="365" t="s">
        <v>207</v>
      </c>
      <c r="H21" s="214">
        <v>105</v>
      </c>
      <c r="I21" s="582">
        <f t="shared" si="3"/>
        <v>799.9000000000002</v>
      </c>
      <c r="L21" s="199"/>
      <c r="M21" s="20">
        <v>10</v>
      </c>
      <c r="N21" s="488">
        <v>215.58</v>
      </c>
      <c r="O21" s="781">
        <v>43464</v>
      </c>
      <c r="P21" s="488">
        <f t="shared" si="4"/>
        <v>215.58</v>
      </c>
      <c r="Q21" s="743" t="s">
        <v>675</v>
      </c>
      <c r="R21" s="489">
        <v>105</v>
      </c>
      <c r="S21" s="582">
        <f t="shared" si="5"/>
        <v>497.92000000000041</v>
      </c>
    </row>
    <row r="22" spans="2:19" x14ac:dyDescent="0.25">
      <c r="B22" s="461">
        <f t="shared" si="2"/>
        <v>9</v>
      </c>
      <c r="C22" s="20">
        <v>47</v>
      </c>
      <c r="D22" s="488">
        <v>680.65</v>
      </c>
      <c r="E22" s="781">
        <v>43435</v>
      </c>
      <c r="F22" s="488">
        <f t="shared" si="0"/>
        <v>680.65</v>
      </c>
      <c r="G22" s="743" t="s">
        <v>469</v>
      </c>
      <c r="H22" s="489">
        <v>105</v>
      </c>
      <c r="I22" s="582">
        <f t="shared" si="3"/>
        <v>119.25000000000023</v>
      </c>
      <c r="L22" s="199"/>
      <c r="M22" s="20">
        <v>10</v>
      </c>
      <c r="N22" s="488">
        <v>207.14</v>
      </c>
      <c r="O22" s="781">
        <v>43465</v>
      </c>
      <c r="P22" s="488">
        <f t="shared" si="4"/>
        <v>207.14</v>
      </c>
      <c r="Q22" s="743" t="s">
        <v>678</v>
      </c>
      <c r="R22" s="489">
        <v>105</v>
      </c>
      <c r="S22" s="582">
        <f t="shared" si="5"/>
        <v>290.78000000000043</v>
      </c>
    </row>
    <row r="23" spans="2:19" x14ac:dyDescent="0.25">
      <c r="B23" s="461">
        <f t="shared" si="2"/>
        <v>0</v>
      </c>
      <c r="C23" s="20">
        <v>9</v>
      </c>
      <c r="D23" s="488">
        <v>119.25</v>
      </c>
      <c r="E23" s="781">
        <v>43438</v>
      </c>
      <c r="F23" s="488">
        <f t="shared" si="0"/>
        <v>119.25</v>
      </c>
      <c r="G23" s="743" t="s">
        <v>483</v>
      </c>
      <c r="H23" s="489">
        <v>105</v>
      </c>
      <c r="I23" s="582">
        <f t="shared" si="3"/>
        <v>2.2737367544323206E-13</v>
      </c>
      <c r="L23" s="199"/>
      <c r="M23" s="20"/>
      <c r="N23" s="488"/>
      <c r="O23" s="781"/>
      <c r="P23" s="488">
        <f t="shared" si="4"/>
        <v>0</v>
      </c>
      <c r="Q23" s="743"/>
      <c r="R23" s="489"/>
      <c r="S23" s="582">
        <f t="shared" si="5"/>
        <v>290.78000000000043</v>
      </c>
    </row>
    <row r="24" spans="2:19" x14ac:dyDescent="0.25">
      <c r="B24" s="461">
        <f t="shared" si="2"/>
        <v>0</v>
      </c>
      <c r="C24" s="20"/>
      <c r="D24" s="488"/>
      <c r="E24" s="781"/>
      <c r="F24" s="488">
        <f t="shared" si="0"/>
        <v>0</v>
      </c>
      <c r="G24" s="743"/>
      <c r="H24" s="489"/>
      <c r="I24" s="582">
        <f t="shared" si="3"/>
        <v>2.2737367544323206E-13</v>
      </c>
      <c r="L24" s="199"/>
      <c r="M24" s="20"/>
      <c r="N24" s="635"/>
      <c r="O24" s="720"/>
      <c r="P24" s="635">
        <f t="shared" si="4"/>
        <v>0</v>
      </c>
      <c r="Q24" s="365"/>
      <c r="R24" s="214"/>
      <c r="S24" s="582">
        <f t="shared" si="5"/>
        <v>290.78000000000043</v>
      </c>
    </row>
    <row r="25" spans="2:19" x14ac:dyDescent="0.25">
      <c r="B25" s="461">
        <f t="shared" si="2"/>
        <v>0</v>
      </c>
      <c r="C25" s="20"/>
      <c r="D25" s="488"/>
      <c r="E25" s="781"/>
      <c r="F25" s="488">
        <f t="shared" si="0"/>
        <v>0</v>
      </c>
      <c r="G25" s="743"/>
      <c r="H25" s="489"/>
      <c r="I25" s="582">
        <f t="shared" si="3"/>
        <v>2.2737367544323206E-13</v>
      </c>
      <c r="L25" s="199"/>
      <c r="M25" s="20"/>
      <c r="N25" s="635"/>
      <c r="O25" s="720"/>
      <c r="P25" s="635">
        <f t="shared" si="4"/>
        <v>0</v>
      </c>
      <c r="Q25" s="365"/>
      <c r="R25" s="214"/>
      <c r="S25" s="582">
        <f t="shared" si="5"/>
        <v>290.78000000000043</v>
      </c>
    </row>
    <row r="26" spans="2:19" x14ac:dyDescent="0.25">
      <c r="B26" s="461">
        <f t="shared" si="2"/>
        <v>0</v>
      </c>
      <c r="C26" s="20"/>
      <c r="D26" s="488"/>
      <c r="E26" s="781"/>
      <c r="F26" s="488">
        <f t="shared" si="0"/>
        <v>0</v>
      </c>
      <c r="G26" s="743"/>
      <c r="H26" s="489"/>
      <c r="I26" s="582">
        <f t="shared" si="3"/>
        <v>2.2737367544323206E-13</v>
      </c>
      <c r="L26" s="199"/>
      <c r="M26" s="20"/>
      <c r="N26" s="635"/>
      <c r="O26" s="720"/>
      <c r="P26" s="635">
        <f t="shared" si="4"/>
        <v>0</v>
      </c>
      <c r="Q26" s="365"/>
      <c r="R26" s="214"/>
      <c r="S26" s="582">
        <f t="shared" si="5"/>
        <v>290.78000000000043</v>
      </c>
    </row>
    <row r="27" spans="2:19" x14ac:dyDescent="0.25">
      <c r="B27" s="461">
        <f t="shared" si="2"/>
        <v>0</v>
      </c>
      <c r="C27" s="20"/>
      <c r="D27" s="488"/>
      <c r="E27" s="781"/>
      <c r="F27" s="488">
        <f t="shared" si="0"/>
        <v>0</v>
      </c>
      <c r="G27" s="743"/>
      <c r="H27" s="489"/>
      <c r="I27" s="582">
        <f t="shared" si="3"/>
        <v>2.2737367544323206E-13</v>
      </c>
      <c r="L27" s="199"/>
      <c r="M27" s="20"/>
      <c r="N27" s="109"/>
      <c r="O27" s="158"/>
      <c r="P27" s="109">
        <f t="shared" si="4"/>
        <v>0</v>
      </c>
      <c r="Q27" s="110"/>
      <c r="R27" s="111"/>
      <c r="S27" s="582">
        <f t="shared" si="5"/>
        <v>290.78000000000043</v>
      </c>
    </row>
    <row r="28" spans="2:19" x14ac:dyDescent="0.25">
      <c r="B28" s="461">
        <f t="shared" si="2"/>
        <v>0</v>
      </c>
      <c r="C28" s="20"/>
      <c r="D28" s="488"/>
      <c r="E28" s="781"/>
      <c r="F28" s="488">
        <f t="shared" si="0"/>
        <v>0</v>
      </c>
      <c r="G28" s="743"/>
      <c r="H28" s="489"/>
      <c r="I28" s="582">
        <f t="shared" si="3"/>
        <v>2.2737367544323206E-13</v>
      </c>
      <c r="L28" s="199"/>
      <c r="M28" s="20"/>
      <c r="N28" s="109"/>
      <c r="O28" s="158"/>
      <c r="P28" s="109">
        <f t="shared" si="4"/>
        <v>0</v>
      </c>
      <c r="Q28" s="110"/>
      <c r="R28" s="111"/>
      <c r="S28" s="582">
        <f t="shared" si="5"/>
        <v>290.78000000000043</v>
      </c>
    </row>
    <row r="29" spans="2:19" x14ac:dyDescent="0.25">
      <c r="B29" s="461">
        <f t="shared" si="2"/>
        <v>0</v>
      </c>
      <c r="C29" s="20"/>
      <c r="D29" s="488"/>
      <c r="E29" s="781"/>
      <c r="F29" s="488">
        <f t="shared" si="0"/>
        <v>0</v>
      </c>
      <c r="G29" s="743"/>
      <c r="H29" s="489"/>
      <c r="I29" s="582">
        <f t="shared" si="3"/>
        <v>2.2737367544323206E-13</v>
      </c>
      <c r="L29" s="199"/>
      <c r="M29" s="20"/>
      <c r="N29" s="109"/>
      <c r="O29" s="158"/>
      <c r="P29" s="109">
        <f t="shared" si="4"/>
        <v>0</v>
      </c>
      <c r="Q29" s="110"/>
      <c r="R29" s="111"/>
      <c r="S29" s="582">
        <f t="shared" si="5"/>
        <v>290.78000000000043</v>
      </c>
    </row>
    <row r="30" spans="2:19" x14ac:dyDescent="0.25">
      <c r="B30" s="461">
        <f t="shared" si="2"/>
        <v>0</v>
      </c>
      <c r="C30" s="20"/>
      <c r="D30" s="488"/>
      <c r="E30" s="781"/>
      <c r="F30" s="488">
        <f t="shared" si="0"/>
        <v>0</v>
      </c>
      <c r="G30" s="743"/>
      <c r="H30" s="489"/>
      <c r="I30" s="582">
        <f t="shared" si="3"/>
        <v>2.2737367544323206E-13</v>
      </c>
      <c r="L30" s="199"/>
      <c r="M30" s="20"/>
      <c r="N30" s="109"/>
      <c r="O30" s="158"/>
      <c r="P30" s="109">
        <f t="shared" si="4"/>
        <v>0</v>
      </c>
      <c r="Q30" s="110"/>
      <c r="R30" s="111"/>
      <c r="S30" s="582">
        <f t="shared" si="5"/>
        <v>290.78000000000043</v>
      </c>
    </row>
    <row r="31" spans="2:19" x14ac:dyDescent="0.25">
      <c r="B31" s="461">
        <f t="shared" si="2"/>
        <v>0</v>
      </c>
      <c r="C31" s="20"/>
      <c r="D31" s="488"/>
      <c r="E31" s="781"/>
      <c r="F31" s="488">
        <f t="shared" si="0"/>
        <v>0</v>
      </c>
      <c r="G31" s="743"/>
      <c r="H31" s="489"/>
      <c r="I31" s="582">
        <f t="shared" si="3"/>
        <v>2.2737367544323206E-13</v>
      </c>
      <c r="L31" s="199"/>
      <c r="M31" s="20"/>
      <c r="N31" s="109"/>
      <c r="O31" s="158"/>
      <c r="P31" s="109">
        <f t="shared" si="4"/>
        <v>0</v>
      </c>
      <c r="Q31" s="110"/>
      <c r="R31" s="111"/>
      <c r="S31" s="582">
        <f t="shared" si="5"/>
        <v>290.78000000000043</v>
      </c>
    </row>
    <row r="32" spans="2:19" x14ac:dyDescent="0.25">
      <c r="B32" s="461">
        <f t="shared" si="2"/>
        <v>0</v>
      </c>
      <c r="C32" s="20"/>
      <c r="D32" s="488"/>
      <c r="E32" s="781"/>
      <c r="F32" s="488">
        <f t="shared" si="0"/>
        <v>0</v>
      </c>
      <c r="G32" s="743"/>
      <c r="H32" s="489"/>
      <c r="I32" s="582">
        <f t="shared" si="3"/>
        <v>2.2737367544323206E-13</v>
      </c>
      <c r="L32" s="199"/>
      <c r="M32" s="20"/>
      <c r="N32" s="109"/>
      <c r="O32" s="158"/>
      <c r="P32" s="109">
        <f t="shared" si="4"/>
        <v>0</v>
      </c>
      <c r="Q32" s="110"/>
      <c r="R32" s="111"/>
      <c r="S32" s="582">
        <f t="shared" si="5"/>
        <v>290.78000000000043</v>
      </c>
    </row>
    <row r="33" spans="2:19" x14ac:dyDescent="0.25">
      <c r="B33" s="461">
        <f t="shared" si="2"/>
        <v>0</v>
      </c>
      <c r="C33" s="20"/>
      <c r="D33" s="488"/>
      <c r="E33" s="781"/>
      <c r="F33" s="488">
        <f t="shared" si="0"/>
        <v>0</v>
      </c>
      <c r="G33" s="743"/>
      <c r="H33" s="489"/>
      <c r="I33" s="582">
        <f t="shared" si="3"/>
        <v>2.2737367544323206E-13</v>
      </c>
      <c r="L33" s="199"/>
      <c r="M33" s="20"/>
      <c r="N33" s="109"/>
      <c r="O33" s="158"/>
      <c r="P33" s="109">
        <f t="shared" si="4"/>
        <v>0</v>
      </c>
      <c r="Q33" s="110"/>
      <c r="R33" s="111"/>
      <c r="S33" s="582">
        <f t="shared" si="5"/>
        <v>290.78000000000043</v>
      </c>
    </row>
    <row r="34" spans="2:19" x14ac:dyDescent="0.25">
      <c r="B34" s="461">
        <f t="shared" si="2"/>
        <v>0</v>
      </c>
      <c r="C34" s="20"/>
      <c r="D34" s="488"/>
      <c r="E34" s="781"/>
      <c r="F34" s="488">
        <f t="shared" si="0"/>
        <v>0</v>
      </c>
      <c r="G34" s="743"/>
      <c r="H34" s="489"/>
      <c r="I34" s="582">
        <f t="shared" si="3"/>
        <v>2.2737367544323206E-13</v>
      </c>
      <c r="L34" s="199"/>
      <c r="M34" s="20"/>
      <c r="N34" s="109"/>
      <c r="O34" s="158"/>
      <c r="P34" s="109">
        <f t="shared" si="4"/>
        <v>0</v>
      </c>
      <c r="Q34" s="110"/>
      <c r="R34" s="111"/>
      <c r="S34" s="582">
        <f t="shared" si="5"/>
        <v>290.78000000000043</v>
      </c>
    </row>
    <row r="35" spans="2:19" x14ac:dyDescent="0.25">
      <c r="B35" s="461">
        <f t="shared" si="2"/>
        <v>0</v>
      </c>
      <c r="C35" s="20"/>
      <c r="D35" s="488"/>
      <c r="E35" s="781"/>
      <c r="F35" s="488">
        <f t="shared" si="0"/>
        <v>0</v>
      </c>
      <c r="G35" s="743"/>
      <c r="H35" s="489"/>
      <c r="I35" s="582">
        <f t="shared" si="3"/>
        <v>2.2737367544323206E-13</v>
      </c>
      <c r="L35" s="199"/>
      <c r="M35" s="20"/>
      <c r="N35" s="109"/>
      <c r="O35" s="158"/>
      <c r="P35" s="109">
        <f t="shared" si="4"/>
        <v>0</v>
      </c>
      <c r="Q35" s="110"/>
      <c r="R35" s="111"/>
      <c r="S35" s="582">
        <f t="shared" si="5"/>
        <v>290.78000000000043</v>
      </c>
    </row>
    <row r="36" spans="2:19" x14ac:dyDescent="0.25">
      <c r="B36" s="461">
        <f t="shared" si="2"/>
        <v>0</v>
      </c>
      <c r="C36" s="20"/>
      <c r="D36" s="488"/>
      <c r="E36" s="781"/>
      <c r="F36" s="488">
        <f t="shared" si="0"/>
        <v>0</v>
      </c>
      <c r="G36" s="743"/>
      <c r="H36" s="489"/>
      <c r="I36" s="582">
        <f t="shared" si="3"/>
        <v>2.2737367544323206E-13</v>
      </c>
      <c r="L36" s="199"/>
      <c r="M36" s="20"/>
      <c r="N36" s="109"/>
      <c r="O36" s="158"/>
      <c r="P36" s="109">
        <f t="shared" si="4"/>
        <v>0</v>
      </c>
      <c r="Q36" s="110"/>
      <c r="R36" s="111"/>
      <c r="S36" s="582">
        <f t="shared" si="5"/>
        <v>290.78000000000043</v>
      </c>
    </row>
    <row r="37" spans="2:19" x14ac:dyDescent="0.25">
      <c r="B37" s="461">
        <f t="shared" si="2"/>
        <v>0</v>
      </c>
      <c r="C37" s="20"/>
      <c r="D37" s="488"/>
      <c r="E37" s="781"/>
      <c r="F37" s="488">
        <f t="shared" si="0"/>
        <v>0</v>
      </c>
      <c r="G37" s="743"/>
      <c r="H37" s="489"/>
      <c r="I37" s="582">
        <f t="shared" si="3"/>
        <v>2.2737367544323206E-13</v>
      </c>
      <c r="L37" s="199"/>
      <c r="M37" s="20"/>
      <c r="N37" s="109"/>
      <c r="O37" s="158"/>
      <c r="P37" s="109">
        <f t="shared" si="4"/>
        <v>0</v>
      </c>
      <c r="Q37" s="110"/>
      <c r="R37" s="111"/>
      <c r="S37" s="582">
        <f t="shared" si="5"/>
        <v>290.78000000000043</v>
      </c>
    </row>
    <row r="38" spans="2:19" x14ac:dyDescent="0.25">
      <c r="B38" s="461">
        <f t="shared" si="2"/>
        <v>0</v>
      </c>
      <c r="C38" s="20"/>
      <c r="D38" s="488"/>
      <c r="E38" s="781"/>
      <c r="F38" s="488">
        <f t="shared" si="0"/>
        <v>0</v>
      </c>
      <c r="G38" s="743"/>
      <c r="H38" s="489"/>
      <c r="I38" s="582">
        <f t="shared" si="3"/>
        <v>2.2737367544323206E-13</v>
      </c>
      <c r="L38" s="199"/>
      <c r="M38" s="20"/>
      <c r="N38" s="109"/>
      <c r="O38" s="158"/>
      <c r="P38" s="109">
        <f t="shared" si="4"/>
        <v>0</v>
      </c>
      <c r="Q38" s="110"/>
      <c r="R38" s="111"/>
      <c r="S38" s="582">
        <f t="shared" si="5"/>
        <v>290.78000000000043</v>
      </c>
    </row>
    <row r="39" spans="2:19" x14ac:dyDescent="0.25">
      <c r="B39" s="461">
        <f t="shared" si="2"/>
        <v>0</v>
      </c>
      <c r="C39" s="20"/>
      <c r="D39" s="488"/>
      <c r="E39" s="781"/>
      <c r="F39" s="488">
        <f t="shared" si="0"/>
        <v>0</v>
      </c>
      <c r="G39" s="743"/>
      <c r="H39" s="489"/>
      <c r="I39" s="582">
        <f t="shared" si="3"/>
        <v>2.2737367544323206E-13</v>
      </c>
      <c r="L39" s="199"/>
      <c r="M39" s="20"/>
      <c r="N39" s="109"/>
      <c r="O39" s="158"/>
      <c r="P39" s="109">
        <f t="shared" si="4"/>
        <v>0</v>
      </c>
      <c r="Q39" s="110"/>
      <c r="R39" s="111"/>
      <c r="S39" s="582">
        <f t="shared" si="5"/>
        <v>290.78000000000043</v>
      </c>
    </row>
    <row r="40" spans="2:19" x14ac:dyDescent="0.25">
      <c r="B40" s="461">
        <f t="shared" si="2"/>
        <v>0</v>
      </c>
      <c r="C40" s="20"/>
      <c r="D40" s="488"/>
      <c r="E40" s="781"/>
      <c r="F40" s="488">
        <f t="shared" si="0"/>
        <v>0</v>
      </c>
      <c r="G40" s="743"/>
      <c r="H40" s="489"/>
      <c r="I40" s="582">
        <f t="shared" si="3"/>
        <v>2.2737367544323206E-13</v>
      </c>
      <c r="L40" s="199"/>
      <c r="M40" s="20"/>
      <c r="N40" s="109"/>
      <c r="O40" s="158"/>
      <c r="P40" s="109">
        <f t="shared" si="4"/>
        <v>0</v>
      </c>
      <c r="Q40" s="110"/>
      <c r="R40" s="111"/>
      <c r="S40" s="582">
        <f t="shared" si="5"/>
        <v>290.78000000000043</v>
      </c>
    </row>
    <row r="41" spans="2:19" x14ac:dyDescent="0.25">
      <c r="B41" s="461">
        <f t="shared" si="2"/>
        <v>0</v>
      </c>
      <c r="C41" s="20"/>
      <c r="D41" s="488"/>
      <c r="E41" s="781"/>
      <c r="F41" s="488">
        <f t="shared" si="0"/>
        <v>0</v>
      </c>
      <c r="G41" s="743"/>
      <c r="H41" s="489"/>
      <c r="I41" s="582">
        <f t="shared" si="3"/>
        <v>2.2737367544323206E-13</v>
      </c>
      <c r="L41" s="199"/>
      <c r="M41" s="20"/>
      <c r="N41" s="109"/>
      <c r="O41" s="158"/>
      <c r="P41" s="109">
        <f t="shared" si="4"/>
        <v>0</v>
      </c>
      <c r="Q41" s="110"/>
      <c r="R41" s="111"/>
      <c r="S41" s="582">
        <f t="shared" si="5"/>
        <v>290.78000000000043</v>
      </c>
    </row>
    <row r="42" spans="2:19" x14ac:dyDescent="0.25">
      <c r="B42" s="461">
        <f t="shared" si="2"/>
        <v>0</v>
      </c>
      <c r="C42" s="20"/>
      <c r="D42" s="488"/>
      <c r="E42" s="781"/>
      <c r="F42" s="488">
        <f t="shared" si="0"/>
        <v>0</v>
      </c>
      <c r="G42" s="743"/>
      <c r="H42" s="489"/>
      <c r="I42" s="582">
        <f t="shared" si="3"/>
        <v>2.2737367544323206E-13</v>
      </c>
      <c r="L42" s="199"/>
      <c r="M42" s="20"/>
      <c r="N42" s="109"/>
      <c r="O42" s="158"/>
      <c r="P42" s="109">
        <f t="shared" si="4"/>
        <v>0</v>
      </c>
      <c r="Q42" s="110"/>
      <c r="R42" s="111"/>
      <c r="S42" s="582">
        <f t="shared" si="5"/>
        <v>290.78000000000043</v>
      </c>
    </row>
    <row r="43" spans="2:19" x14ac:dyDescent="0.25">
      <c r="B43" s="461">
        <f t="shared" si="2"/>
        <v>0</v>
      </c>
      <c r="C43" s="20"/>
      <c r="D43" s="488"/>
      <c r="E43" s="781"/>
      <c r="F43" s="488">
        <f t="shared" si="0"/>
        <v>0</v>
      </c>
      <c r="G43" s="743"/>
      <c r="H43" s="489"/>
      <c r="I43" s="582">
        <f t="shared" si="3"/>
        <v>2.2737367544323206E-13</v>
      </c>
      <c r="L43" s="199"/>
      <c r="M43" s="20"/>
      <c r="N43" s="109"/>
      <c r="O43" s="158"/>
      <c r="P43" s="109">
        <f t="shared" si="4"/>
        <v>0</v>
      </c>
      <c r="Q43" s="110"/>
      <c r="R43" s="111"/>
      <c r="S43" s="582">
        <f t="shared" si="5"/>
        <v>290.78000000000043</v>
      </c>
    </row>
    <row r="44" spans="2:19" x14ac:dyDescent="0.25">
      <c r="B44" s="461">
        <f t="shared" si="2"/>
        <v>0</v>
      </c>
      <c r="C44" s="20"/>
      <c r="D44" s="109"/>
      <c r="E44" s="158"/>
      <c r="F44" s="109">
        <f t="shared" si="0"/>
        <v>0</v>
      </c>
      <c r="G44" s="110"/>
      <c r="H44" s="111"/>
      <c r="I44" s="582">
        <f t="shared" si="3"/>
        <v>2.2737367544323206E-13</v>
      </c>
      <c r="L44" s="199"/>
      <c r="M44" s="20"/>
      <c r="N44" s="109"/>
      <c r="O44" s="158"/>
      <c r="P44" s="109">
        <f t="shared" si="4"/>
        <v>0</v>
      </c>
      <c r="Q44" s="110"/>
      <c r="R44" s="111"/>
      <c r="S44" s="582">
        <f t="shared" si="5"/>
        <v>290.78000000000043</v>
      </c>
    </row>
    <row r="45" spans="2:19" x14ac:dyDescent="0.25">
      <c r="B45" s="461">
        <f t="shared" si="2"/>
        <v>0</v>
      </c>
      <c r="C45" s="20"/>
      <c r="D45" s="109"/>
      <c r="E45" s="158"/>
      <c r="F45" s="109">
        <f t="shared" si="0"/>
        <v>0</v>
      </c>
      <c r="G45" s="110"/>
      <c r="H45" s="111"/>
      <c r="I45" s="582">
        <f t="shared" si="3"/>
        <v>2.2737367544323206E-13</v>
      </c>
      <c r="L45" s="199"/>
      <c r="M45" s="20"/>
      <c r="N45" s="109"/>
      <c r="O45" s="158"/>
      <c r="P45" s="109">
        <f t="shared" si="4"/>
        <v>0</v>
      </c>
      <c r="Q45" s="110"/>
      <c r="R45" s="111"/>
      <c r="S45" s="582">
        <f t="shared" si="5"/>
        <v>290.78000000000043</v>
      </c>
    </row>
    <row r="46" spans="2:19" x14ac:dyDescent="0.25">
      <c r="B46" s="461">
        <f t="shared" si="2"/>
        <v>0</v>
      </c>
      <c r="C46" s="20"/>
      <c r="D46" s="109"/>
      <c r="E46" s="158"/>
      <c r="F46" s="109">
        <f t="shared" si="0"/>
        <v>0</v>
      </c>
      <c r="G46" s="110"/>
      <c r="H46" s="111"/>
      <c r="I46" s="582">
        <f t="shared" si="3"/>
        <v>2.2737367544323206E-13</v>
      </c>
      <c r="L46" s="199"/>
      <c r="M46" s="20"/>
      <c r="N46" s="109"/>
      <c r="O46" s="158"/>
      <c r="P46" s="109">
        <f t="shared" si="4"/>
        <v>0</v>
      </c>
      <c r="Q46" s="110"/>
      <c r="R46" s="111"/>
      <c r="S46" s="582">
        <f t="shared" si="5"/>
        <v>290.78000000000043</v>
      </c>
    </row>
    <row r="47" spans="2:19" x14ac:dyDescent="0.25">
      <c r="B47" s="461">
        <f t="shared" si="2"/>
        <v>0</v>
      </c>
      <c r="C47" s="20"/>
      <c r="D47" s="109"/>
      <c r="E47" s="158"/>
      <c r="F47" s="109">
        <f t="shared" si="0"/>
        <v>0</v>
      </c>
      <c r="G47" s="110"/>
      <c r="H47" s="111"/>
      <c r="I47" s="582">
        <f t="shared" si="3"/>
        <v>2.2737367544323206E-13</v>
      </c>
      <c r="L47" s="199"/>
      <c r="M47" s="20"/>
      <c r="N47" s="109"/>
      <c r="O47" s="158"/>
      <c r="P47" s="109">
        <f t="shared" si="4"/>
        <v>0</v>
      </c>
      <c r="Q47" s="110"/>
      <c r="R47" s="111"/>
      <c r="S47" s="582">
        <f t="shared" si="5"/>
        <v>290.78000000000043</v>
      </c>
    </row>
    <row r="48" spans="2:19" x14ac:dyDescent="0.25">
      <c r="B48" s="461">
        <f t="shared" si="2"/>
        <v>0</v>
      </c>
      <c r="C48" s="20"/>
      <c r="D48" s="109"/>
      <c r="E48" s="158"/>
      <c r="F48" s="109">
        <f t="shared" si="0"/>
        <v>0</v>
      </c>
      <c r="G48" s="110"/>
      <c r="H48" s="111"/>
      <c r="I48" s="582">
        <f t="shared" si="3"/>
        <v>2.2737367544323206E-13</v>
      </c>
      <c r="L48" s="199"/>
      <c r="M48" s="20"/>
      <c r="N48" s="109"/>
      <c r="O48" s="158"/>
      <c r="P48" s="109">
        <f t="shared" si="4"/>
        <v>0</v>
      </c>
      <c r="Q48" s="110"/>
      <c r="R48" s="111"/>
      <c r="S48" s="582">
        <f t="shared" si="5"/>
        <v>290.78000000000043</v>
      </c>
    </row>
    <row r="49" spans="2:19" x14ac:dyDescent="0.25">
      <c r="B49" s="461">
        <f t="shared" si="2"/>
        <v>0</v>
      </c>
      <c r="C49" s="20"/>
      <c r="D49" s="109"/>
      <c r="E49" s="158"/>
      <c r="F49" s="109">
        <f t="shared" si="0"/>
        <v>0</v>
      </c>
      <c r="G49" s="110"/>
      <c r="H49" s="111"/>
      <c r="I49" s="582">
        <f t="shared" si="3"/>
        <v>2.2737367544323206E-13</v>
      </c>
      <c r="L49" s="199"/>
      <c r="M49" s="20"/>
      <c r="N49" s="109"/>
      <c r="O49" s="158"/>
      <c r="P49" s="109">
        <f t="shared" si="4"/>
        <v>0</v>
      </c>
      <c r="Q49" s="110"/>
      <c r="R49" s="111"/>
      <c r="S49" s="582">
        <f t="shared" si="5"/>
        <v>290.78000000000043</v>
      </c>
    </row>
    <row r="50" spans="2:19" x14ac:dyDescent="0.25">
      <c r="B50" s="461">
        <f t="shared" si="2"/>
        <v>0</v>
      </c>
      <c r="C50" s="20"/>
      <c r="D50" s="109"/>
      <c r="E50" s="158"/>
      <c r="F50" s="109">
        <f t="shared" si="0"/>
        <v>0</v>
      </c>
      <c r="G50" s="110"/>
      <c r="H50" s="111"/>
      <c r="I50" s="582">
        <f t="shared" si="3"/>
        <v>2.2737367544323206E-13</v>
      </c>
      <c r="L50" s="199"/>
      <c r="M50" s="20"/>
      <c r="N50" s="109"/>
      <c r="O50" s="158"/>
      <c r="P50" s="109">
        <f t="shared" si="4"/>
        <v>0</v>
      </c>
      <c r="Q50" s="110"/>
      <c r="R50" s="111"/>
      <c r="S50" s="582">
        <f t="shared" si="5"/>
        <v>290.78000000000043</v>
      </c>
    </row>
    <row r="51" spans="2:19" x14ac:dyDescent="0.25">
      <c r="B51" s="461">
        <f t="shared" si="2"/>
        <v>0</v>
      </c>
      <c r="C51" s="20"/>
      <c r="D51" s="109"/>
      <c r="E51" s="158"/>
      <c r="F51" s="109">
        <f t="shared" si="0"/>
        <v>0</v>
      </c>
      <c r="G51" s="110"/>
      <c r="H51" s="111"/>
      <c r="I51" s="582">
        <f t="shared" si="3"/>
        <v>2.2737367544323206E-13</v>
      </c>
      <c r="L51" s="199"/>
      <c r="M51" s="20"/>
      <c r="N51" s="109"/>
      <c r="O51" s="158"/>
      <c r="P51" s="109">
        <f t="shared" si="4"/>
        <v>0</v>
      </c>
      <c r="Q51" s="110"/>
      <c r="R51" s="111"/>
      <c r="S51" s="582">
        <f t="shared" si="5"/>
        <v>290.78000000000043</v>
      </c>
    </row>
    <row r="52" spans="2:19" x14ac:dyDescent="0.25">
      <c r="B52" s="461">
        <f t="shared" si="2"/>
        <v>0</v>
      </c>
      <c r="C52" s="20"/>
      <c r="D52" s="109"/>
      <c r="E52" s="158"/>
      <c r="F52" s="109">
        <f t="shared" si="0"/>
        <v>0</v>
      </c>
      <c r="G52" s="110"/>
      <c r="H52" s="111"/>
      <c r="I52" s="582">
        <f t="shared" si="3"/>
        <v>2.2737367544323206E-13</v>
      </c>
      <c r="L52" s="199"/>
      <c r="M52" s="20"/>
      <c r="N52" s="109"/>
      <c r="O52" s="158"/>
      <c r="P52" s="109">
        <f t="shared" si="4"/>
        <v>0</v>
      </c>
      <c r="Q52" s="110"/>
      <c r="R52" s="111"/>
      <c r="S52" s="582">
        <f t="shared" si="5"/>
        <v>290.78000000000043</v>
      </c>
    </row>
    <row r="53" spans="2:19" x14ac:dyDescent="0.25">
      <c r="B53" s="199"/>
      <c r="C53" s="20"/>
      <c r="D53" s="109"/>
      <c r="E53" s="158"/>
      <c r="F53" s="109">
        <f t="shared" si="0"/>
        <v>0</v>
      </c>
      <c r="G53" s="110"/>
      <c r="H53" s="111"/>
      <c r="I53" s="582">
        <f t="shared" si="3"/>
        <v>2.2737367544323206E-13</v>
      </c>
      <c r="L53" s="199"/>
      <c r="M53" s="20"/>
      <c r="N53" s="109"/>
      <c r="O53" s="158"/>
      <c r="P53" s="109">
        <f t="shared" si="4"/>
        <v>0</v>
      </c>
      <c r="Q53" s="110"/>
      <c r="R53" s="111"/>
      <c r="S53" s="582">
        <f t="shared" si="5"/>
        <v>290.78000000000043</v>
      </c>
    </row>
    <row r="54" spans="2:19" ht="15.75" thickBot="1" x14ac:dyDescent="0.3">
      <c r="B54" s="3"/>
      <c r="C54" s="47"/>
      <c r="D54" s="307"/>
      <c r="E54" s="453"/>
      <c r="F54" s="307">
        <f t="shared" si="0"/>
        <v>0</v>
      </c>
      <c r="G54" s="591"/>
      <c r="H54" s="126"/>
      <c r="I54" s="582">
        <f t="shared" si="3"/>
        <v>2.2737367544323206E-13</v>
      </c>
      <c r="L54" s="3"/>
      <c r="M54" s="47"/>
      <c r="N54" s="307"/>
      <c r="O54" s="453"/>
      <c r="P54" s="307">
        <f t="shared" si="4"/>
        <v>0</v>
      </c>
      <c r="Q54" s="591"/>
      <c r="R54" s="126"/>
      <c r="S54" s="582">
        <f t="shared" si="5"/>
        <v>290.78000000000043</v>
      </c>
    </row>
    <row r="55" spans="2:19" x14ac:dyDescent="0.25">
      <c r="C55" s="79">
        <f>SUM(C9:C54)</f>
        <v>258</v>
      </c>
      <c r="D55" s="413">
        <f>SUM(D9:D54)</f>
        <v>4996.3600000000006</v>
      </c>
      <c r="E55" s="357"/>
      <c r="F55" s="413">
        <f>SUM(F9:F54)</f>
        <v>4996.3600000000006</v>
      </c>
      <c r="G55" s="329"/>
      <c r="H55" s="329"/>
      <c r="M55" s="79">
        <f>SUM(M9:M54)</f>
        <v>222</v>
      </c>
      <c r="N55" s="413">
        <f>SUM(N9:N54)</f>
        <v>4698.9800000000005</v>
      </c>
      <c r="O55" s="357"/>
      <c r="P55" s="413">
        <f>SUM(P9:P54)</f>
        <v>4698.9800000000005</v>
      </c>
      <c r="Q55" s="329"/>
      <c r="R55" s="329"/>
    </row>
    <row r="56" spans="2:19" x14ac:dyDescent="0.25">
      <c r="C56" s="200"/>
      <c r="M56" s="200"/>
    </row>
    <row r="57" spans="2:19" ht="15.75" thickBot="1" x14ac:dyDescent="0.3">
      <c r="B57" s="160"/>
      <c r="L57" s="160"/>
    </row>
    <row r="58" spans="2:19" ht="15.75" thickBot="1" x14ac:dyDescent="0.3">
      <c r="B58" s="166"/>
      <c r="D58" s="61" t="s">
        <v>4</v>
      </c>
      <c r="E58" s="90">
        <f>F5-C55+F4+F6+F7</f>
        <v>0</v>
      </c>
      <c r="L58" s="166"/>
      <c r="N58" s="61" t="s">
        <v>4</v>
      </c>
      <c r="O58" s="90">
        <f>P5-M55+P4+P6+P7</f>
        <v>14</v>
      </c>
    </row>
    <row r="59" spans="2:19" ht="15.75" thickBot="1" x14ac:dyDescent="0.3">
      <c r="B59" s="237"/>
      <c r="L59" s="237"/>
    </row>
    <row r="60" spans="2:19" ht="15.75" thickBot="1" x14ac:dyDescent="0.3">
      <c r="B60" s="166"/>
      <c r="C60" s="854" t="s">
        <v>11</v>
      </c>
      <c r="D60" s="855"/>
      <c r="E60" s="92">
        <f>E5-F55+E4+E6+E7</f>
        <v>-3.2729374765949615E-13</v>
      </c>
      <c r="L60" s="166"/>
      <c r="M60" s="854" t="s">
        <v>11</v>
      </c>
      <c r="N60" s="855"/>
      <c r="O60" s="92">
        <f>O5-P55+O4+O6+O7</f>
        <v>290.77999999999975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96"/>
  <sheetViews>
    <sheetView topLeftCell="D1" workbookViewId="0">
      <pane ySplit="7" topLeftCell="A8" activePane="bottomLeft" state="frozen"/>
      <selection pane="bottomLeft" activeCell="K18" sqref="K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1" max="11" width="28" customWidth="1"/>
    <col min="12" max="12" width="17.28515625" bestFit="1" customWidth="1"/>
    <col min="13" max="13" width="12.28515625" customWidth="1"/>
    <col min="14" max="14" width="11.42578125" style="160"/>
    <col min="15" max="15" width="13" bestFit="1" customWidth="1"/>
    <col min="16" max="16" width="11.42578125" style="6"/>
    <col min="17" max="17" width="12.42578125" bestFit="1" customWidth="1"/>
    <col min="18" max="18" width="11.42578125" customWidth="1"/>
    <col min="19" max="19" width="11.42578125" style="6"/>
  </cols>
  <sheetData>
    <row r="1" spans="1:19" ht="45.75" customHeight="1" x14ac:dyDescent="0.65">
      <c r="A1" s="853" t="s">
        <v>216</v>
      </c>
      <c r="B1" s="853"/>
      <c r="C1" s="853"/>
      <c r="D1" s="853"/>
      <c r="E1" s="853"/>
      <c r="F1" s="853"/>
      <c r="G1" s="853"/>
      <c r="H1" s="177">
        <v>1</v>
      </c>
      <c r="K1" s="847" t="s">
        <v>303</v>
      </c>
      <c r="L1" s="847"/>
      <c r="M1" s="847"/>
      <c r="N1" s="847"/>
      <c r="O1" s="847"/>
      <c r="P1" s="847"/>
      <c r="Q1" s="847"/>
      <c r="R1" s="177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2" t="s">
        <v>2</v>
      </c>
      <c r="O3" s="12" t="s">
        <v>3</v>
      </c>
      <c r="P3" s="206" t="s">
        <v>4</v>
      </c>
      <c r="Q3" s="67" t="s">
        <v>12</v>
      </c>
      <c r="R3" s="46" t="s">
        <v>11</v>
      </c>
    </row>
    <row r="4" spans="1:19" ht="17.25" thickTop="1" thickBot="1" x14ac:dyDescent="0.3">
      <c r="A4" s="128"/>
      <c r="B4" s="281"/>
      <c r="C4" s="24">
        <v>11251.25</v>
      </c>
      <c r="D4" s="63"/>
      <c r="E4" s="447"/>
      <c r="F4" s="280"/>
      <c r="G4" s="16"/>
      <c r="H4" s="16"/>
      <c r="K4" s="128"/>
      <c r="L4" s="281"/>
      <c r="M4" s="24"/>
      <c r="N4" s="63"/>
      <c r="O4" s="447">
        <v>1024.5999999999999</v>
      </c>
      <c r="P4" s="280">
        <v>94</v>
      </c>
      <c r="Q4" s="16"/>
      <c r="R4" s="16"/>
    </row>
    <row r="5" spans="1:19" ht="15" customHeight="1" x14ac:dyDescent="0.25">
      <c r="A5" s="858" t="s">
        <v>101</v>
      </c>
      <c r="B5" s="860" t="s">
        <v>90</v>
      </c>
      <c r="C5" s="210"/>
      <c r="D5" s="216">
        <v>43326</v>
      </c>
      <c r="E5" s="372">
        <v>12262.5</v>
      </c>
      <c r="F5" s="280">
        <v>1125</v>
      </c>
      <c r="G5" s="794">
        <f>F93</f>
        <v>12262.499999999998</v>
      </c>
      <c r="H5" s="94">
        <f>E4+E5+E6-G5</f>
        <v>0</v>
      </c>
      <c r="K5" s="858" t="s">
        <v>304</v>
      </c>
      <c r="L5" s="860" t="s">
        <v>90</v>
      </c>
      <c r="M5" s="210">
        <v>39.5</v>
      </c>
      <c r="N5" s="216">
        <v>43446</v>
      </c>
      <c r="O5" s="372">
        <v>17440</v>
      </c>
      <c r="P5" s="280">
        <v>1600</v>
      </c>
      <c r="Q5" s="285">
        <f>P93</f>
        <v>10213.300000000001</v>
      </c>
      <c r="R5" s="94">
        <f>O4+O5+O6-Q5</f>
        <v>8251.2999999999975</v>
      </c>
    </row>
    <row r="6" spans="1:19" ht="16.5" thickBot="1" x14ac:dyDescent="0.3">
      <c r="A6" s="859"/>
      <c r="B6" s="861"/>
      <c r="C6" s="394"/>
      <c r="D6" s="63"/>
      <c r="E6" s="281"/>
      <c r="F6" s="373"/>
      <c r="G6" s="792"/>
      <c r="K6" s="859"/>
      <c r="L6" s="861"/>
      <c r="M6" s="811" t="s">
        <v>679</v>
      </c>
      <c r="N6" s="810">
        <v>17418.13</v>
      </c>
      <c r="O6" s="281"/>
      <c r="P6" s="373"/>
      <c r="Q6" s="16"/>
    </row>
    <row r="7" spans="1:1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3" t="s">
        <v>3</v>
      </c>
      <c r="O7" s="28" t="s">
        <v>2</v>
      </c>
      <c r="P7" s="207" t="s">
        <v>9</v>
      </c>
      <c r="Q7" s="29" t="s">
        <v>15</v>
      </c>
      <c r="R7" s="37"/>
    </row>
    <row r="8" spans="1:19" ht="15.75" thickTop="1" x14ac:dyDescent="0.25">
      <c r="A8" s="151" t="s">
        <v>32</v>
      </c>
      <c r="B8" s="322">
        <v>10.9</v>
      </c>
      <c r="C8" s="20">
        <v>69</v>
      </c>
      <c r="D8" s="421">
        <f t="shared" ref="D8:D71" si="0">C8*B8</f>
        <v>752.1</v>
      </c>
      <c r="E8" s="158">
        <v>43327</v>
      </c>
      <c r="F8" s="109">
        <f t="shared" ref="F8:F71" si="1">D8</f>
        <v>752.1</v>
      </c>
      <c r="G8" s="110" t="s">
        <v>103</v>
      </c>
      <c r="H8" s="111">
        <v>630</v>
      </c>
      <c r="I8" s="582">
        <f>E5+E4-F8</f>
        <v>11510.4</v>
      </c>
      <c r="K8" s="151" t="s">
        <v>32</v>
      </c>
      <c r="L8" s="322">
        <v>10.9</v>
      </c>
      <c r="M8" s="20">
        <v>800</v>
      </c>
      <c r="N8" s="421">
        <f t="shared" ref="N8:N71" si="2">M8*L8</f>
        <v>8720</v>
      </c>
      <c r="O8" s="158">
        <v>43449</v>
      </c>
      <c r="P8" s="109">
        <f t="shared" ref="P8:P71" si="3">N8</f>
        <v>8720</v>
      </c>
      <c r="Q8" s="110" t="s">
        <v>554</v>
      </c>
      <c r="R8" s="111">
        <v>430.16</v>
      </c>
      <c r="S8" s="582">
        <f>O5+O4-P8</f>
        <v>9744.5999999999985</v>
      </c>
    </row>
    <row r="9" spans="1:19" x14ac:dyDescent="0.25">
      <c r="A9" s="516"/>
      <c r="B9" s="322">
        <v>10.9</v>
      </c>
      <c r="C9" s="20">
        <v>1</v>
      </c>
      <c r="D9" s="421">
        <f t="shared" si="0"/>
        <v>10.9</v>
      </c>
      <c r="E9" s="158">
        <v>43330</v>
      </c>
      <c r="F9" s="109">
        <f t="shared" si="1"/>
        <v>10.9</v>
      </c>
      <c r="G9" s="110" t="s">
        <v>104</v>
      </c>
      <c r="H9" s="111">
        <v>630</v>
      </c>
      <c r="I9" s="582">
        <f>I8-F9</f>
        <v>11499.5</v>
      </c>
      <c r="K9" s="516"/>
      <c r="L9" s="322">
        <v>10.9</v>
      </c>
      <c r="M9" s="20">
        <v>10</v>
      </c>
      <c r="N9" s="421">
        <f t="shared" si="2"/>
        <v>109</v>
      </c>
      <c r="O9" s="158">
        <v>43449</v>
      </c>
      <c r="P9" s="109">
        <f t="shared" si="3"/>
        <v>109</v>
      </c>
      <c r="Q9" s="110" t="s">
        <v>556</v>
      </c>
      <c r="R9" s="111">
        <v>600</v>
      </c>
      <c r="S9" s="582">
        <f>S8-P9</f>
        <v>9635.5999999999985</v>
      </c>
    </row>
    <row r="10" spans="1:19" x14ac:dyDescent="0.25">
      <c r="A10" s="461"/>
      <c r="B10" s="322">
        <v>10.9</v>
      </c>
      <c r="C10" s="20">
        <v>10</v>
      </c>
      <c r="D10" s="421">
        <f t="shared" si="0"/>
        <v>109</v>
      </c>
      <c r="E10" s="158">
        <v>43330</v>
      </c>
      <c r="F10" s="109">
        <f t="shared" si="1"/>
        <v>109</v>
      </c>
      <c r="G10" s="110" t="s">
        <v>105</v>
      </c>
      <c r="H10" s="111">
        <v>630</v>
      </c>
      <c r="I10" s="582">
        <f t="shared" ref="I10:I73" si="4">I9-F10</f>
        <v>11390.5</v>
      </c>
      <c r="K10" s="461"/>
      <c r="L10" s="322">
        <v>10.9</v>
      </c>
      <c r="M10" s="20">
        <v>66</v>
      </c>
      <c r="N10" s="421">
        <f t="shared" si="2"/>
        <v>719.4</v>
      </c>
      <c r="O10" s="158">
        <v>43450</v>
      </c>
      <c r="P10" s="109">
        <f t="shared" si="3"/>
        <v>719.4</v>
      </c>
      <c r="Q10" s="110" t="s">
        <v>558</v>
      </c>
      <c r="R10" s="111">
        <v>600</v>
      </c>
      <c r="S10" s="582">
        <f t="shared" ref="S10:S73" si="5">S9-P10</f>
        <v>8916.1999999999989</v>
      </c>
    </row>
    <row r="11" spans="1:19" x14ac:dyDescent="0.25">
      <c r="A11" s="153" t="s">
        <v>33</v>
      </c>
      <c r="B11" s="322">
        <v>10.9</v>
      </c>
      <c r="C11" s="20">
        <v>4</v>
      </c>
      <c r="D11" s="421">
        <f t="shared" si="0"/>
        <v>43.6</v>
      </c>
      <c r="E11" s="158">
        <v>43332</v>
      </c>
      <c r="F11" s="109">
        <f t="shared" si="1"/>
        <v>43.6</v>
      </c>
      <c r="G11" s="110" t="s">
        <v>107</v>
      </c>
      <c r="H11" s="111">
        <v>630</v>
      </c>
      <c r="I11" s="582">
        <f t="shared" si="4"/>
        <v>11346.9</v>
      </c>
      <c r="K11" s="153" t="s">
        <v>33</v>
      </c>
      <c r="L11" s="322">
        <v>10.9</v>
      </c>
      <c r="M11" s="20">
        <v>10</v>
      </c>
      <c r="N11" s="421">
        <f t="shared" si="2"/>
        <v>109</v>
      </c>
      <c r="O11" s="158">
        <v>43451</v>
      </c>
      <c r="P11" s="109">
        <f t="shared" si="3"/>
        <v>109</v>
      </c>
      <c r="Q11" s="110" t="s">
        <v>564</v>
      </c>
      <c r="R11" s="111">
        <v>600</v>
      </c>
      <c r="S11" s="582">
        <f t="shared" si="5"/>
        <v>8807.1999999999989</v>
      </c>
    </row>
    <row r="12" spans="1:19" x14ac:dyDescent="0.25">
      <c r="A12" s="277"/>
      <c r="B12" s="322">
        <v>10.9</v>
      </c>
      <c r="C12" s="20">
        <v>66</v>
      </c>
      <c r="D12" s="421">
        <f t="shared" si="0"/>
        <v>719.4</v>
      </c>
      <c r="E12" s="158">
        <v>43334</v>
      </c>
      <c r="F12" s="109">
        <f t="shared" si="1"/>
        <v>719.4</v>
      </c>
      <c r="G12" s="110" t="s">
        <v>108</v>
      </c>
      <c r="H12" s="111">
        <v>630</v>
      </c>
      <c r="I12" s="582">
        <f t="shared" si="4"/>
        <v>10627.5</v>
      </c>
      <c r="K12" s="277"/>
      <c r="L12" s="322">
        <v>10.9</v>
      </c>
      <c r="M12" s="20">
        <v>4</v>
      </c>
      <c r="N12" s="421">
        <f t="shared" si="2"/>
        <v>43.6</v>
      </c>
      <c r="O12" s="158">
        <v>43451</v>
      </c>
      <c r="P12" s="109">
        <f t="shared" si="3"/>
        <v>43.6</v>
      </c>
      <c r="Q12" s="110" t="s">
        <v>565</v>
      </c>
      <c r="R12" s="111">
        <v>600</v>
      </c>
      <c r="S12" s="582">
        <f t="shared" si="5"/>
        <v>8763.5999999999985</v>
      </c>
    </row>
    <row r="13" spans="1:19" x14ac:dyDescent="0.25">
      <c r="A13" s="277"/>
      <c r="B13" s="322">
        <v>10.9</v>
      </c>
      <c r="C13" s="20">
        <v>10</v>
      </c>
      <c r="D13" s="421">
        <f t="shared" si="0"/>
        <v>109</v>
      </c>
      <c r="E13" s="215">
        <v>43337</v>
      </c>
      <c r="F13" s="109">
        <f t="shared" si="1"/>
        <v>109</v>
      </c>
      <c r="G13" s="110" t="s">
        <v>109</v>
      </c>
      <c r="H13" s="111">
        <v>630</v>
      </c>
      <c r="I13" s="582">
        <f t="shared" si="4"/>
        <v>10518.5</v>
      </c>
      <c r="K13" s="277"/>
      <c r="L13" s="322">
        <v>10.9</v>
      </c>
      <c r="M13" s="20">
        <v>1</v>
      </c>
      <c r="N13" s="421">
        <f t="shared" si="2"/>
        <v>10.9</v>
      </c>
      <c r="O13" s="215">
        <v>43454</v>
      </c>
      <c r="P13" s="109">
        <f t="shared" si="3"/>
        <v>10.9</v>
      </c>
      <c r="Q13" s="110" t="s">
        <v>594</v>
      </c>
      <c r="R13" s="111">
        <v>600</v>
      </c>
      <c r="S13" s="582">
        <f t="shared" si="5"/>
        <v>8752.6999999999989</v>
      </c>
    </row>
    <row r="14" spans="1:19" x14ac:dyDescent="0.25">
      <c r="B14" s="322">
        <v>10.9</v>
      </c>
      <c r="C14" s="20">
        <v>4</v>
      </c>
      <c r="D14" s="421">
        <f t="shared" si="0"/>
        <v>43.6</v>
      </c>
      <c r="E14" s="215">
        <v>43339</v>
      </c>
      <c r="F14" s="109">
        <f t="shared" si="1"/>
        <v>43.6</v>
      </c>
      <c r="G14" s="110" t="s">
        <v>110</v>
      </c>
      <c r="H14" s="111">
        <v>630</v>
      </c>
      <c r="I14" s="147">
        <f t="shared" si="4"/>
        <v>10474.9</v>
      </c>
      <c r="L14" s="322">
        <v>10.9</v>
      </c>
      <c r="M14" s="20">
        <v>10</v>
      </c>
      <c r="N14" s="421">
        <f t="shared" si="2"/>
        <v>109</v>
      </c>
      <c r="O14" s="215">
        <v>43455</v>
      </c>
      <c r="P14" s="109">
        <f t="shared" si="3"/>
        <v>109</v>
      </c>
      <c r="Q14" s="110" t="s">
        <v>599</v>
      </c>
      <c r="R14" s="111">
        <v>600</v>
      </c>
      <c r="S14" s="147">
        <f t="shared" si="5"/>
        <v>8643.6999999999989</v>
      </c>
    </row>
    <row r="15" spans="1:19" x14ac:dyDescent="0.25">
      <c r="B15" s="322">
        <v>10.9</v>
      </c>
      <c r="C15" s="20">
        <v>10</v>
      </c>
      <c r="D15" s="421">
        <f t="shared" si="0"/>
        <v>109</v>
      </c>
      <c r="E15" s="215">
        <v>43340</v>
      </c>
      <c r="F15" s="109">
        <f t="shared" si="1"/>
        <v>109</v>
      </c>
      <c r="G15" s="110" t="s">
        <v>111</v>
      </c>
      <c r="H15" s="111">
        <v>630</v>
      </c>
      <c r="I15" s="147">
        <f t="shared" si="4"/>
        <v>10365.9</v>
      </c>
      <c r="L15" s="322">
        <v>10.9</v>
      </c>
      <c r="M15" s="20">
        <v>3</v>
      </c>
      <c r="N15" s="421">
        <f t="shared" si="2"/>
        <v>32.700000000000003</v>
      </c>
      <c r="O15" s="215">
        <v>43460</v>
      </c>
      <c r="P15" s="109">
        <f t="shared" si="3"/>
        <v>32.700000000000003</v>
      </c>
      <c r="Q15" s="110" t="s">
        <v>637</v>
      </c>
      <c r="R15" s="111">
        <v>600</v>
      </c>
      <c r="S15" s="147">
        <f t="shared" si="5"/>
        <v>8610.9999999999982</v>
      </c>
    </row>
    <row r="16" spans="1:19" x14ac:dyDescent="0.25">
      <c r="A16" s="152"/>
      <c r="B16" s="322">
        <v>10.9</v>
      </c>
      <c r="C16" s="20">
        <v>3</v>
      </c>
      <c r="D16" s="685">
        <f t="shared" si="0"/>
        <v>32.700000000000003</v>
      </c>
      <c r="E16" s="522">
        <v>43346</v>
      </c>
      <c r="F16" s="635">
        <f t="shared" si="1"/>
        <v>32.700000000000003</v>
      </c>
      <c r="G16" s="365" t="s">
        <v>114</v>
      </c>
      <c r="H16" s="214">
        <v>630</v>
      </c>
      <c r="I16" s="147">
        <f t="shared" si="4"/>
        <v>10333.199999999999</v>
      </c>
      <c r="K16" s="152"/>
      <c r="L16" s="322">
        <v>10.9</v>
      </c>
      <c r="M16" s="20">
        <v>3</v>
      </c>
      <c r="N16" s="421">
        <f t="shared" si="2"/>
        <v>32.700000000000003</v>
      </c>
      <c r="O16" s="168">
        <v>43462</v>
      </c>
      <c r="P16" s="109">
        <f t="shared" si="3"/>
        <v>32.700000000000003</v>
      </c>
      <c r="Q16" s="110" t="s">
        <v>661</v>
      </c>
      <c r="R16" s="111">
        <v>600</v>
      </c>
      <c r="S16" s="147">
        <f t="shared" si="5"/>
        <v>8578.2999999999975</v>
      </c>
    </row>
    <row r="17" spans="1:19" x14ac:dyDescent="0.25">
      <c r="A17" s="156"/>
      <c r="B17" s="322">
        <v>10.9</v>
      </c>
      <c r="C17" s="20">
        <v>10</v>
      </c>
      <c r="D17" s="685">
        <f t="shared" si="0"/>
        <v>109</v>
      </c>
      <c r="E17" s="522">
        <v>43350</v>
      </c>
      <c r="F17" s="635">
        <f t="shared" si="1"/>
        <v>109</v>
      </c>
      <c r="G17" s="686" t="s">
        <v>115</v>
      </c>
      <c r="H17" s="214">
        <v>630</v>
      </c>
      <c r="I17" s="147">
        <f t="shared" si="4"/>
        <v>10224.199999999999</v>
      </c>
      <c r="K17" s="156"/>
      <c r="L17" s="322">
        <v>10.9</v>
      </c>
      <c r="M17" s="20">
        <v>10</v>
      </c>
      <c r="N17" s="421">
        <f t="shared" si="2"/>
        <v>109</v>
      </c>
      <c r="O17" s="168">
        <v>43463</v>
      </c>
      <c r="P17" s="109">
        <f t="shared" si="3"/>
        <v>109</v>
      </c>
      <c r="Q17" s="512" t="s">
        <v>663</v>
      </c>
      <c r="R17" s="111">
        <v>600</v>
      </c>
      <c r="S17" s="147">
        <f t="shared" si="5"/>
        <v>8469.2999999999975</v>
      </c>
    </row>
    <row r="18" spans="1:19" x14ac:dyDescent="0.25">
      <c r="A18" s="2"/>
      <c r="B18" s="322">
        <v>10.9</v>
      </c>
      <c r="C18" s="20">
        <v>66</v>
      </c>
      <c r="D18" s="685">
        <f t="shared" si="0"/>
        <v>719.4</v>
      </c>
      <c r="E18" s="522">
        <v>43350</v>
      </c>
      <c r="F18" s="635">
        <f t="shared" si="1"/>
        <v>719.4</v>
      </c>
      <c r="G18" s="365" t="s">
        <v>116</v>
      </c>
      <c r="H18" s="214">
        <v>630</v>
      </c>
      <c r="I18" s="147">
        <f t="shared" si="4"/>
        <v>9504.7999999999993</v>
      </c>
      <c r="K18" s="2"/>
      <c r="L18" s="322">
        <v>10.9</v>
      </c>
      <c r="M18" s="20">
        <v>20</v>
      </c>
      <c r="N18" s="421">
        <f t="shared" si="2"/>
        <v>218</v>
      </c>
      <c r="O18" s="168">
        <v>43463</v>
      </c>
      <c r="P18" s="109">
        <f t="shared" si="3"/>
        <v>218</v>
      </c>
      <c r="Q18" s="110" t="s">
        <v>668</v>
      </c>
      <c r="R18" s="111">
        <v>600</v>
      </c>
      <c r="S18" s="147">
        <f t="shared" si="5"/>
        <v>8251.2999999999975</v>
      </c>
    </row>
    <row r="19" spans="1:19" x14ac:dyDescent="0.25">
      <c r="A19" s="2"/>
      <c r="B19" s="322">
        <v>10.9</v>
      </c>
      <c r="C19" s="20">
        <v>10</v>
      </c>
      <c r="D19" s="685">
        <f t="shared" si="0"/>
        <v>109</v>
      </c>
      <c r="E19" s="522">
        <v>43353</v>
      </c>
      <c r="F19" s="635">
        <f t="shared" si="1"/>
        <v>109</v>
      </c>
      <c r="G19" s="365" t="s">
        <v>117</v>
      </c>
      <c r="H19" s="214">
        <v>630</v>
      </c>
      <c r="I19" s="147">
        <f t="shared" si="4"/>
        <v>9395.7999999999993</v>
      </c>
      <c r="K19" s="2"/>
      <c r="L19" s="322">
        <v>10.9</v>
      </c>
      <c r="M19" s="20"/>
      <c r="N19" s="421">
        <f t="shared" si="2"/>
        <v>0</v>
      </c>
      <c r="O19" s="168"/>
      <c r="P19" s="109">
        <f t="shared" si="3"/>
        <v>0</v>
      </c>
      <c r="Q19" s="110"/>
      <c r="R19" s="111"/>
      <c r="S19" s="147">
        <f t="shared" si="5"/>
        <v>8251.2999999999975</v>
      </c>
    </row>
    <row r="20" spans="1:19" x14ac:dyDescent="0.25">
      <c r="A20" s="2"/>
      <c r="B20" s="322">
        <v>10.9</v>
      </c>
      <c r="C20" s="20">
        <v>3</v>
      </c>
      <c r="D20" s="685">
        <f t="shared" si="0"/>
        <v>32.700000000000003</v>
      </c>
      <c r="E20" s="687">
        <v>43353</v>
      </c>
      <c r="F20" s="635">
        <f t="shared" si="1"/>
        <v>32.700000000000003</v>
      </c>
      <c r="G20" s="365" t="s">
        <v>118</v>
      </c>
      <c r="H20" s="214">
        <v>630</v>
      </c>
      <c r="I20" s="147">
        <f t="shared" si="4"/>
        <v>9363.0999999999985</v>
      </c>
      <c r="K20" s="2"/>
      <c r="L20" s="322">
        <v>10.9</v>
      </c>
      <c r="M20" s="20"/>
      <c r="N20" s="421">
        <f t="shared" si="2"/>
        <v>0</v>
      </c>
      <c r="O20" s="215"/>
      <c r="P20" s="109">
        <f t="shared" si="3"/>
        <v>0</v>
      </c>
      <c r="Q20" s="110"/>
      <c r="R20" s="111"/>
      <c r="S20" s="147">
        <f t="shared" si="5"/>
        <v>8251.2999999999975</v>
      </c>
    </row>
    <row r="21" spans="1:19" x14ac:dyDescent="0.25">
      <c r="A21" s="2"/>
      <c r="B21" s="322">
        <v>10.9</v>
      </c>
      <c r="C21" s="20">
        <v>10</v>
      </c>
      <c r="D21" s="685">
        <f t="shared" si="0"/>
        <v>109</v>
      </c>
      <c r="E21" s="687">
        <v>43356</v>
      </c>
      <c r="F21" s="635">
        <f t="shared" si="1"/>
        <v>109</v>
      </c>
      <c r="G21" s="365" t="s">
        <v>119</v>
      </c>
      <c r="H21" s="214">
        <v>630</v>
      </c>
      <c r="I21" s="147">
        <f t="shared" si="4"/>
        <v>9254.0999999999985</v>
      </c>
      <c r="K21" s="2"/>
      <c r="L21" s="322">
        <v>10.9</v>
      </c>
      <c r="M21" s="20"/>
      <c r="N21" s="421">
        <f t="shared" si="2"/>
        <v>0</v>
      </c>
      <c r="O21" s="215"/>
      <c r="P21" s="109">
        <f t="shared" si="3"/>
        <v>0</v>
      </c>
      <c r="Q21" s="110"/>
      <c r="R21" s="111"/>
      <c r="S21" s="147">
        <f t="shared" si="5"/>
        <v>8251.2999999999975</v>
      </c>
    </row>
    <row r="22" spans="1:19" x14ac:dyDescent="0.25">
      <c r="A22" s="2"/>
      <c r="B22" s="322">
        <v>10.9</v>
      </c>
      <c r="C22" s="20">
        <v>10</v>
      </c>
      <c r="D22" s="685">
        <f t="shared" si="0"/>
        <v>109</v>
      </c>
      <c r="E22" s="687">
        <v>43361</v>
      </c>
      <c r="F22" s="635">
        <f t="shared" si="1"/>
        <v>109</v>
      </c>
      <c r="G22" s="365" t="s">
        <v>120</v>
      </c>
      <c r="H22" s="214">
        <v>630</v>
      </c>
      <c r="I22" s="147">
        <f t="shared" si="4"/>
        <v>9145.0999999999985</v>
      </c>
      <c r="K22" s="2"/>
      <c r="L22" s="322">
        <v>10.9</v>
      </c>
      <c r="M22" s="20"/>
      <c r="N22" s="421">
        <f t="shared" si="2"/>
        <v>0</v>
      </c>
      <c r="O22" s="215"/>
      <c r="P22" s="109">
        <f t="shared" si="3"/>
        <v>0</v>
      </c>
      <c r="Q22" s="110"/>
      <c r="R22" s="111"/>
      <c r="S22" s="147">
        <f t="shared" si="5"/>
        <v>8251.2999999999975</v>
      </c>
    </row>
    <row r="23" spans="1:19" x14ac:dyDescent="0.25">
      <c r="A23" s="2"/>
      <c r="B23" s="322">
        <v>10.9</v>
      </c>
      <c r="C23" s="20">
        <v>1</v>
      </c>
      <c r="D23" s="685">
        <f t="shared" si="0"/>
        <v>10.9</v>
      </c>
      <c r="E23" s="687">
        <v>43362</v>
      </c>
      <c r="F23" s="635">
        <f t="shared" si="1"/>
        <v>10.9</v>
      </c>
      <c r="G23" s="365" t="s">
        <v>121</v>
      </c>
      <c r="H23" s="214">
        <v>630</v>
      </c>
      <c r="I23" s="147">
        <f t="shared" si="4"/>
        <v>9134.1999999999989</v>
      </c>
      <c r="K23" s="2"/>
      <c r="L23" s="322">
        <v>10.9</v>
      </c>
      <c r="M23" s="20"/>
      <c r="N23" s="421">
        <f t="shared" si="2"/>
        <v>0</v>
      </c>
      <c r="O23" s="215"/>
      <c r="P23" s="109">
        <f t="shared" si="3"/>
        <v>0</v>
      </c>
      <c r="Q23" s="110"/>
      <c r="R23" s="111"/>
      <c r="S23" s="147">
        <f t="shared" si="5"/>
        <v>8251.2999999999975</v>
      </c>
    </row>
    <row r="24" spans="1:19" x14ac:dyDescent="0.25">
      <c r="A24" s="2"/>
      <c r="B24" s="322">
        <v>10.9</v>
      </c>
      <c r="C24" s="20">
        <v>2</v>
      </c>
      <c r="D24" s="685">
        <f t="shared" si="0"/>
        <v>21.8</v>
      </c>
      <c r="E24" s="522">
        <v>43365</v>
      </c>
      <c r="F24" s="635">
        <f t="shared" si="1"/>
        <v>21.8</v>
      </c>
      <c r="G24" s="365" t="s">
        <v>122</v>
      </c>
      <c r="H24" s="214">
        <v>630</v>
      </c>
      <c r="I24" s="147">
        <f t="shared" si="4"/>
        <v>9112.4</v>
      </c>
      <c r="K24" s="2"/>
      <c r="L24" s="322">
        <v>10.9</v>
      </c>
      <c r="M24" s="20"/>
      <c r="N24" s="685">
        <f t="shared" si="2"/>
        <v>0</v>
      </c>
      <c r="O24" s="522"/>
      <c r="P24" s="635">
        <f t="shared" si="3"/>
        <v>0</v>
      </c>
      <c r="Q24" s="365"/>
      <c r="R24" s="214"/>
      <c r="S24" s="147">
        <f t="shared" si="5"/>
        <v>8251.2999999999975</v>
      </c>
    </row>
    <row r="25" spans="1:19" x14ac:dyDescent="0.25">
      <c r="A25" s="2"/>
      <c r="B25" s="322">
        <v>10.9</v>
      </c>
      <c r="C25" s="20">
        <v>66</v>
      </c>
      <c r="D25" s="685">
        <f t="shared" si="0"/>
        <v>719.4</v>
      </c>
      <c r="E25" s="522">
        <v>43365</v>
      </c>
      <c r="F25" s="635">
        <f t="shared" si="1"/>
        <v>719.4</v>
      </c>
      <c r="G25" s="365" t="s">
        <v>123</v>
      </c>
      <c r="H25" s="214">
        <v>630</v>
      </c>
      <c r="I25" s="147">
        <f t="shared" si="4"/>
        <v>8393</v>
      </c>
      <c r="K25" s="2"/>
      <c r="L25" s="322">
        <v>10.9</v>
      </c>
      <c r="M25" s="20"/>
      <c r="N25" s="685">
        <f t="shared" si="2"/>
        <v>0</v>
      </c>
      <c r="O25" s="522"/>
      <c r="P25" s="635">
        <f t="shared" si="3"/>
        <v>0</v>
      </c>
      <c r="Q25" s="365"/>
      <c r="R25" s="214"/>
      <c r="S25" s="147">
        <f t="shared" si="5"/>
        <v>8251.2999999999975</v>
      </c>
    </row>
    <row r="26" spans="1:19" x14ac:dyDescent="0.25">
      <c r="A26" s="2"/>
      <c r="B26" s="322">
        <v>10.9</v>
      </c>
      <c r="C26" s="20">
        <v>10</v>
      </c>
      <c r="D26" s="685">
        <f t="shared" si="0"/>
        <v>109</v>
      </c>
      <c r="E26" s="522">
        <v>43367</v>
      </c>
      <c r="F26" s="635">
        <f t="shared" si="1"/>
        <v>109</v>
      </c>
      <c r="G26" s="365" t="s">
        <v>124</v>
      </c>
      <c r="H26" s="214">
        <v>630</v>
      </c>
      <c r="I26" s="147">
        <f t="shared" si="4"/>
        <v>8284</v>
      </c>
      <c r="K26" s="2"/>
      <c r="L26" s="322">
        <v>10.9</v>
      </c>
      <c r="M26" s="20"/>
      <c r="N26" s="685">
        <f t="shared" si="2"/>
        <v>0</v>
      </c>
      <c r="O26" s="522"/>
      <c r="P26" s="635">
        <f t="shared" si="3"/>
        <v>0</v>
      </c>
      <c r="Q26" s="365"/>
      <c r="R26" s="214"/>
      <c r="S26" s="147">
        <f t="shared" si="5"/>
        <v>8251.2999999999975</v>
      </c>
    </row>
    <row r="27" spans="1:19" x14ac:dyDescent="0.25">
      <c r="A27" s="422"/>
      <c r="B27" s="322">
        <v>10.9</v>
      </c>
      <c r="C27" s="20">
        <v>3</v>
      </c>
      <c r="D27" s="685">
        <f t="shared" si="0"/>
        <v>32.700000000000003</v>
      </c>
      <c r="E27" s="522">
        <v>43367</v>
      </c>
      <c r="F27" s="635">
        <f t="shared" si="1"/>
        <v>32.700000000000003</v>
      </c>
      <c r="G27" s="365" t="s">
        <v>125</v>
      </c>
      <c r="H27" s="214">
        <v>630</v>
      </c>
      <c r="I27" s="147">
        <f t="shared" si="4"/>
        <v>8251.2999999999993</v>
      </c>
      <c r="K27" s="422"/>
      <c r="L27" s="322">
        <v>10.9</v>
      </c>
      <c r="M27" s="20"/>
      <c r="N27" s="685">
        <f t="shared" si="2"/>
        <v>0</v>
      </c>
      <c r="O27" s="522"/>
      <c r="P27" s="635">
        <f t="shared" si="3"/>
        <v>0</v>
      </c>
      <c r="Q27" s="365"/>
      <c r="R27" s="214"/>
      <c r="S27" s="147">
        <f t="shared" si="5"/>
        <v>8251.2999999999975</v>
      </c>
    </row>
    <row r="28" spans="1:19" x14ac:dyDescent="0.25">
      <c r="A28" s="422"/>
      <c r="B28" s="322">
        <v>10.9</v>
      </c>
      <c r="C28" s="20">
        <v>10</v>
      </c>
      <c r="D28" s="685">
        <f t="shared" si="0"/>
        <v>109</v>
      </c>
      <c r="E28" s="687">
        <v>43371</v>
      </c>
      <c r="F28" s="635">
        <f t="shared" si="1"/>
        <v>109</v>
      </c>
      <c r="G28" s="365" t="s">
        <v>127</v>
      </c>
      <c r="H28" s="214">
        <v>630</v>
      </c>
      <c r="I28" s="582">
        <f t="shared" si="4"/>
        <v>8142.2999999999993</v>
      </c>
      <c r="K28" s="422"/>
      <c r="L28" s="322">
        <v>10.9</v>
      </c>
      <c r="M28" s="20"/>
      <c r="N28" s="685">
        <f t="shared" si="2"/>
        <v>0</v>
      </c>
      <c r="O28" s="687"/>
      <c r="P28" s="635">
        <f t="shared" si="3"/>
        <v>0</v>
      </c>
      <c r="Q28" s="365"/>
      <c r="R28" s="214"/>
      <c r="S28" s="582">
        <f t="shared" si="5"/>
        <v>8251.2999999999975</v>
      </c>
    </row>
    <row r="29" spans="1:19" x14ac:dyDescent="0.25">
      <c r="A29" s="422"/>
      <c r="B29" s="322">
        <v>10.9</v>
      </c>
      <c r="C29" s="20">
        <v>3</v>
      </c>
      <c r="D29" s="700">
        <f t="shared" si="0"/>
        <v>32.700000000000003</v>
      </c>
      <c r="E29" s="699">
        <v>43374</v>
      </c>
      <c r="F29" s="95">
        <f t="shared" si="1"/>
        <v>32.700000000000003</v>
      </c>
      <c r="G29" s="106" t="s">
        <v>129</v>
      </c>
      <c r="H29" s="96">
        <v>630</v>
      </c>
      <c r="I29" s="582">
        <f t="shared" si="4"/>
        <v>8109.5999999999995</v>
      </c>
      <c r="K29" s="422"/>
      <c r="L29" s="322">
        <v>10.9</v>
      </c>
      <c r="M29" s="20"/>
      <c r="N29" s="700">
        <f t="shared" si="2"/>
        <v>0</v>
      </c>
      <c r="O29" s="699"/>
      <c r="P29" s="95">
        <f t="shared" si="3"/>
        <v>0</v>
      </c>
      <c r="Q29" s="106"/>
      <c r="R29" s="96"/>
      <c r="S29" s="582">
        <f t="shared" si="5"/>
        <v>8251.2999999999975</v>
      </c>
    </row>
    <row r="30" spans="1:19" x14ac:dyDescent="0.25">
      <c r="A30" s="422"/>
      <c r="B30" s="322">
        <v>10.9</v>
      </c>
      <c r="C30" s="20">
        <v>10</v>
      </c>
      <c r="D30" s="700">
        <f t="shared" si="0"/>
        <v>109</v>
      </c>
      <c r="E30" s="699">
        <v>43378</v>
      </c>
      <c r="F30" s="95">
        <f t="shared" si="1"/>
        <v>109</v>
      </c>
      <c r="G30" s="106" t="s">
        <v>130</v>
      </c>
      <c r="H30" s="96">
        <v>630</v>
      </c>
      <c r="I30" s="582">
        <f t="shared" si="4"/>
        <v>8000.5999999999995</v>
      </c>
      <c r="K30" s="422"/>
      <c r="L30" s="322">
        <v>10.9</v>
      </c>
      <c r="M30" s="20"/>
      <c r="N30" s="700">
        <f t="shared" si="2"/>
        <v>0</v>
      </c>
      <c r="O30" s="699"/>
      <c r="P30" s="95">
        <f t="shared" si="3"/>
        <v>0</v>
      </c>
      <c r="Q30" s="106"/>
      <c r="R30" s="96"/>
      <c r="S30" s="582">
        <f t="shared" si="5"/>
        <v>8251.2999999999975</v>
      </c>
    </row>
    <row r="31" spans="1:19" x14ac:dyDescent="0.25">
      <c r="A31" s="422"/>
      <c r="B31" s="322">
        <v>10.9</v>
      </c>
      <c r="C31" s="20">
        <v>10</v>
      </c>
      <c r="D31" s="700">
        <f t="shared" si="0"/>
        <v>109</v>
      </c>
      <c r="E31" s="699">
        <v>43379</v>
      </c>
      <c r="F31" s="95">
        <f t="shared" si="1"/>
        <v>109</v>
      </c>
      <c r="G31" s="106" t="s">
        <v>131</v>
      </c>
      <c r="H31" s="96">
        <v>630</v>
      </c>
      <c r="I31" s="582">
        <f t="shared" si="4"/>
        <v>7891.5999999999995</v>
      </c>
      <c r="K31" s="422"/>
      <c r="L31" s="322">
        <v>10.9</v>
      </c>
      <c r="M31" s="20"/>
      <c r="N31" s="700">
        <f t="shared" si="2"/>
        <v>0</v>
      </c>
      <c r="O31" s="699"/>
      <c r="P31" s="95">
        <f t="shared" si="3"/>
        <v>0</v>
      </c>
      <c r="Q31" s="106"/>
      <c r="R31" s="96"/>
      <c r="S31" s="582">
        <f t="shared" si="5"/>
        <v>8251.2999999999975</v>
      </c>
    </row>
    <row r="32" spans="1:19" x14ac:dyDescent="0.25">
      <c r="A32" s="121"/>
      <c r="B32" s="322">
        <v>10.9</v>
      </c>
      <c r="C32" s="20">
        <v>1</v>
      </c>
      <c r="D32" s="700">
        <f t="shared" si="0"/>
        <v>10.9</v>
      </c>
      <c r="E32" s="699">
        <v>43381</v>
      </c>
      <c r="F32" s="95">
        <f t="shared" si="1"/>
        <v>10.9</v>
      </c>
      <c r="G32" s="106" t="s">
        <v>132</v>
      </c>
      <c r="H32" s="96">
        <v>630</v>
      </c>
      <c r="I32" s="582">
        <f t="shared" si="4"/>
        <v>7880.7</v>
      </c>
      <c r="K32" s="121"/>
      <c r="L32" s="322">
        <v>10.9</v>
      </c>
      <c r="M32" s="20"/>
      <c r="N32" s="700">
        <f t="shared" si="2"/>
        <v>0</v>
      </c>
      <c r="O32" s="699"/>
      <c r="P32" s="95">
        <f t="shared" si="3"/>
        <v>0</v>
      </c>
      <c r="Q32" s="106"/>
      <c r="R32" s="96"/>
      <c r="S32" s="582">
        <f t="shared" si="5"/>
        <v>8251.2999999999975</v>
      </c>
    </row>
    <row r="33" spans="1:19" x14ac:dyDescent="0.25">
      <c r="A33" s="2"/>
      <c r="B33" s="322">
        <v>10.9</v>
      </c>
      <c r="C33" s="20">
        <v>66</v>
      </c>
      <c r="D33" s="700">
        <f t="shared" si="0"/>
        <v>719.4</v>
      </c>
      <c r="E33" s="699">
        <v>43382</v>
      </c>
      <c r="F33" s="95">
        <f t="shared" si="1"/>
        <v>719.4</v>
      </c>
      <c r="G33" s="106" t="s">
        <v>133</v>
      </c>
      <c r="H33" s="96">
        <v>630</v>
      </c>
      <c r="I33" s="582">
        <f t="shared" si="4"/>
        <v>7161.3</v>
      </c>
      <c r="K33" s="2"/>
      <c r="L33" s="322">
        <v>10.9</v>
      </c>
      <c r="M33" s="20"/>
      <c r="N33" s="700">
        <f t="shared" si="2"/>
        <v>0</v>
      </c>
      <c r="O33" s="699"/>
      <c r="P33" s="95">
        <f t="shared" si="3"/>
        <v>0</v>
      </c>
      <c r="Q33" s="106"/>
      <c r="R33" s="96"/>
      <c r="S33" s="582">
        <f t="shared" si="5"/>
        <v>8251.2999999999975</v>
      </c>
    </row>
    <row r="34" spans="1:19" x14ac:dyDescent="0.25">
      <c r="A34" s="2"/>
      <c r="B34" s="322">
        <v>10.9</v>
      </c>
      <c r="C34" s="20">
        <v>66</v>
      </c>
      <c r="D34" s="700">
        <f t="shared" si="0"/>
        <v>719.4</v>
      </c>
      <c r="E34" s="699">
        <v>43391</v>
      </c>
      <c r="F34" s="95">
        <f t="shared" si="1"/>
        <v>719.4</v>
      </c>
      <c r="G34" s="106" t="s">
        <v>143</v>
      </c>
      <c r="H34" s="96">
        <v>630</v>
      </c>
      <c r="I34" s="582">
        <f t="shared" si="4"/>
        <v>6441.9000000000005</v>
      </c>
      <c r="K34" s="2"/>
      <c r="L34" s="322">
        <v>10.9</v>
      </c>
      <c r="M34" s="20"/>
      <c r="N34" s="700">
        <f t="shared" si="2"/>
        <v>0</v>
      </c>
      <c r="O34" s="699"/>
      <c r="P34" s="95">
        <f t="shared" si="3"/>
        <v>0</v>
      </c>
      <c r="Q34" s="106"/>
      <c r="R34" s="96"/>
      <c r="S34" s="582">
        <f t="shared" si="5"/>
        <v>8251.2999999999975</v>
      </c>
    </row>
    <row r="35" spans="1:19" x14ac:dyDescent="0.25">
      <c r="A35" s="2"/>
      <c r="B35" s="322">
        <v>10.9</v>
      </c>
      <c r="C35" s="20">
        <v>2</v>
      </c>
      <c r="D35" s="700">
        <f t="shared" si="0"/>
        <v>21.8</v>
      </c>
      <c r="E35" s="701">
        <v>43399</v>
      </c>
      <c r="F35" s="95">
        <f t="shared" si="1"/>
        <v>21.8</v>
      </c>
      <c r="G35" s="106" t="s">
        <v>147</v>
      </c>
      <c r="H35" s="96">
        <v>630</v>
      </c>
      <c r="I35" s="582">
        <f t="shared" si="4"/>
        <v>6420.1</v>
      </c>
      <c r="K35" s="2"/>
      <c r="L35" s="322">
        <v>10.9</v>
      </c>
      <c r="M35" s="20"/>
      <c r="N35" s="700">
        <f t="shared" si="2"/>
        <v>0</v>
      </c>
      <c r="O35" s="701"/>
      <c r="P35" s="95">
        <f t="shared" si="3"/>
        <v>0</v>
      </c>
      <c r="Q35" s="106"/>
      <c r="R35" s="96"/>
      <c r="S35" s="582">
        <f t="shared" si="5"/>
        <v>8251.2999999999975</v>
      </c>
    </row>
    <row r="36" spans="1:19" x14ac:dyDescent="0.25">
      <c r="A36" s="2"/>
      <c r="B36" s="322">
        <v>10.9</v>
      </c>
      <c r="C36" s="20">
        <v>10</v>
      </c>
      <c r="D36" s="700">
        <f t="shared" si="0"/>
        <v>109</v>
      </c>
      <c r="E36" s="701">
        <v>43400</v>
      </c>
      <c r="F36" s="95">
        <f t="shared" si="1"/>
        <v>109</v>
      </c>
      <c r="G36" s="106" t="s">
        <v>149</v>
      </c>
      <c r="H36" s="96">
        <v>630</v>
      </c>
      <c r="I36" s="582">
        <f t="shared" si="4"/>
        <v>6311.1</v>
      </c>
      <c r="K36" s="2"/>
      <c r="L36" s="322">
        <v>10.9</v>
      </c>
      <c r="M36" s="20"/>
      <c r="N36" s="700">
        <f t="shared" si="2"/>
        <v>0</v>
      </c>
      <c r="O36" s="701"/>
      <c r="P36" s="95">
        <f t="shared" si="3"/>
        <v>0</v>
      </c>
      <c r="Q36" s="106"/>
      <c r="R36" s="96"/>
      <c r="S36" s="582">
        <f t="shared" si="5"/>
        <v>8251.2999999999975</v>
      </c>
    </row>
    <row r="37" spans="1:19" x14ac:dyDescent="0.25">
      <c r="A37" s="2"/>
      <c r="B37" s="322">
        <v>10.9</v>
      </c>
      <c r="C37" s="20">
        <v>1</v>
      </c>
      <c r="D37" s="700">
        <f t="shared" si="0"/>
        <v>10.9</v>
      </c>
      <c r="E37" s="701">
        <v>43402</v>
      </c>
      <c r="F37" s="95">
        <f t="shared" si="1"/>
        <v>10.9</v>
      </c>
      <c r="G37" s="106" t="s">
        <v>148</v>
      </c>
      <c r="H37" s="96">
        <v>630</v>
      </c>
      <c r="I37" s="582">
        <f t="shared" si="4"/>
        <v>6300.2000000000007</v>
      </c>
      <c r="K37" s="2"/>
      <c r="L37" s="322">
        <v>10.9</v>
      </c>
      <c r="M37" s="20"/>
      <c r="N37" s="700">
        <f t="shared" si="2"/>
        <v>0</v>
      </c>
      <c r="O37" s="701"/>
      <c r="P37" s="95">
        <f t="shared" si="3"/>
        <v>0</v>
      </c>
      <c r="Q37" s="106"/>
      <c r="R37" s="96"/>
      <c r="S37" s="582">
        <f t="shared" si="5"/>
        <v>8251.2999999999975</v>
      </c>
    </row>
    <row r="38" spans="1:19" x14ac:dyDescent="0.25">
      <c r="A38" s="2"/>
      <c r="B38" s="322">
        <v>10.9</v>
      </c>
      <c r="C38" s="20">
        <v>66</v>
      </c>
      <c r="D38" s="685">
        <f t="shared" si="0"/>
        <v>719.4</v>
      </c>
      <c r="E38" s="720">
        <v>43405</v>
      </c>
      <c r="F38" s="635">
        <f t="shared" si="1"/>
        <v>719.4</v>
      </c>
      <c r="G38" s="365" t="s">
        <v>154</v>
      </c>
      <c r="H38" s="214">
        <v>630</v>
      </c>
      <c r="I38" s="582">
        <f t="shared" si="4"/>
        <v>5580.8000000000011</v>
      </c>
      <c r="K38" s="2"/>
      <c r="L38" s="322">
        <v>10.9</v>
      </c>
      <c r="M38" s="20"/>
      <c r="N38" s="685">
        <f t="shared" si="2"/>
        <v>0</v>
      </c>
      <c r="O38" s="720"/>
      <c r="P38" s="635">
        <f t="shared" si="3"/>
        <v>0</v>
      </c>
      <c r="Q38" s="365"/>
      <c r="R38" s="214"/>
      <c r="S38" s="582">
        <f t="shared" si="5"/>
        <v>8251.2999999999975</v>
      </c>
    </row>
    <row r="39" spans="1:19" x14ac:dyDescent="0.25">
      <c r="A39" s="2"/>
      <c r="B39" s="322">
        <v>10.9</v>
      </c>
      <c r="C39" s="20">
        <v>10</v>
      </c>
      <c r="D39" s="685">
        <f t="shared" si="0"/>
        <v>109</v>
      </c>
      <c r="E39" s="720">
        <v>43405</v>
      </c>
      <c r="F39" s="635">
        <f t="shared" si="1"/>
        <v>109</v>
      </c>
      <c r="G39" s="365" t="s">
        <v>155</v>
      </c>
      <c r="H39" s="214">
        <v>630</v>
      </c>
      <c r="I39" s="582">
        <f t="shared" si="4"/>
        <v>5471.8000000000011</v>
      </c>
      <c r="K39" s="2"/>
      <c r="L39" s="322">
        <v>10.9</v>
      </c>
      <c r="M39" s="20"/>
      <c r="N39" s="685">
        <f t="shared" si="2"/>
        <v>0</v>
      </c>
      <c r="O39" s="720"/>
      <c r="P39" s="635">
        <f t="shared" si="3"/>
        <v>0</v>
      </c>
      <c r="Q39" s="365"/>
      <c r="R39" s="214"/>
      <c r="S39" s="582">
        <f t="shared" si="5"/>
        <v>8251.2999999999975</v>
      </c>
    </row>
    <row r="40" spans="1:19" x14ac:dyDescent="0.25">
      <c r="A40" s="2"/>
      <c r="B40" s="322">
        <v>10.9</v>
      </c>
      <c r="C40" s="20">
        <v>15</v>
      </c>
      <c r="D40" s="685">
        <f t="shared" si="0"/>
        <v>163.5</v>
      </c>
      <c r="E40" s="720">
        <v>43409</v>
      </c>
      <c r="F40" s="635">
        <f t="shared" si="1"/>
        <v>163.5</v>
      </c>
      <c r="G40" s="365" t="s">
        <v>164</v>
      </c>
      <c r="H40" s="214">
        <v>630</v>
      </c>
      <c r="I40" s="582">
        <f t="shared" si="4"/>
        <v>5308.3000000000011</v>
      </c>
      <c r="K40" s="2"/>
      <c r="L40" s="322">
        <v>10.9</v>
      </c>
      <c r="M40" s="20"/>
      <c r="N40" s="685">
        <f t="shared" si="2"/>
        <v>0</v>
      </c>
      <c r="O40" s="720"/>
      <c r="P40" s="635">
        <f t="shared" si="3"/>
        <v>0</v>
      </c>
      <c r="Q40" s="365"/>
      <c r="R40" s="214"/>
      <c r="S40" s="582">
        <f t="shared" si="5"/>
        <v>8251.2999999999975</v>
      </c>
    </row>
    <row r="41" spans="1:19" x14ac:dyDescent="0.25">
      <c r="A41" s="2"/>
      <c r="B41" s="322">
        <v>10.9</v>
      </c>
      <c r="C41" s="20">
        <v>3</v>
      </c>
      <c r="D41" s="685">
        <f t="shared" si="0"/>
        <v>32.700000000000003</v>
      </c>
      <c r="E41" s="720">
        <v>43409</v>
      </c>
      <c r="F41" s="635">
        <f t="shared" si="1"/>
        <v>32.700000000000003</v>
      </c>
      <c r="G41" s="365" t="s">
        <v>166</v>
      </c>
      <c r="H41" s="214">
        <v>630</v>
      </c>
      <c r="I41" s="582">
        <f t="shared" si="4"/>
        <v>5275.6000000000013</v>
      </c>
      <c r="K41" s="2"/>
      <c r="L41" s="322">
        <v>10.9</v>
      </c>
      <c r="M41" s="20"/>
      <c r="N41" s="685">
        <f t="shared" si="2"/>
        <v>0</v>
      </c>
      <c r="O41" s="720"/>
      <c r="P41" s="635">
        <f t="shared" si="3"/>
        <v>0</v>
      </c>
      <c r="Q41" s="365"/>
      <c r="R41" s="214"/>
      <c r="S41" s="582">
        <f t="shared" si="5"/>
        <v>8251.2999999999975</v>
      </c>
    </row>
    <row r="42" spans="1:19" x14ac:dyDescent="0.25">
      <c r="A42" s="2"/>
      <c r="B42" s="322">
        <v>10.9</v>
      </c>
      <c r="C42" s="20">
        <v>66</v>
      </c>
      <c r="D42" s="685">
        <f t="shared" si="0"/>
        <v>719.4</v>
      </c>
      <c r="E42" s="720">
        <v>43414</v>
      </c>
      <c r="F42" s="635">
        <f t="shared" si="1"/>
        <v>719.4</v>
      </c>
      <c r="G42" s="365" t="s">
        <v>172</v>
      </c>
      <c r="H42" s="214">
        <v>630</v>
      </c>
      <c r="I42" s="582">
        <f t="shared" si="4"/>
        <v>4556.2000000000016</v>
      </c>
      <c r="K42" s="2"/>
      <c r="L42" s="322">
        <v>10.9</v>
      </c>
      <c r="M42" s="20"/>
      <c r="N42" s="685">
        <f t="shared" si="2"/>
        <v>0</v>
      </c>
      <c r="O42" s="720"/>
      <c r="P42" s="635">
        <f t="shared" si="3"/>
        <v>0</v>
      </c>
      <c r="Q42" s="365"/>
      <c r="R42" s="214"/>
      <c r="S42" s="582">
        <f t="shared" si="5"/>
        <v>8251.2999999999975</v>
      </c>
    </row>
    <row r="43" spans="1:19" x14ac:dyDescent="0.25">
      <c r="A43" s="2"/>
      <c r="B43" s="322">
        <v>10.9</v>
      </c>
      <c r="C43" s="20">
        <v>8</v>
      </c>
      <c r="D43" s="685">
        <f t="shared" si="0"/>
        <v>87.2</v>
      </c>
      <c r="E43" s="720">
        <v>43423</v>
      </c>
      <c r="F43" s="635">
        <f t="shared" si="1"/>
        <v>87.2</v>
      </c>
      <c r="G43" s="365" t="s">
        <v>184</v>
      </c>
      <c r="H43" s="214">
        <v>630</v>
      </c>
      <c r="I43" s="582">
        <f t="shared" si="4"/>
        <v>4469.0000000000018</v>
      </c>
      <c r="K43" s="2"/>
      <c r="L43" s="322">
        <v>10.9</v>
      </c>
      <c r="M43" s="20"/>
      <c r="N43" s="685">
        <f t="shared" si="2"/>
        <v>0</v>
      </c>
      <c r="O43" s="720"/>
      <c r="P43" s="635">
        <f t="shared" si="3"/>
        <v>0</v>
      </c>
      <c r="Q43" s="365"/>
      <c r="R43" s="214"/>
      <c r="S43" s="582">
        <f t="shared" si="5"/>
        <v>8251.2999999999975</v>
      </c>
    </row>
    <row r="44" spans="1:19" x14ac:dyDescent="0.25">
      <c r="A44" s="2"/>
      <c r="B44" s="322">
        <v>10.9</v>
      </c>
      <c r="C44" s="20">
        <v>3</v>
      </c>
      <c r="D44" s="685">
        <f t="shared" si="0"/>
        <v>32.700000000000003</v>
      </c>
      <c r="E44" s="720">
        <v>43423</v>
      </c>
      <c r="F44" s="635">
        <f t="shared" si="1"/>
        <v>32.700000000000003</v>
      </c>
      <c r="G44" s="365" t="s">
        <v>185</v>
      </c>
      <c r="H44" s="214">
        <v>630</v>
      </c>
      <c r="I44" s="582">
        <f t="shared" si="4"/>
        <v>4436.300000000002</v>
      </c>
      <c r="K44" s="2"/>
      <c r="L44" s="322">
        <v>10.9</v>
      </c>
      <c r="M44" s="20"/>
      <c r="N44" s="685">
        <f t="shared" si="2"/>
        <v>0</v>
      </c>
      <c r="O44" s="720"/>
      <c r="P44" s="635">
        <f t="shared" si="3"/>
        <v>0</v>
      </c>
      <c r="Q44" s="365"/>
      <c r="R44" s="214"/>
      <c r="S44" s="582">
        <f t="shared" si="5"/>
        <v>8251.2999999999975</v>
      </c>
    </row>
    <row r="45" spans="1:19" x14ac:dyDescent="0.25">
      <c r="A45" s="2"/>
      <c r="B45" s="322">
        <v>10.9</v>
      </c>
      <c r="C45" s="20">
        <v>10</v>
      </c>
      <c r="D45" s="685">
        <f t="shared" si="0"/>
        <v>109</v>
      </c>
      <c r="E45" s="720">
        <v>43426</v>
      </c>
      <c r="F45" s="635">
        <f t="shared" si="1"/>
        <v>109</v>
      </c>
      <c r="G45" s="365" t="s">
        <v>189</v>
      </c>
      <c r="H45" s="214">
        <v>600</v>
      </c>
      <c r="I45" s="582">
        <f t="shared" si="4"/>
        <v>4327.300000000002</v>
      </c>
      <c r="K45" s="2"/>
      <c r="L45" s="322">
        <v>10.9</v>
      </c>
      <c r="M45" s="20"/>
      <c r="N45" s="685">
        <f t="shared" si="2"/>
        <v>0</v>
      </c>
      <c r="O45" s="720"/>
      <c r="P45" s="635">
        <f t="shared" si="3"/>
        <v>0</v>
      </c>
      <c r="Q45" s="365"/>
      <c r="R45" s="214"/>
      <c r="S45" s="582">
        <f t="shared" si="5"/>
        <v>8251.2999999999975</v>
      </c>
    </row>
    <row r="46" spans="1:19" x14ac:dyDescent="0.25">
      <c r="A46" s="2"/>
      <c r="B46" s="322">
        <v>10.9</v>
      </c>
      <c r="C46" s="20">
        <v>66</v>
      </c>
      <c r="D46" s="685">
        <f t="shared" si="0"/>
        <v>719.4</v>
      </c>
      <c r="E46" s="720">
        <v>43426</v>
      </c>
      <c r="F46" s="635">
        <f t="shared" si="1"/>
        <v>719.4</v>
      </c>
      <c r="G46" s="365" t="s">
        <v>191</v>
      </c>
      <c r="H46" s="214">
        <v>600</v>
      </c>
      <c r="I46" s="582">
        <f t="shared" si="4"/>
        <v>3607.9000000000019</v>
      </c>
      <c r="K46" s="2"/>
      <c r="L46" s="322">
        <v>10.9</v>
      </c>
      <c r="M46" s="20"/>
      <c r="N46" s="685">
        <f t="shared" si="2"/>
        <v>0</v>
      </c>
      <c r="O46" s="720"/>
      <c r="P46" s="635">
        <f t="shared" si="3"/>
        <v>0</v>
      </c>
      <c r="Q46" s="365"/>
      <c r="R46" s="214"/>
      <c r="S46" s="582">
        <f t="shared" si="5"/>
        <v>8251.2999999999975</v>
      </c>
    </row>
    <row r="47" spans="1:19" x14ac:dyDescent="0.25">
      <c r="A47" s="2"/>
      <c r="B47" s="322">
        <v>10.9</v>
      </c>
      <c r="C47" s="20">
        <v>1</v>
      </c>
      <c r="D47" s="685">
        <f t="shared" si="0"/>
        <v>10.9</v>
      </c>
      <c r="E47" s="720">
        <v>43427</v>
      </c>
      <c r="F47" s="635">
        <f t="shared" si="1"/>
        <v>10.9</v>
      </c>
      <c r="G47" s="365" t="s">
        <v>196</v>
      </c>
      <c r="H47" s="214">
        <v>600</v>
      </c>
      <c r="I47" s="582">
        <f t="shared" si="4"/>
        <v>3597.0000000000018</v>
      </c>
      <c r="K47" s="2"/>
      <c r="L47" s="322">
        <v>10.9</v>
      </c>
      <c r="M47" s="20"/>
      <c r="N47" s="685">
        <f t="shared" si="2"/>
        <v>0</v>
      </c>
      <c r="O47" s="720"/>
      <c r="P47" s="635">
        <f t="shared" si="3"/>
        <v>0</v>
      </c>
      <c r="Q47" s="365"/>
      <c r="R47" s="214"/>
      <c r="S47" s="582">
        <f t="shared" si="5"/>
        <v>8251.2999999999975</v>
      </c>
    </row>
    <row r="48" spans="1:19" x14ac:dyDescent="0.25">
      <c r="A48" s="2"/>
      <c r="B48" s="322">
        <v>10.9</v>
      </c>
      <c r="C48" s="20">
        <v>10</v>
      </c>
      <c r="D48" s="685">
        <f t="shared" si="0"/>
        <v>109</v>
      </c>
      <c r="E48" s="720">
        <v>43428</v>
      </c>
      <c r="F48" s="635">
        <f t="shared" si="1"/>
        <v>109</v>
      </c>
      <c r="G48" s="365" t="s">
        <v>197</v>
      </c>
      <c r="H48" s="214">
        <v>600</v>
      </c>
      <c r="I48" s="582">
        <f t="shared" si="4"/>
        <v>3488.0000000000018</v>
      </c>
      <c r="K48" s="2"/>
      <c r="L48" s="322">
        <v>10.9</v>
      </c>
      <c r="M48" s="20"/>
      <c r="N48" s="685">
        <f t="shared" si="2"/>
        <v>0</v>
      </c>
      <c r="O48" s="720"/>
      <c r="P48" s="635">
        <f t="shared" si="3"/>
        <v>0</v>
      </c>
      <c r="Q48" s="365"/>
      <c r="R48" s="214"/>
      <c r="S48" s="582">
        <f t="shared" si="5"/>
        <v>8251.2999999999975</v>
      </c>
    </row>
    <row r="49" spans="1:19" x14ac:dyDescent="0.25">
      <c r="A49" s="2"/>
      <c r="B49" s="322">
        <v>10.9</v>
      </c>
      <c r="C49" s="20">
        <v>3</v>
      </c>
      <c r="D49" s="685">
        <f t="shared" si="0"/>
        <v>32.700000000000003</v>
      </c>
      <c r="E49" s="720">
        <v>43430</v>
      </c>
      <c r="F49" s="635">
        <f t="shared" si="1"/>
        <v>32.700000000000003</v>
      </c>
      <c r="G49" s="365" t="s">
        <v>199</v>
      </c>
      <c r="H49" s="214">
        <v>600</v>
      </c>
      <c r="I49" s="582">
        <f t="shared" si="4"/>
        <v>3455.300000000002</v>
      </c>
      <c r="K49" s="2"/>
      <c r="L49" s="322">
        <v>10.9</v>
      </c>
      <c r="M49" s="20"/>
      <c r="N49" s="685">
        <f t="shared" si="2"/>
        <v>0</v>
      </c>
      <c r="O49" s="720"/>
      <c r="P49" s="635">
        <f t="shared" si="3"/>
        <v>0</v>
      </c>
      <c r="Q49" s="365"/>
      <c r="R49" s="214"/>
      <c r="S49" s="582">
        <f t="shared" si="5"/>
        <v>8251.2999999999975</v>
      </c>
    </row>
    <row r="50" spans="1:19" x14ac:dyDescent="0.25">
      <c r="A50" s="2"/>
      <c r="B50" s="322">
        <v>10.9</v>
      </c>
      <c r="C50" s="20">
        <v>2</v>
      </c>
      <c r="D50" s="685">
        <f t="shared" si="0"/>
        <v>21.8</v>
      </c>
      <c r="E50" s="720">
        <v>43431</v>
      </c>
      <c r="F50" s="635">
        <f t="shared" si="1"/>
        <v>21.8</v>
      </c>
      <c r="G50" s="365" t="s">
        <v>201</v>
      </c>
      <c r="H50" s="214">
        <v>600</v>
      </c>
      <c r="I50" s="582">
        <f t="shared" si="4"/>
        <v>3433.5000000000018</v>
      </c>
      <c r="K50" s="2"/>
      <c r="L50" s="322">
        <v>10.9</v>
      </c>
      <c r="M50" s="20"/>
      <c r="N50" s="685">
        <f t="shared" si="2"/>
        <v>0</v>
      </c>
      <c r="O50" s="720"/>
      <c r="P50" s="635">
        <f t="shared" si="3"/>
        <v>0</v>
      </c>
      <c r="Q50" s="365"/>
      <c r="R50" s="214"/>
      <c r="S50" s="582">
        <f t="shared" si="5"/>
        <v>8251.2999999999975</v>
      </c>
    </row>
    <row r="51" spans="1:19" x14ac:dyDescent="0.25">
      <c r="A51" s="2"/>
      <c r="B51" s="322">
        <v>10.9</v>
      </c>
      <c r="C51" s="20">
        <v>10</v>
      </c>
      <c r="D51" s="685">
        <f t="shared" si="0"/>
        <v>109</v>
      </c>
      <c r="E51" s="720">
        <v>43434</v>
      </c>
      <c r="F51" s="635">
        <f t="shared" si="1"/>
        <v>109</v>
      </c>
      <c r="G51" s="365" t="s">
        <v>206</v>
      </c>
      <c r="H51" s="214">
        <v>600</v>
      </c>
      <c r="I51" s="582">
        <f t="shared" si="4"/>
        <v>3324.5000000000018</v>
      </c>
      <c r="K51" s="2"/>
      <c r="L51" s="322">
        <v>10.9</v>
      </c>
      <c r="M51" s="20"/>
      <c r="N51" s="685">
        <f t="shared" si="2"/>
        <v>0</v>
      </c>
      <c r="O51" s="720"/>
      <c r="P51" s="635">
        <f t="shared" si="3"/>
        <v>0</v>
      </c>
      <c r="Q51" s="365"/>
      <c r="R51" s="214"/>
      <c r="S51" s="582">
        <f t="shared" si="5"/>
        <v>8251.2999999999975</v>
      </c>
    </row>
    <row r="52" spans="1:19" x14ac:dyDescent="0.25">
      <c r="A52" s="2"/>
      <c r="B52" s="322">
        <v>10.9</v>
      </c>
      <c r="C52" s="20">
        <v>8</v>
      </c>
      <c r="D52" s="692">
        <f t="shared" si="0"/>
        <v>87.2</v>
      </c>
      <c r="E52" s="745">
        <v>43437</v>
      </c>
      <c r="F52" s="693">
        <f t="shared" si="1"/>
        <v>87.2</v>
      </c>
      <c r="G52" s="694" t="s">
        <v>461</v>
      </c>
      <c r="H52" s="695">
        <v>600</v>
      </c>
      <c r="I52" s="582">
        <f t="shared" si="4"/>
        <v>3237.300000000002</v>
      </c>
      <c r="K52" s="2"/>
      <c r="L52" s="322">
        <v>10.9</v>
      </c>
      <c r="M52" s="20"/>
      <c r="N52" s="692">
        <f t="shared" si="2"/>
        <v>0</v>
      </c>
      <c r="O52" s="745"/>
      <c r="P52" s="693">
        <f t="shared" si="3"/>
        <v>0</v>
      </c>
      <c r="Q52" s="694"/>
      <c r="R52" s="695"/>
      <c r="S52" s="582">
        <f t="shared" si="5"/>
        <v>8251.2999999999975</v>
      </c>
    </row>
    <row r="53" spans="1:19" x14ac:dyDescent="0.25">
      <c r="A53" s="2"/>
      <c r="B53" s="322">
        <v>10.9</v>
      </c>
      <c r="C53" s="20">
        <v>66</v>
      </c>
      <c r="D53" s="692">
        <f t="shared" si="0"/>
        <v>719.4</v>
      </c>
      <c r="E53" s="745">
        <v>43435</v>
      </c>
      <c r="F53" s="693">
        <f t="shared" si="1"/>
        <v>719.4</v>
      </c>
      <c r="G53" s="694" t="s">
        <v>469</v>
      </c>
      <c r="H53" s="695">
        <v>600</v>
      </c>
      <c r="I53" s="582">
        <f t="shared" si="4"/>
        <v>2517.9000000000019</v>
      </c>
      <c r="K53" s="2"/>
      <c r="L53" s="322">
        <v>10.9</v>
      </c>
      <c r="M53" s="20"/>
      <c r="N53" s="692">
        <f t="shared" si="2"/>
        <v>0</v>
      </c>
      <c r="O53" s="745"/>
      <c r="P53" s="693">
        <f t="shared" si="3"/>
        <v>0</v>
      </c>
      <c r="Q53" s="694"/>
      <c r="R53" s="695"/>
      <c r="S53" s="582">
        <f t="shared" si="5"/>
        <v>8251.2999999999975</v>
      </c>
    </row>
    <row r="54" spans="1:19" x14ac:dyDescent="0.25">
      <c r="A54" s="2"/>
      <c r="B54" s="322">
        <v>10.9</v>
      </c>
      <c r="C54" s="20">
        <v>3</v>
      </c>
      <c r="D54" s="692">
        <f t="shared" si="0"/>
        <v>32.700000000000003</v>
      </c>
      <c r="E54" s="745">
        <v>43437</v>
      </c>
      <c r="F54" s="693">
        <f t="shared" si="1"/>
        <v>32.700000000000003</v>
      </c>
      <c r="G54" s="694" t="s">
        <v>482</v>
      </c>
      <c r="H54" s="695">
        <v>600</v>
      </c>
      <c r="I54" s="582">
        <f t="shared" si="4"/>
        <v>2485.2000000000021</v>
      </c>
      <c r="K54" s="2"/>
      <c r="L54" s="322">
        <v>10.9</v>
      </c>
      <c r="M54" s="20"/>
      <c r="N54" s="692">
        <f t="shared" si="2"/>
        <v>0</v>
      </c>
      <c r="O54" s="745"/>
      <c r="P54" s="693">
        <f t="shared" si="3"/>
        <v>0</v>
      </c>
      <c r="Q54" s="694"/>
      <c r="R54" s="695"/>
      <c r="S54" s="582">
        <f t="shared" si="5"/>
        <v>8251.2999999999975</v>
      </c>
    </row>
    <row r="55" spans="1:19" x14ac:dyDescent="0.25">
      <c r="A55" s="2"/>
      <c r="B55" s="322">
        <v>10.9</v>
      </c>
      <c r="C55" s="20">
        <v>100</v>
      </c>
      <c r="D55" s="692">
        <f t="shared" si="0"/>
        <v>1090</v>
      </c>
      <c r="E55" s="745">
        <v>43441</v>
      </c>
      <c r="F55" s="693">
        <f t="shared" si="1"/>
        <v>1090</v>
      </c>
      <c r="G55" s="694" t="s">
        <v>510</v>
      </c>
      <c r="H55" s="695">
        <v>600</v>
      </c>
      <c r="I55" s="582">
        <f t="shared" si="4"/>
        <v>1395.2000000000021</v>
      </c>
      <c r="K55" s="2"/>
      <c r="L55" s="322">
        <v>10.9</v>
      </c>
      <c r="M55" s="20"/>
      <c r="N55" s="692">
        <f t="shared" si="2"/>
        <v>0</v>
      </c>
      <c r="O55" s="745"/>
      <c r="P55" s="693">
        <f t="shared" si="3"/>
        <v>0</v>
      </c>
      <c r="Q55" s="694"/>
      <c r="R55" s="695"/>
      <c r="S55" s="582">
        <f t="shared" si="5"/>
        <v>8251.2999999999975</v>
      </c>
    </row>
    <row r="56" spans="1:19" x14ac:dyDescent="0.25">
      <c r="A56" s="2"/>
      <c r="B56" s="322">
        <v>10.9</v>
      </c>
      <c r="C56" s="20">
        <v>10</v>
      </c>
      <c r="D56" s="692">
        <f t="shared" si="0"/>
        <v>109</v>
      </c>
      <c r="E56" s="745">
        <v>43444</v>
      </c>
      <c r="F56" s="693">
        <f t="shared" si="1"/>
        <v>109</v>
      </c>
      <c r="G56" s="694" t="s">
        <v>491</v>
      </c>
      <c r="H56" s="695">
        <v>600</v>
      </c>
      <c r="I56" s="582">
        <f t="shared" si="4"/>
        <v>1286.2000000000021</v>
      </c>
      <c r="K56" s="2"/>
      <c r="L56" s="322">
        <v>10.9</v>
      </c>
      <c r="M56" s="20"/>
      <c r="N56" s="692">
        <f t="shared" si="2"/>
        <v>0</v>
      </c>
      <c r="O56" s="745"/>
      <c r="P56" s="693">
        <f t="shared" si="3"/>
        <v>0</v>
      </c>
      <c r="Q56" s="694"/>
      <c r="R56" s="695"/>
      <c r="S56" s="582">
        <f t="shared" si="5"/>
        <v>8251.2999999999975</v>
      </c>
    </row>
    <row r="57" spans="1:19" x14ac:dyDescent="0.25">
      <c r="A57" s="2"/>
      <c r="B57" s="322">
        <v>10.9</v>
      </c>
      <c r="C57" s="20">
        <v>4</v>
      </c>
      <c r="D57" s="692">
        <f t="shared" si="0"/>
        <v>43.6</v>
      </c>
      <c r="E57" s="745">
        <v>43444</v>
      </c>
      <c r="F57" s="693">
        <f t="shared" si="1"/>
        <v>43.6</v>
      </c>
      <c r="G57" s="694" t="s">
        <v>518</v>
      </c>
      <c r="H57" s="695">
        <v>600</v>
      </c>
      <c r="I57" s="582">
        <f t="shared" si="4"/>
        <v>1242.6000000000022</v>
      </c>
      <c r="K57" s="2"/>
      <c r="L57" s="322">
        <v>10.9</v>
      </c>
      <c r="M57" s="20"/>
      <c r="N57" s="692">
        <f t="shared" si="2"/>
        <v>0</v>
      </c>
      <c r="O57" s="745"/>
      <c r="P57" s="693">
        <f t="shared" si="3"/>
        <v>0</v>
      </c>
      <c r="Q57" s="694"/>
      <c r="R57" s="695"/>
      <c r="S57" s="582">
        <f t="shared" si="5"/>
        <v>8251.2999999999975</v>
      </c>
    </row>
    <row r="58" spans="1:19" x14ac:dyDescent="0.25">
      <c r="A58" s="2"/>
      <c r="B58" s="322">
        <v>10.9</v>
      </c>
      <c r="C58" s="20">
        <v>20</v>
      </c>
      <c r="D58" s="692">
        <f t="shared" si="0"/>
        <v>218</v>
      </c>
      <c r="E58" s="745">
        <v>43447</v>
      </c>
      <c r="F58" s="693">
        <f t="shared" si="1"/>
        <v>218</v>
      </c>
      <c r="G58" s="694" t="s">
        <v>539</v>
      </c>
      <c r="H58" s="695">
        <v>600</v>
      </c>
      <c r="I58" s="582">
        <f t="shared" si="4"/>
        <v>1024.6000000000022</v>
      </c>
      <c r="K58" s="2"/>
      <c r="L58" s="322">
        <v>10.9</v>
      </c>
      <c r="M58" s="20"/>
      <c r="N58" s="692">
        <f t="shared" si="2"/>
        <v>0</v>
      </c>
      <c r="O58" s="745"/>
      <c r="P58" s="693">
        <f t="shared" si="3"/>
        <v>0</v>
      </c>
      <c r="Q58" s="694"/>
      <c r="R58" s="695"/>
      <c r="S58" s="582">
        <f t="shared" si="5"/>
        <v>8251.2999999999975</v>
      </c>
    </row>
    <row r="59" spans="1:19" x14ac:dyDescent="0.25">
      <c r="A59" s="2"/>
      <c r="B59" s="322">
        <v>10.9</v>
      </c>
      <c r="C59" s="20"/>
      <c r="D59" s="692">
        <f t="shared" si="0"/>
        <v>0</v>
      </c>
      <c r="E59" s="745"/>
      <c r="F59" s="693">
        <f t="shared" si="1"/>
        <v>0</v>
      </c>
      <c r="G59" s="694"/>
      <c r="H59" s="695"/>
      <c r="I59" s="582">
        <f t="shared" si="4"/>
        <v>1024.6000000000022</v>
      </c>
      <c r="K59" s="2"/>
      <c r="L59" s="322">
        <v>10.9</v>
      </c>
      <c r="M59" s="20"/>
      <c r="N59" s="692">
        <f t="shared" si="2"/>
        <v>0</v>
      </c>
      <c r="O59" s="745"/>
      <c r="P59" s="693">
        <f t="shared" si="3"/>
        <v>0</v>
      </c>
      <c r="Q59" s="694"/>
      <c r="R59" s="695"/>
      <c r="S59" s="582">
        <f t="shared" si="5"/>
        <v>8251.2999999999975</v>
      </c>
    </row>
    <row r="60" spans="1:19" x14ac:dyDescent="0.25">
      <c r="A60" s="2"/>
      <c r="B60" s="322">
        <v>10.9</v>
      </c>
      <c r="C60" s="20"/>
      <c r="D60" s="692">
        <f t="shared" si="0"/>
        <v>0</v>
      </c>
      <c r="E60" s="745"/>
      <c r="F60" s="693">
        <f t="shared" si="1"/>
        <v>0</v>
      </c>
      <c r="G60" s="795"/>
      <c r="H60" s="796"/>
      <c r="I60" s="582">
        <f t="shared" si="4"/>
        <v>1024.6000000000022</v>
      </c>
      <c r="K60" s="2"/>
      <c r="L60" s="322">
        <v>10.9</v>
      </c>
      <c r="M60" s="20"/>
      <c r="N60" s="692">
        <f t="shared" si="2"/>
        <v>0</v>
      </c>
      <c r="O60" s="745"/>
      <c r="P60" s="693">
        <f t="shared" si="3"/>
        <v>0</v>
      </c>
      <c r="Q60" s="694"/>
      <c r="R60" s="695"/>
      <c r="S60" s="582">
        <f t="shared" si="5"/>
        <v>8251.2999999999975</v>
      </c>
    </row>
    <row r="61" spans="1:19" x14ac:dyDescent="0.25">
      <c r="A61" s="2"/>
      <c r="B61" s="322">
        <v>10.9</v>
      </c>
      <c r="C61" s="20">
        <v>94</v>
      </c>
      <c r="D61" s="692">
        <f t="shared" si="0"/>
        <v>1024.6000000000001</v>
      </c>
      <c r="E61" s="745"/>
      <c r="F61" s="693">
        <f t="shared" si="1"/>
        <v>1024.6000000000001</v>
      </c>
      <c r="G61" s="795"/>
      <c r="H61" s="796"/>
      <c r="I61" s="582">
        <f t="shared" si="4"/>
        <v>2.0463630789890885E-12</v>
      </c>
      <c r="K61" s="2"/>
      <c r="L61" s="322">
        <v>10.9</v>
      </c>
      <c r="M61" s="20"/>
      <c r="N61" s="692">
        <f t="shared" si="2"/>
        <v>0</v>
      </c>
      <c r="O61" s="745"/>
      <c r="P61" s="693">
        <f t="shared" si="3"/>
        <v>0</v>
      </c>
      <c r="Q61" s="694"/>
      <c r="R61" s="695"/>
      <c r="S61" s="582">
        <f t="shared" si="5"/>
        <v>8251.2999999999975</v>
      </c>
    </row>
    <row r="62" spans="1:19" x14ac:dyDescent="0.25">
      <c r="A62" s="2"/>
      <c r="B62" s="322">
        <v>10.9</v>
      </c>
      <c r="C62" s="20"/>
      <c r="D62" s="692">
        <f t="shared" si="0"/>
        <v>0</v>
      </c>
      <c r="E62" s="745"/>
      <c r="F62" s="693">
        <f t="shared" si="1"/>
        <v>0</v>
      </c>
      <c r="G62" s="795"/>
      <c r="H62" s="796"/>
      <c r="I62" s="582">
        <f t="shared" si="4"/>
        <v>2.0463630789890885E-12</v>
      </c>
      <c r="K62" s="2"/>
      <c r="L62" s="322">
        <v>10.9</v>
      </c>
      <c r="M62" s="20"/>
      <c r="N62" s="692">
        <f t="shared" si="2"/>
        <v>0</v>
      </c>
      <c r="O62" s="745"/>
      <c r="P62" s="693">
        <f t="shared" si="3"/>
        <v>0</v>
      </c>
      <c r="Q62" s="694"/>
      <c r="R62" s="695"/>
      <c r="S62" s="582">
        <f t="shared" si="5"/>
        <v>8251.2999999999975</v>
      </c>
    </row>
    <row r="63" spans="1:19" x14ac:dyDescent="0.25">
      <c r="A63" s="2"/>
      <c r="B63" s="322">
        <v>10.9</v>
      </c>
      <c r="C63" s="20"/>
      <c r="D63" s="692">
        <f t="shared" si="0"/>
        <v>0</v>
      </c>
      <c r="E63" s="745"/>
      <c r="F63" s="693">
        <f t="shared" si="1"/>
        <v>0</v>
      </c>
      <c r="G63" s="795"/>
      <c r="H63" s="796"/>
      <c r="I63" s="582">
        <f t="shared" si="4"/>
        <v>2.0463630789890885E-12</v>
      </c>
      <c r="K63" s="2"/>
      <c r="L63" s="322">
        <v>10.9</v>
      </c>
      <c r="M63" s="20"/>
      <c r="N63" s="692">
        <f t="shared" si="2"/>
        <v>0</v>
      </c>
      <c r="O63" s="745"/>
      <c r="P63" s="693">
        <f t="shared" si="3"/>
        <v>0</v>
      </c>
      <c r="Q63" s="694"/>
      <c r="R63" s="695"/>
      <c r="S63" s="582">
        <f t="shared" si="5"/>
        <v>8251.2999999999975</v>
      </c>
    </row>
    <row r="64" spans="1:19" x14ac:dyDescent="0.25">
      <c r="A64" s="2"/>
      <c r="B64" s="322">
        <v>10.9</v>
      </c>
      <c r="C64" s="20"/>
      <c r="D64" s="692">
        <f t="shared" si="0"/>
        <v>0</v>
      </c>
      <c r="E64" s="745"/>
      <c r="F64" s="693">
        <f t="shared" si="1"/>
        <v>0</v>
      </c>
      <c r="G64" s="795"/>
      <c r="H64" s="796"/>
      <c r="I64" s="582">
        <f t="shared" si="4"/>
        <v>2.0463630789890885E-12</v>
      </c>
      <c r="K64" s="2"/>
      <c r="L64" s="322">
        <v>10.9</v>
      </c>
      <c r="M64" s="20"/>
      <c r="N64" s="692">
        <f t="shared" si="2"/>
        <v>0</v>
      </c>
      <c r="O64" s="745"/>
      <c r="P64" s="693">
        <f t="shared" si="3"/>
        <v>0</v>
      </c>
      <c r="Q64" s="694"/>
      <c r="R64" s="695"/>
      <c r="S64" s="582">
        <f t="shared" si="5"/>
        <v>8251.2999999999975</v>
      </c>
    </row>
    <row r="65" spans="1:19" x14ac:dyDescent="0.25">
      <c r="A65" s="2"/>
      <c r="B65" s="322">
        <v>10.9</v>
      </c>
      <c r="C65" s="20"/>
      <c r="D65" s="692">
        <f t="shared" si="0"/>
        <v>0</v>
      </c>
      <c r="E65" s="745"/>
      <c r="F65" s="693">
        <f t="shared" si="1"/>
        <v>0</v>
      </c>
      <c r="G65" s="795"/>
      <c r="H65" s="796"/>
      <c r="I65" s="582">
        <f t="shared" si="4"/>
        <v>2.0463630789890885E-12</v>
      </c>
      <c r="K65" s="2"/>
      <c r="L65" s="322">
        <v>10.9</v>
      </c>
      <c r="M65" s="20"/>
      <c r="N65" s="692">
        <f t="shared" si="2"/>
        <v>0</v>
      </c>
      <c r="O65" s="745"/>
      <c r="P65" s="693">
        <f t="shared" si="3"/>
        <v>0</v>
      </c>
      <c r="Q65" s="694"/>
      <c r="R65" s="695"/>
      <c r="S65" s="582">
        <f t="shared" si="5"/>
        <v>8251.2999999999975</v>
      </c>
    </row>
    <row r="66" spans="1:19" x14ac:dyDescent="0.25">
      <c r="A66" s="2"/>
      <c r="B66" s="322">
        <v>10.9</v>
      </c>
      <c r="C66" s="20"/>
      <c r="D66" s="692">
        <f t="shared" si="0"/>
        <v>0</v>
      </c>
      <c r="E66" s="745"/>
      <c r="F66" s="693">
        <f t="shared" si="1"/>
        <v>0</v>
      </c>
      <c r="G66" s="795"/>
      <c r="H66" s="796"/>
      <c r="I66" s="582">
        <f t="shared" si="4"/>
        <v>2.0463630789890885E-12</v>
      </c>
      <c r="K66" s="2"/>
      <c r="L66" s="322">
        <v>10.9</v>
      </c>
      <c r="M66" s="20"/>
      <c r="N66" s="692">
        <f t="shared" si="2"/>
        <v>0</v>
      </c>
      <c r="O66" s="745"/>
      <c r="P66" s="693">
        <f t="shared" si="3"/>
        <v>0</v>
      </c>
      <c r="Q66" s="694"/>
      <c r="R66" s="695"/>
      <c r="S66" s="582">
        <f t="shared" si="5"/>
        <v>8251.2999999999975</v>
      </c>
    </row>
    <row r="67" spans="1:19" x14ac:dyDescent="0.25">
      <c r="A67" s="2"/>
      <c r="B67" s="322">
        <v>10.9</v>
      </c>
      <c r="C67" s="20"/>
      <c r="D67" s="692">
        <f t="shared" si="0"/>
        <v>0</v>
      </c>
      <c r="E67" s="745"/>
      <c r="F67" s="693">
        <f t="shared" si="1"/>
        <v>0</v>
      </c>
      <c r="G67" s="795"/>
      <c r="H67" s="796"/>
      <c r="I67" s="582">
        <f t="shared" si="4"/>
        <v>2.0463630789890885E-12</v>
      </c>
      <c r="K67" s="2"/>
      <c r="L67" s="322">
        <v>10.9</v>
      </c>
      <c r="M67" s="20"/>
      <c r="N67" s="692">
        <f t="shared" si="2"/>
        <v>0</v>
      </c>
      <c r="O67" s="745"/>
      <c r="P67" s="693">
        <f t="shared" si="3"/>
        <v>0</v>
      </c>
      <c r="Q67" s="694"/>
      <c r="R67" s="695"/>
      <c r="S67" s="582">
        <f t="shared" si="5"/>
        <v>8251.2999999999975</v>
      </c>
    </row>
    <row r="68" spans="1:19" x14ac:dyDescent="0.25">
      <c r="A68" s="2"/>
      <c r="B68" s="322">
        <v>10.9</v>
      </c>
      <c r="C68" s="20"/>
      <c r="D68" s="692">
        <f t="shared" si="0"/>
        <v>0</v>
      </c>
      <c r="E68" s="745"/>
      <c r="F68" s="693">
        <f t="shared" si="1"/>
        <v>0</v>
      </c>
      <c r="G68" s="694"/>
      <c r="H68" s="695"/>
      <c r="I68" s="582">
        <f t="shared" si="4"/>
        <v>2.0463630789890885E-12</v>
      </c>
      <c r="K68" s="2"/>
      <c r="L68" s="322">
        <v>10.9</v>
      </c>
      <c r="M68" s="20"/>
      <c r="N68" s="692">
        <f t="shared" si="2"/>
        <v>0</v>
      </c>
      <c r="O68" s="745"/>
      <c r="P68" s="693">
        <f t="shared" si="3"/>
        <v>0</v>
      </c>
      <c r="Q68" s="694"/>
      <c r="R68" s="695"/>
      <c r="S68" s="582">
        <f t="shared" si="5"/>
        <v>8251.2999999999975</v>
      </c>
    </row>
    <row r="69" spans="1:19" x14ac:dyDescent="0.25">
      <c r="A69" s="2"/>
      <c r="B69" s="322">
        <v>10.9</v>
      </c>
      <c r="C69" s="20"/>
      <c r="D69" s="421">
        <f t="shared" si="0"/>
        <v>0</v>
      </c>
      <c r="E69" s="158"/>
      <c r="F69" s="109">
        <f t="shared" si="1"/>
        <v>0</v>
      </c>
      <c r="G69" s="110"/>
      <c r="H69" s="111"/>
      <c r="I69" s="582">
        <f t="shared" si="4"/>
        <v>2.0463630789890885E-12</v>
      </c>
      <c r="K69" s="2"/>
      <c r="L69" s="322">
        <v>10.9</v>
      </c>
      <c r="M69" s="20"/>
      <c r="N69" s="421">
        <f t="shared" si="2"/>
        <v>0</v>
      </c>
      <c r="O69" s="158"/>
      <c r="P69" s="109">
        <f t="shared" si="3"/>
        <v>0</v>
      </c>
      <c r="Q69" s="110"/>
      <c r="R69" s="111"/>
      <c r="S69" s="582">
        <f t="shared" si="5"/>
        <v>8251.2999999999975</v>
      </c>
    </row>
    <row r="70" spans="1:19" x14ac:dyDescent="0.25">
      <c r="A70" s="2"/>
      <c r="B70" s="322">
        <v>10.9</v>
      </c>
      <c r="C70" s="20"/>
      <c r="D70" s="421">
        <f t="shared" si="0"/>
        <v>0</v>
      </c>
      <c r="E70" s="158"/>
      <c r="F70" s="109">
        <f t="shared" si="1"/>
        <v>0</v>
      </c>
      <c r="G70" s="110"/>
      <c r="H70" s="111"/>
      <c r="I70" s="582">
        <f t="shared" si="4"/>
        <v>2.0463630789890885E-12</v>
      </c>
      <c r="K70" s="2"/>
      <c r="L70" s="322">
        <v>10.9</v>
      </c>
      <c r="M70" s="20"/>
      <c r="N70" s="421">
        <f t="shared" si="2"/>
        <v>0</v>
      </c>
      <c r="O70" s="158"/>
      <c r="P70" s="109">
        <f t="shared" si="3"/>
        <v>0</v>
      </c>
      <c r="Q70" s="110"/>
      <c r="R70" s="111"/>
      <c r="S70" s="582">
        <f t="shared" si="5"/>
        <v>8251.2999999999975</v>
      </c>
    </row>
    <row r="71" spans="1:19" x14ac:dyDescent="0.25">
      <c r="A71" s="2"/>
      <c r="B71" s="322">
        <v>10.9</v>
      </c>
      <c r="C71" s="20"/>
      <c r="D71" s="421">
        <f t="shared" si="0"/>
        <v>0</v>
      </c>
      <c r="E71" s="158"/>
      <c r="F71" s="109">
        <f t="shared" si="1"/>
        <v>0</v>
      </c>
      <c r="G71" s="110"/>
      <c r="H71" s="111"/>
      <c r="I71" s="582">
        <f t="shared" si="4"/>
        <v>2.0463630789890885E-12</v>
      </c>
      <c r="K71" s="2"/>
      <c r="L71" s="322">
        <v>10.9</v>
      </c>
      <c r="M71" s="20"/>
      <c r="N71" s="421">
        <f t="shared" si="2"/>
        <v>0</v>
      </c>
      <c r="O71" s="158"/>
      <c r="P71" s="109">
        <f t="shared" si="3"/>
        <v>0</v>
      </c>
      <c r="Q71" s="110"/>
      <c r="R71" s="111"/>
      <c r="S71" s="582">
        <f t="shared" si="5"/>
        <v>8251.2999999999975</v>
      </c>
    </row>
    <row r="72" spans="1:19" x14ac:dyDescent="0.25">
      <c r="A72" s="2"/>
      <c r="B72" s="322">
        <v>10.9</v>
      </c>
      <c r="C72" s="20"/>
      <c r="D72" s="421">
        <f t="shared" ref="D72:D91" si="6">C72*B72</f>
        <v>0</v>
      </c>
      <c r="E72" s="158"/>
      <c r="F72" s="109">
        <f t="shared" ref="F72:F92" si="7">D72</f>
        <v>0</v>
      </c>
      <c r="G72" s="110"/>
      <c r="H72" s="111"/>
      <c r="I72" s="582">
        <f t="shared" si="4"/>
        <v>2.0463630789890885E-12</v>
      </c>
      <c r="K72" s="2"/>
      <c r="L72" s="322">
        <v>10.9</v>
      </c>
      <c r="M72" s="20"/>
      <c r="N72" s="421">
        <f t="shared" ref="N72:N91" si="8">M72*L72</f>
        <v>0</v>
      </c>
      <c r="O72" s="158"/>
      <c r="P72" s="109">
        <f t="shared" ref="P72:P92" si="9">N72</f>
        <v>0</v>
      </c>
      <c r="Q72" s="110"/>
      <c r="R72" s="111"/>
      <c r="S72" s="582">
        <f t="shared" si="5"/>
        <v>8251.2999999999975</v>
      </c>
    </row>
    <row r="73" spans="1:19" x14ac:dyDescent="0.25">
      <c r="A73" s="2"/>
      <c r="B73" s="322">
        <v>10.9</v>
      </c>
      <c r="C73" s="20"/>
      <c r="D73" s="421">
        <f t="shared" si="6"/>
        <v>0</v>
      </c>
      <c r="E73" s="158"/>
      <c r="F73" s="109">
        <f t="shared" si="7"/>
        <v>0</v>
      </c>
      <c r="G73" s="110"/>
      <c r="H73" s="111"/>
      <c r="I73" s="582">
        <f t="shared" si="4"/>
        <v>2.0463630789890885E-12</v>
      </c>
      <c r="K73" s="2"/>
      <c r="L73" s="322">
        <v>10.9</v>
      </c>
      <c r="M73" s="20"/>
      <c r="N73" s="421">
        <f t="shared" si="8"/>
        <v>0</v>
      </c>
      <c r="O73" s="158"/>
      <c r="P73" s="109">
        <f t="shared" si="9"/>
        <v>0</v>
      </c>
      <c r="Q73" s="110"/>
      <c r="R73" s="111"/>
      <c r="S73" s="582">
        <f t="shared" si="5"/>
        <v>8251.2999999999975</v>
      </c>
    </row>
    <row r="74" spans="1:19" x14ac:dyDescent="0.25">
      <c r="A74" s="2"/>
      <c r="B74" s="322">
        <v>10.9</v>
      </c>
      <c r="C74" s="20"/>
      <c r="D74" s="421">
        <f t="shared" si="6"/>
        <v>0</v>
      </c>
      <c r="E74" s="158"/>
      <c r="F74" s="109">
        <f t="shared" si="7"/>
        <v>0</v>
      </c>
      <c r="G74" s="110"/>
      <c r="H74" s="111"/>
      <c r="I74" s="582">
        <f t="shared" ref="I74:I91" si="10">I73-F74</f>
        <v>2.0463630789890885E-12</v>
      </c>
      <c r="K74" s="2"/>
      <c r="L74" s="322">
        <v>10.9</v>
      </c>
      <c r="M74" s="20"/>
      <c r="N74" s="421">
        <f t="shared" si="8"/>
        <v>0</v>
      </c>
      <c r="O74" s="158"/>
      <c r="P74" s="109">
        <f t="shared" si="9"/>
        <v>0</v>
      </c>
      <c r="Q74" s="110"/>
      <c r="R74" s="111"/>
      <c r="S74" s="582">
        <f t="shared" ref="S74:S91" si="11">S73-P74</f>
        <v>8251.2999999999975</v>
      </c>
    </row>
    <row r="75" spans="1:19" x14ac:dyDescent="0.25">
      <c r="A75" s="2"/>
      <c r="B75" s="322">
        <v>10.9</v>
      </c>
      <c r="C75" s="20"/>
      <c r="D75" s="421">
        <f t="shared" si="6"/>
        <v>0</v>
      </c>
      <c r="E75" s="158"/>
      <c r="F75" s="109">
        <f t="shared" si="7"/>
        <v>0</v>
      </c>
      <c r="G75" s="110"/>
      <c r="H75" s="111"/>
      <c r="I75" s="582">
        <f t="shared" si="10"/>
        <v>2.0463630789890885E-12</v>
      </c>
      <c r="K75" s="2"/>
      <c r="L75" s="322">
        <v>10.9</v>
      </c>
      <c r="M75" s="20"/>
      <c r="N75" s="421">
        <f t="shared" si="8"/>
        <v>0</v>
      </c>
      <c r="O75" s="158"/>
      <c r="P75" s="109">
        <f t="shared" si="9"/>
        <v>0</v>
      </c>
      <c r="Q75" s="110"/>
      <c r="R75" s="111"/>
      <c r="S75" s="582">
        <f t="shared" si="11"/>
        <v>8251.2999999999975</v>
      </c>
    </row>
    <row r="76" spans="1:19" x14ac:dyDescent="0.25">
      <c r="A76" s="2"/>
      <c r="B76" s="322">
        <v>10.9</v>
      </c>
      <c r="C76" s="20"/>
      <c r="D76" s="421">
        <f t="shared" si="6"/>
        <v>0</v>
      </c>
      <c r="E76" s="158"/>
      <c r="F76" s="109">
        <f t="shared" si="7"/>
        <v>0</v>
      </c>
      <c r="G76" s="110"/>
      <c r="H76" s="111"/>
      <c r="I76" s="582">
        <f t="shared" si="10"/>
        <v>2.0463630789890885E-12</v>
      </c>
      <c r="K76" s="2"/>
      <c r="L76" s="322">
        <v>10.9</v>
      </c>
      <c r="M76" s="20"/>
      <c r="N76" s="421">
        <f t="shared" si="8"/>
        <v>0</v>
      </c>
      <c r="O76" s="158"/>
      <c r="P76" s="109">
        <f t="shared" si="9"/>
        <v>0</v>
      </c>
      <c r="Q76" s="110"/>
      <c r="R76" s="111"/>
      <c r="S76" s="582">
        <f t="shared" si="11"/>
        <v>8251.2999999999975</v>
      </c>
    </row>
    <row r="77" spans="1:19" x14ac:dyDescent="0.25">
      <c r="A77" s="2"/>
      <c r="B77" s="322">
        <v>10.9</v>
      </c>
      <c r="C77" s="20"/>
      <c r="D77" s="421">
        <f t="shared" si="6"/>
        <v>0</v>
      </c>
      <c r="E77" s="158"/>
      <c r="F77" s="109">
        <f t="shared" si="7"/>
        <v>0</v>
      </c>
      <c r="G77" s="110"/>
      <c r="H77" s="111"/>
      <c r="I77" s="582">
        <f t="shared" si="10"/>
        <v>2.0463630789890885E-12</v>
      </c>
      <c r="K77" s="2"/>
      <c r="L77" s="322">
        <v>10.9</v>
      </c>
      <c r="M77" s="20"/>
      <c r="N77" s="421">
        <f t="shared" si="8"/>
        <v>0</v>
      </c>
      <c r="O77" s="158"/>
      <c r="P77" s="109">
        <f t="shared" si="9"/>
        <v>0</v>
      </c>
      <c r="Q77" s="110"/>
      <c r="R77" s="111"/>
      <c r="S77" s="582">
        <f t="shared" si="11"/>
        <v>8251.2999999999975</v>
      </c>
    </row>
    <row r="78" spans="1:19" x14ac:dyDescent="0.25">
      <c r="A78" s="2"/>
      <c r="B78" s="322">
        <v>10.9</v>
      </c>
      <c r="C78" s="20"/>
      <c r="D78" s="421">
        <f t="shared" si="6"/>
        <v>0</v>
      </c>
      <c r="E78" s="158"/>
      <c r="F78" s="109">
        <f t="shared" si="7"/>
        <v>0</v>
      </c>
      <c r="G78" s="110"/>
      <c r="H78" s="111"/>
      <c r="I78" s="582">
        <f t="shared" si="10"/>
        <v>2.0463630789890885E-12</v>
      </c>
      <c r="K78" s="2"/>
      <c r="L78" s="322">
        <v>10.9</v>
      </c>
      <c r="M78" s="20"/>
      <c r="N78" s="421">
        <f t="shared" si="8"/>
        <v>0</v>
      </c>
      <c r="O78" s="158"/>
      <c r="P78" s="109">
        <f t="shared" si="9"/>
        <v>0</v>
      </c>
      <c r="Q78" s="110"/>
      <c r="R78" s="111"/>
      <c r="S78" s="582">
        <f t="shared" si="11"/>
        <v>8251.2999999999975</v>
      </c>
    </row>
    <row r="79" spans="1:19" x14ac:dyDescent="0.25">
      <c r="A79" s="2"/>
      <c r="B79" s="322">
        <v>10.9</v>
      </c>
      <c r="C79" s="20"/>
      <c r="D79" s="421">
        <f t="shared" si="6"/>
        <v>0</v>
      </c>
      <c r="E79" s="158"/>
      <c r="F79" s="109">
        <f t="shared" si="7"/>
        <v>0</v>
      </c>
      <c r="G79" s="110"/>
      <c r="H79" s="111"/>
      <c r="I79" s="582">
        <f t="shared" si="10"/>
        <v>2.0463630789890885E-12</v>
      </c>
      <c r="K79" s="2"/>
      <c r="L79" s="322">
        <v>10.9</v>
      </c>
      <c r="M79" s="20"/>
      <c r="N79" s="421">
        <f t="shared" si="8"/>
        <v>0</v>
      </c>
      <c r="O79" s="158"/>
      <c r="P79" s="109">
        <f t="shared" si="9"/>
        <v>0</v>
      </c>
      <c r="Q79" s="110"/>
      <c r="R79" s="111"/>
      <c r="S79" s="582">
        <f t="shared" si="11"/>
        <v>8251.2999999999975</v>
      </c>
    </row>
    <row r="80" spans="1:19" x14ac:dyDescent="0.25">
      <c r="A80" s="2"/>
      <c r="B80" s="322">
        <v>10.9</v>
      </c>
      <c r="C80" s="20"/>
      <c r="D80" s="421">
        <f t="shared" si="6"/>
        <v>0</v>
      </c>
      <c r="E80" s="158"/>
      <c r="F80" s="109">
        <f t="shared" si="7"/>
        <v>0</v>
      </c>
      <c r="G80" s="110"/>
      <c r="H80" s="111"/>
      <c r="I80" s="582">
        <f t="shared" si="10"/>
        <v>2.0463630789890885E-12</v>
      </c>
      <c r="K80" s="2"/>
      <c r="L80" s="322">
        <v>10.9</v>
      </c>
      <c r="M80" s="20"/>
      <c r="N80" s="421">
        <f t="shared" si="8"/>
        <v>0</v>
      </c>
      <c r="O80" s="158"/>
      <c r="P80" s="109">
        <f t="shared" si="9"/>
        <v>0</v>
      </c>
      <c r="Q80" s="110"/>
      <c r="R80" s="111"/>
      <c r="S80" s="582">
        <f t="shared" si="11"/>
        <v>8251.2999999999975</v>
      </c>
    </row>
    <row r="81" spans="1:19" x14ac:dyDescent="0.25">
      <c r="A81" s="2"/>
      <c r="B81" s="322">
        <v>10.9</v>
      </c>
      <c r="C81" s="20"/>
      <c r="D81" s="421">
        <f t="shared" si="6"/>
        <v>0</v>
      </c>
      <c r="E81" s="158"/>
      <c r="F81" s="109">
        <f t="shared" si="7"/>
        <v>0</v>
      </c>
      <c r="G81" s="110"/>
      <c r="H81" s="111"/>
      <c r="I81" s="582">
        <f t="shared" si="10"/>
        <v>2.0463630789890885E-12</v>
      </c>
      <c r="K81" s="2"/>
      <c r="L81" s="322">
        <v>10.9</v>
      </c>
      <c r="M81" s="20"/>
      <c r="N81" s="421">
        <f t="shared" si="8"/>
        <v>0</v>
      </c>
      <c r="O81" s="158"/>
      <c r="P81" s="109">
        <f t="shared" si="9"/>
        <v>0</v>
      </c>
      <c r="Q81" s="110"/>
      <c r="R81" s="111"/>
      <c r="S81" s="582">
        <f t="shared" si="11"/>
        <v>8251.2999999999975</v>
      </c>
    </row>
    <row r="82" spans="1:19" x14ac:dyDescent="0.25">
      <c r="A82" s="2"/>
      <c r="B82" s="322">
        <v>10.9</v>
      </c>
      <c r="C82" s="20"/>
      <c r="D82" s="421">
        <f t="shared" si="6"/>
        <v>0</v>
      </c>
      <c r="E82" s="158"/>
      <c r="F82" s="109">
        <f t="shared" si="7"/>
        <v>0</v>
      </c>
      <c r="G82" s="110"/>
      <c r="H82" s="111"/>
      <c r="I82" s="582">
        <f t="shared" si="10"/>
        <v>2.0463630789890885E-12</v>
      </c>
      <c r="K82" s="2"/>
      <c r="L82" s="322">
        <v>10.9</v>
      </c>
      <c r="M82" s="20"/>
      <c r="N82" s="421">
        <f t="shared" si="8"/>
        <v>0</v>
      </c>
      <c r="O82" s="158"/>
      <c r="P82" s="109">
        <f t="shared" si="9"/>
        <v>0</v>
      </c>
      <c r="Q82" s="110"/>
      <c r="R82" s="111"/>
      <c r="S82" s="582">
        <f t="shared" si="11"/>
        <v>8251.2999999999975</v>
      </c>
    </row>
    <row r="83" spans="1:19" x14ac:dyDescent="0.25">
      <c r="A83" s="2"/>
      <c r="B83" s="322">
        <v>10.9</v>
      </c>
      <c r="C83" s="20"/>
      <c r="D83" s="421">
        <f t="shared" si="6"/>
        <v>0</v>
      </c>
      <c r="E83" s="158"/>
      <c r="F83" s="109">
        <f t="shared" si="7"/>
        <v>0</v>
      </c>
      <c r="G83" s="110"/>
      <c r="H83" s="111"/>
      <c r="I83" s="582">
        <f t="shared" si="10"/>
        <v>2.0463630789890885E-12</v>
      </c>
      <c r="K83" s="2"/>
      <c r="L83" s="322">
        <v>10.9</v>
      </c>
      <c r="M83" s="20"/>
      <c r="N83" s="421">
        <f t="shared" si="8"/>
        <v>0</v>
      </c>
      <c r="O83" s="158"/>
      <c r="P83" s="109">
        <f t="shared" si="9"/>
        <v>0</v>
      </c>
      <c r="Q83" s="110"/>
      <c r="R83" s="111"/>
      <c r="S83" s="582">
        <f t="shared" si="11"/>
        <v>8251.2999999999975</v>
      </c>
    </row>
    <row r="84" spans="1:19" x14ac:dyDescent="0.25">
      <c r="A84" s="2"/>
      <c r="B84" s="322">
        <v>10.9</v>
      </c>
      <c r="C84" s="20"/>
      <c r="D84" s="421">
        <f t="shared" si="6"/>
        <v>0</v>
      </c>
      <c r="E84" s="158"/>
      <c r="F84" s="109">
        <f t="shared" si="7"/>
        <v>0</v>
      </c>
      <c r="G84" s="110"/>
      <c r="H84" s="111"/>
      <c r="I84" s="582">
        <f t="shared" si="10"/>
        <v>2.0463630789890885E-12</v>
      </c>
      <c r="K84" s="2"/>
      <c r="L84" s="322">
        <v>10.9</v>
      </c>
      <c r="M84" s="20"/>
      <c r="N84" s="421">
        <f t="shared" si="8"/>
        <v>0</v>
      </c>
      <c r="O84" s="158"/>
      <c r="P84" s="109">
        <f t="shared" si="9"/>
        <v>0</v>
      </c>
      <c r="Q84" s="110"/>
      <c r="R84" s="111"/>
      <c r="S84" s="582">
        <f t="shared" si="11"/>
        <v>8251.2999999999975</v>
      </c>
    </row>
    <row r="85" spans="1:19" x14ac:dyDescent="0.25">
      <c r="A85" s="2"/>
      <c r="B85" s="322">
        <v>10.9</v>
      </c>
      <c r="C85" s="20"/>
      <c r="D85" s="421">
        <f t="shared" si="6"/>
        <v>0</v>
      </c>
      <c r="E85" s="158"/>
      <c r="F85" s="109">
        <f t="shared" si="7"/>
        <v>0</v>
      </c>
      <c r="G85" s="110"/>
      <c r="H85" s="111"/>
      <c r="I85" s="582">
        <f t="shared" si="10"/>
        <v>2.0463630789890885E-12</v>
      </c>
      <c r="K85" s="2"/>
      <c r="L85" s="322">
        <v>10.9</v>
      </c>
      <c r="M85" s="20"/>
      <c r="N85" s="421">
        <f t="shared" si="8"/>
        <v>0</v>
      </c>
      <c r="O85" s="158"/>
      <c r="P85" s="109">
        <f t="shared" si="9"/>
        <v>0</v>
      </c>
      <c r="Q85" s="110"/>
      <c r="R85" s="111"/>
      <c r="S85" s="582">
        <f t="shared" si="11"/>
        <v>8251.2999999999975</v>
      </c>
    </row>
    <row r="86" spans="1:19" x14ac:dyDescent="0.25">
      <c r="A86" s="2"/>
      <c r="B86" s="322">
        <v>10.9</v>
      </c>
      <c r="C86" s="20"/>
      <c r="D86" s="421">
        <f t="shared" si="6"/>
        <v>0</v>
      </c>
      <c r="E86" s="158"/>
      <c r="F86" s="109">
        <f t="shared" si="7"/>
        <v>0</v>
      </c>
      <c r="G86" s="110"/>
      <c r="H86" s="111"/>
      <c r="I86" s="582">
        <f t="shared" si="10"/>
        <v>2.0463630789890885E-12</v>
      </c>
      <c r="K86" s="2"/>
      <c r="L86" s="322">
        <v>10.9</v>
      </c>
      <c r="M86" s="20"/>
      <c r="N86" s="421">
        <f t="shared" si="8"/>
        <v>0</v>
      </c>
      <c r="O86" s="158"/>
      <c r="P86" s="109">
        <f t="shared" si="9"/>
        <v>0</v>
      </c>
      <c r="Q86" s="110"/>
      <c r="R86" s="111"/>
      <c r="S86" s="582">
        <f t="shared" si="11"/>
        <v>8251.2999999999975</v>
      </c>
    </row>
    <row r="87" spans="1:19" x14ac:dyDescent="0.25">
      <c r="A87" s="194"/>
      <c r="B87" s="322">
        <v>10.9</v>
      </c>
      <c r="C87" s="20"/>
      <c r="D87" s="421">
        <f t="shared" si="6"/>
        <v>0</v>
      </c>
      <c r="E87" s="158"/>
      <c r="F87" s="109">
        <f t="shared" si="7"/>
        <v>0</v>
      </c>
      <c r="G87" s="110"/>
      <c r="H87" s="111"/>
      <c r="I87" s="582">
        <f t="shared" si="10"/>
        <v>2.0463630789890885E-12</v>
      </c>
      <c r="K87" s="194"/>
      <c r="L87" s="322">
        <v>10.9</v>
      </c>
      <c r="M87" s="20"/>
      <c r="N87" s="421">
        <f t="shared" si="8"/>
        <v>0</v>
      </c>
      <c r="O87" s="158"/>
      <c r="P87" s="109">
        <f t="shared" si="9"/>
        <v>0</v>
      </c>
      <c r="Q87" s="110"/>
      <c r="R87" s="111"/>
      <c r="S87" s="582">
        <f t="shared" si="11"/>
        <v>8251.2999999999975</v>
      </c>
    </row>
    <row r="88" spans="1:19" x14ac:dyDescent="0.25">
      <c r="A88" s="2"/>
      <c r="B88" s="322">
        <v>10.9</v>
      </c>
      <c r="C88" s="20"/>
      <c r="D88" s="421">
        <f t="shared" si="6"/>
        <v>0</v>
      </c>
      <c r="E88" s="158"/>
      <c r="F88" s="109">
        <f t="shared" si="7"/>
        <v>0</v>
      </c>
      <c r="G88" s="110"/>
      <c r="H88" s="111"/>
      <c r="I88" s="582">
        <f t="shared" si="10"/>
        <v>2.0463630789890885E-12</v>
      </c>
      <c r="K88" s="2"/>
      <c r="L88" s="322">
        <v>10.9</v>
      </c>
      <c r="M88" s="20"/>
      <c r="N88" s="421">
        <f t="shared" si="8"/>
        <v>0</v>
      </c>
      <c r="O88" s="158"/>
      <c r="P88" s="109">
        <f t="shared" si="9"/>
        <v>0</v>
      </c>
      <c r="Q88" s="110"/>
      <c r="R88" s="111"/>
      <c r="S88" s="582">
        <f t="shared" si="11"/>
        <v>8251.2999999999975</v>
      </c>
    </row>
    <row r="89" spans="1:19" x14ac:dyDescent="0.25">
      <c r="A89" s="2"/>
      <c r="B89" s="322">
        <v>10.9</v>
      </c>
      <c r="C89" s="20"/>
      <c r="D89" s="421">
        <f t="shared" si="6"/>
        <v>0</v>
      </c>
      <c r="E89" s="158"/>
      <c r="F89" s="109">
        <f t="shared" si="7"/>
        <v>0</v>
      </c>
      <c r="G89" s="110"/>
      <c r="H89" s="111"/>
      <c r="I89" s="582">
        <f t="shared" si="10"/>
        <v>2.0463630789890885E-12</v>
      </c>
      <c r="K89" s="2"/>
      <c r="L89" s="322">
        <v>10.9</v>
      </c>
      <c r="M89" s="20"/>
      <c r="N89" s="421">
        <f t="shared" si="8"/>
        <v>0</v>
      </c>
      <c r="O89" s="158"/>
      <c r="P89" s="109">
        <f t="shared" si="9"/>
        <v>0</v>
      </c>
      <c r="Q89" s="110"/>
      <c r="R89" s="111"/>
      <c r="S89" s="582">
        <f t="shared" si="11"/>
        <v>8251.2999999999975</v>
      </c>
    </row>
    <row r="90" spans="1:19" x14ac:dyDescent="0.25">
      <c r="A90" s="2"/>
      <c r="B90" s="322">
        <v>10.9</v>
      </c>
      <c r="C90" s="20"/>
      <c r="D90" s="421">
        <f t="shared" si="6"/>
        <v>0</v>
      </c>
      <c r="E90" s="158"/>
      <c r="F90" s="109">
        <f t="shared" si="7"/>
        <v>0</v>
      </c>
      <c r="G90" s="110"/>
      <c r="H90" s="111"/>
      <c r="I90" s="582">
        <f t="shared" si="10"/>
        <v>2.0463630789890885E-12</v>
      </c>
      <c r="K90" s="2"/>
      <c r="L90" s="322">
        <v>10.9</v>
      </c>
      <c r="M90" s="20"/>
      <c r="N90" s="421">
        <f t="shared" si="8"/>
        <v>0</v>
      </c>
      <c r="O90" s="158"/>
      <c r="P90" s="109">
        <f t="shared" si="9"/>
        <v>0</v>
      </c>
      <c r="Q90" s="110"/>
      <c r="R90" s="111"/>
      <c r="S90" s="582">
        <f t="shared" si="11"/>
        <v>8251.2999999999975</v>
      </c>
    </row>
    <row r="91" spans="1:19" x14ac:dyDescent="0.25">
      <c r="A91" s="2"/>
      <c r="B91" s="322">
        <v>10.9</v>
      </c>
      <c r="C91" s="20"/>
      <c r="D91" s="421">
        <f t="shared" si="6"/>
        <v>0</v>
      </c>
      <c r="E91" s="158"/>
      <c r="F91" s="109">
        <f t="shared" si="7"/>
        <v>0</v>
      </c>
      <c r="G91" s="110"/>
      <c r="H91" s="111"/>
      <c r="I91" s="582">
        <f t="shared" si="10"/>
        <v>2.0463630789890885E-12</v>
      </c>
      <c r="K91" s="2"/>
      <c r="L91" s="322">
        <v>10.9</v>
      </c>
      <c r="M91" s="20"/>
      <c r="N91" s="421">
        <f t="shared" si="8"/>
        <v>0</v>
      </c>
      <c r="O91" s="158"/>
      <c r="P91" s="109">
        <f t="shared" si="9"/>
        <v>0</v>
      </c>
      <c r="Q91" s="110"/>
      <c r="R91" s="111"/>
      <c r="S91" s="582">
        <f t="shared" si="11"/>
        <v>8251.2999999999975</v>
      </c>
    </row>
    <row r="92" spans="1:19" ht="15.75" thickBot="1" x14ac:dyDescent="0.3">
      <c r="A92" s="4"/>
      <c r="B92" s="322">
        <v>10.9</v>
      </c>
      <c r="C92" s="48"/>
      <c r="D92" s="558">
        <f>C92*B33</f>
        <v>0</v>
      </c>
      <c r="E92" s="559"/>
      <c r="F92" s="560">
        <f t="shared" si="7"/>
        <v>0</v>
      </c>
      <c r="G92" s="561"/>
      <c r="H92" s="489"/>
      <c r="K92" s="4"/>
      <c r="L92" s="322">
        <v>10.9</v>
      </c>
      <c r="M92" s="48"/>
      <c r="N92" s="558">
        <f>M92*L33</f>
        <v>0</v>
      </c>
      <c r="O92" s="559"/>
      <c r="P92" s="560">
        <f t="shared" si="9"/>
        <v>0</v>
      </c>
      <c r="Q92" s="561"/>
      <c r="R92" s="489"/>
    </row>
    <row r="93" spans="1:19" ht="16.5" thickTop="1" thickBot="1" x14ac:dyDescent="0.3">
      <c r="C93" s="165">
        <f>SUM(C8:C92)</f>
        <v>1125</v>
      </c>
      <c r="D93" s="204">
        <f>SUM(D10:D92)</f>
        <v>11499.499999999998</v>
      </c>
      <c r="E93" s="50"/>
      <c r="F93" s="6">
        <f>SUM(F8:F92)</f>
        <v>12262.499999999998</v>
      </c>
      <c r="M93" s="165">
        <f>SUM(M8:M92)</f>
        <v>937</v>
      </c>
      <c r="N93" s="204">
        <f>SUM(N10:N92)</f>
        <v>1384.3</v>
      </c>
      <c r="O93" s="50"/>
      <c r="P93" s="6">
        <f>SUM(P8:P92)</f>
        <v>10213.300000000001</v>
      </c>
    </row>
    <row r="94" spans="1:19" ht="15.75" thickBot="1" x14ac:dyDescent="0.3">
      <c r="A94" s="229"/>
      <c r="D94" s="205" t="s">
        <v>4</v>
      </c>
      <c r="E94" s="108">
        <f>F4+F5+F6-+C93</f>
        <v>0</v>
      </c>
      <c r="G94" s="16"/>
      <c r="H94" s="16"/>
      <c r="K94" s="229"/>
      <c r="N94" s="205" t="s">
        <v>4</v>
      </c>
      <c r="O94" s="108">
        <f>P4+P5+P6-+M93</f>
        <v>757</v>
      </c>
      <c r="Q94" s="16"/>
      <c r="R94" s="16"/>
    </row>
    <row r="95" spans="1:19" ht="15.75" thickBot="1" x14ac:dyDescent="0.3">
      <c r="A95" s="222"/>
      <c r="G95" s="16"/>
      <c r="H95" s="16"/>
      <c r="K95" s="222"/>
      <c r="Q95" s="16"/>
      <c r="R95" s="16"/>
    </row>
    <row r="96" spans="1:19" ht="16.5" thickTop="1" thickBot="1" x14ac:dyDescent="0.3">
      <c r="A96" s="160"/>
      <c r="C96" s="862" t="s">
        <v>11</v>
      </c>
      <c r="D96" s="863"/>
      <c r="E96" s="282">
        <f>E5+E4+E6+-F93</f>
        <v>0</v>
      </c>
      <c r="G96" s="16"/>
      <c r="H96" s="16"/>
      <c r="K96" s="160"/>
      <c r="M96" s="862" t="s">
        <v>11</v>
      </c>
      <c r="N96" s="863"/>
      <c r="O96" s="282">
        <f>O5+O4+O6+-P93</f>
        <v>8251.2999999999975</v>
      </c>
      <c r="Q96" s="16"/>
      <c r="R96" s="16"/>
    </row>
  </sheetData>
  <mergeCells count="8">
    <mergeCell ref="A1:G1"/>
    <mergeCell ref="A5:A6"/>
    <mergeCell ref="B5:B6"/>
    <mergeCell ref="C96:D96"/>
    <mergeCell ref="K1:Q1"/>
    <mergeCell ref="K5:K6"/>
    <mergeCell ref="L5:L6"/>
    <mergeCell ref="M96:N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workbookViewId="0">
      <pane ySplit="7" topLeftCell="A8" activePane="bottomLeft" state="frozen"/>
      <selection pane="bottomLeft" activeCell="C9" sqref="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0"/>
  </cols>
  <sheetData>
    <row r="1" spans="1:10" ht="45.75" x14ac:dyDescent="0.65">
      <c r="A1" s="864"/>
      <c r="B1" s="864"/>
      <c r="C1" s="864"/>
      <c r="D1" s="864"/>
      <c r="E1" s="864"/>
      <c r="F1" s="864"/>
      <c r="G1" s="864"/>
      <c r="H1" s="177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10" ht="17.25" thickTop="1" thickBot="1" x14ac:dyDescent="0.3">
      <c r="A4" s="128"/>
      <c r="B4" s="281"/>
      <c r="C4" s="24"/>
      <c r="D4" s="216"/>
      <c r="E4" s="447"/>
      <c r="F4" s="280"/>
      <c r="G4" s="16"/>
      <c r="H4" s="16"/>
    </row>
    <row r="5" spans="1:10" ht="15" customHeight="1" x14ac:dyDescent="0.25">
      <c r="A5" s="858"/>
      <c r="B5" s="865" t="s">
        <v>96</v>
      </c>
      <c r="C5" s="210"/>
      <c r="D5" s="216"/>
      <c r="E5" s="372"/>
      <c r="F5" s="280"/>
      <c r="G5" s="285">
        <f>F93</f>
        <v>0</v>
      </c>
      <c r="H5" s="94">
        <f>E4+E5+E6-G5</f>
        <v>0</v>
      </c>
    </row>
    <row r="6" spans="1:10" ht="16.5" thickBot="1" x14ac:dyDescent="0.3">
      <c r="A6" s="859"/>
      <c r="B6" s="866"/>
      <c r="C6" s="598"/>
      <c r="D6" s="216"/>
      <c r="E6" s="281"/>
      <c r="F6" s="373"/>
      <c r="G6" s="16"/>
    </row>
    <row r="7" spans="1:10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10" ht="15.75" thickTop="1" x14ac:dyDescent="0.25">
      <c r="A8" s="151" t="s">
        <v>32</v>
      </c>
      <c r="B8" s="322">
        <v>13.61</v>
      </c>
      <c r="C8" s="20"/>
      <c r="D8" s="421">
        <f t="shared" ref="D8" si="0">C8*B8</f>
        <v>0</v>
      </c>
      <c r="E8" s="215"/>
      <c r="F8" s="109">
        <f t="shared" ref="F8" si="1">D8</f>
        <v>0</v>
      </c>
      <c r="G8" s="110"/>
      <c r="H8" s="111"/>
      <c r="I8" s="628">
        <f>E5+E4-F8+E6</f>
        <v>0</v>
      </c>
    </row>
    <row r="9" spans="1:10" x14ac:dyDescent="0.25">
      <c r="A9" s="516"/>
      <c r="B9" s="322">
        <v>13.61</v>
      </c>
      <c r="C9" s="20"/>
      <c r="D9" s="421">
        <f t="shared" ref="D9:D72" si="2">C9*B9</f>
        <v>0</v>
      </c>
      <c r="E9" s="158"/>
      <c r="F9" s="109">
        <f t="shared" ref="F9:F71" si="3">D9</f>
        <v>0</v>
      </c>
      <c r="G9" s="110"/>
      <c r="H9" s="111"/>
      <c r="I9" s="628">
        <f>I8-F9</f>
        <v>0</v>
      </c>
    </row>
    <row r="10" spans="1:10" x14ac:dyDescent="0.25">
      <c r="A10" s="461"/>
      <c r="B10" s="322">
        <v>13.61</v>
      </c>
      <c r="C10" s="20"/>
      <c r="D10" s="421">
        <f t="shared" si="2"/>
        <v>0</v>
      </c>
      <c r="E10" s="158"/>
      <c r="F10" s="109">
        <f t="shared" si="3"/>
        <v>0</v>
      </c>
      <c r="G10" s="110"/>
      <c r="H10" s="111"/>
      <c r="I10" s="628">
        <f t="shared" ref="I10:I73" si="4">I9-F10</f>
        <v>0</v>
      </c>
    </row>
    <row r="11" spans="1:10" x14ac:dyDescent="0.25">
      <c r="A11" s="153" t="s">
        <v>33</v>
      </c>
      <c r="B11" s="322">
        <v>13.61</v>
      </c>
      <c r="C11" s="20"/>
      <c r="D11" s="421">
        <f t="shared" si="2"/>
        <v>0</v>
      </c>
      <c r="E11" s="158"/>
      <c r="F11" s="109">
        <f t="shared" si="3"/>
        <v>0</v>
      </c>
      <c r="G11" s="110"/>
      <c r="H11" s="111"/>
      <c r="I11" s="601">
        <f t="shared" si="4"/>
        <v>0</v>
      </c>
    </row>
    <row r="12" spans="1:10" x14ac:dyDescent="0.25">
      <c r="A12" s="277"/>
      <c r="B12" s="322">
        <v>13.61</v>
      </c>
      <c r="C12" s="20"/>
      <c r="D12" s="421">
        <f t="shared" si="2"/>
        <v>0</v>
      </c>
      <c r="E12" s="158"/>
      <c r="F12" s="109">
        <f t="shared" si="3"/>
        <v>0</v>
      </c>
      <c r="G12" s="110"/>
      <c r="H12" s="111"/>
      <c r="I12" s="601">
        <f t="shared" si="4"/>
        <v>0</v>
      </c>
    </row>
    <row r="13" spans="1:10" x14ac:dyDescent="0.25">
      <c r="A13" s="277"/>
      <c r="B13" s="322">
        <v>13.61</v>
      </c>
      <c r="C13" s="20"/>
      <c r="D13" s="421">
        <f t="shared" si="2"/>
        <v>0</v>
      </c>
      <c r="E13" s="215"/>
      <c r="F13" s="109">
        <f t="shared" si="3"/>
        <v>0</v>
      </c>
      <c r="G13" s="110"/>
      <c r="H13" s="111"/>
      <c r="I13" s="601">
        <f t="shared" si="4"/>
        <v>0</v>
      </c>
    </row>
    <row r="14" spans="1:10" x14ac:dyDescent="0.25">
      <c r="B14" s="322">
        <v>13.61</v>
      </c>
      <c r="C14" s="20"/>
      <c r="D14" s="421">
        <f t="shared" si="2"/>
        <v>0</v>
      </c>
      <c r="E14" s="215"/>
      <c r="F14" s="109">
        <f t="shared" si="3"/>
        <v>0</v>
      </c>
      <c r="G14" s="110"/>
      <c r="H14" s="111"/>
      <c r="I14" s="601">
        <f t="shared" si="4"/>
        <v>0</v>
      </c>
      <c r="J14" t="s">
        <v>88</v>
      </c>
    </row>
    <row r="15" spans="1:10" x14ac:dyDescent="0.25">
      <c r="B15" s="322">
        <v>13.61</v>
      </c>
      <c r="C15" s="20"/>
      <c r="D15" s="421">
        <f t="shared" si="2"/>
        <v>0</v>
      </c>
      <c r="E15" s="215"/>
      <c r="F15" s="109">
        <f t="shared" si="3"/>
        <v>0</v>
      </c>
      <c r="G15" s="110"/>
      <c r="H15" s="111"/>
      <c r="I15" s="601">
        <f t="shared" si="4"/>
        <v>0</v>
      </c>
    </row>
    <row r="16" spans="1:10" x14ac:dyDescent="0.25">
      <c r="A16" s="152"/>
      <c r="B16" s="322">
        <v>13.61</v>
      </c>
      <c r="C16" s="20"/>
      <c r="D16" s="421">
        <f t="shared" si="2"/>
        <v>0</v>
      </c>
      <c r="E16" s="168"/>
      <c r="F16" s="109">
        <f t="shared" si="3"/>
        <v>0</v>
      </c>
      <c r="G16" s="110"/>
      <c r="H16" s="111"/>
      <c r="I16" s="601">
        <f t="shared" si="4"/>
        <v>0</v>
      </c>
    </row>
    <row r="17" spans="1:9" x14ac:dyDescent="0.25">
      <c r="A17" s="156"/>
      <c r="B17" s="322">
        <v>13.61</v>
      </c>
      <c r="C17" s="20"/>
      <c r="D17" s="421">
        <f t="shared" si="2"/>
        <v>0</v>
      </c>
      <c r="E17" s="168"/>
      <c r="F17" s="109">
        <f t="shared" si="3"/>
        <v>0</v>
      </c>
      <c r="G17" s="512"/>
      <c r="H17" s="111"/>
      <c r="I17" s="601">
        <f t="shared" si="4"/>
        <v>0</v>
      </c>
    </row>
    <row r="18" spans="1:9" x14ac:dyDescent="0.25">
      <c r="A18" s="2"/>
      <c r="B18" s="322">
        <v>13.61</v>
      </c>
      <c r="C18" s="20"/>
      <c r="D18" s="421">
        <f t="shared" si="2"/>
        <v>0</v>
      </c>
      <c r="E18" s="168"/>
      <c r="F18" s="109">
        <f t="shared" si="3"/>
        <v>0</v>
      </c>
      <c r="G18" s="110"/>
      <c r="H18" s="111"/>
      <c r="I18" s="601">
        <f t="shared" si="4"/>
        <v>0</v>
      </c>
    </row>
    <row r="19" spans="1:9" x14ac:dyDescent="0.25">
      <c r="A19" s="2"/>
      <c r="B19" s="322">
        <v>13.61</v>
      </c>
      <c r="C19" s="20"/>
      <c r="D19" s="421">
        <f t="shared" si="2"/>
        <v>0</v>
      </c>
      <c r="E19" s="168"/>
      <c r="F19" s="109">
        <f t="shared" si="3"/>
        <v>0</v>
      </c>
      <c r="G19" s="110"/>
      <c r="H19" s="111"/>
      <c r="I19" s="601">
        <f t="shared" si="4"/>
        <v>0</v>
      </c>
    </row>
    <row r="20" spans="1:9" x14ac:dyDescent="0.25">
      <c r="A20" s="2"/>
      <c r="B20" s="322">
        <v>13.61</v>
      </c>
      <c r="C20" s="20"/>
      <c r="D20" s="421">
        <f t="shared" si="2"/>
        <v>0</v>
      </c>
      <c r="E20" s="215"/>
      <c r="F20" s="109">
        <f t="shared" si="3"/>
        <v>0</v>
      </c>
      <c r="G20" s="110"/>
      <c r="H20" s="111"/>
      <c r="I20" s="628">
        <f t="shared" si="4"/>
        <v>0</v>
      </c>
    </row>
    <row r="21" spans="1:9" x14ac:dyDescent="0.25">
      <c r="A21" s="2"/>
      <c r="B21" s="322">
        <v>13.61</v>
      </c>
      <c r="C21" s="20"/>
      <c r="D21" s="421">
        <f t="shared" si="2"/>
        <v>0</v>
      </c>
      <c r="E21" s="215"/>
      <c r="F21" s="109">
        <f t="shared" si="3"/>
        <v>0</v>
      </c>
      <c r="G21" s="110"/>
      <c r="H21" s="111"/>
      <c r="I21" s="628">
        <f t="shared" si="4"/>
        <v>0</v>
      </c>
    </row>
    <row r="22" spans="1:9" x14ac:dyDescent="0.25">
      <c r="A22" s="2"/>
      <c r="B22" s="322">
        <v>13.61</v>
      </c>
      <c r="C22" s="20"/>
      <c r="D22" s="421">
        <f t="shared" si="2"/>
        <v>0</v>
      </c>
      <c r="E22" s="215"/>
      <c r="F22" s="109">
        <f t="shared" si="3"/>
        <v>0</v>
      </c>
      <c r="G22" s="110"/>
      <c r="H22" s="111"/>
      <c r="I22" s="628">
        <f t="shared" si="4"/>
        <v>0</v>
      </c>
    </row>
    <row r="23" spans="1:9" x14ac:dyDescent="0.25">
      <c r="A23" s="2"/>
      <c r="B23" s="322">
        <v>13.61</v>
      </c>
      <c r="C23" s="20"/>
      <c r="D23" s="421">
        <f t="shared" si="2"/>
        <v>0</v>
      </c>
      <c r="E23" s="215"/>
      <c r="F23" s="109">
        <f t="shared" si="3"/>
        <v>0</v>
      </c>
      <c r="G23" s="110"/>
      <c r="H23" s="111"/>
      <c r="I23" s="628">
        <f t="shared" si="4"/>
        <v>0</v>
      </c>
    </row>
    <row r="24" spans="1:9" x14ac:dyDescent="0.25">
      <c r="A24" s="2"/>
      <c r="B24" s="322">
        <v>13.61</v>
      </c>
      <c r="C24" s="20"/>
      <c r="D24" s="421">
        <f t="shared" si="2"/>
        <v>0</v>
      </c>
      <c r="E24" s="168"/>
      <c r="F24" s="109">
        <f t="shared" si="3"/>
        <v>0</v>
      </c>
      <c r="G24" s="110"/>
      <c r="H24" s="111"/>
      <c r="I24" s="628">
        <f t="shared" si="4"/>
        <v>0</v>
      </c>
    </row>
    <row r="25" spans="1:9" x14ac:dyDescent="0.25">
      <c r="A25" s="2"/>
      <c r="B25" s="322">
        <v>13.61</v>
      </c>
      <c r="C25" s="20"/>
      <c r="D25" s="421">
        <f t="shared" si="2"/>
        <v>0</v>
      </c>
      <c r="E25" s="168"/>
      <c r="F25" s="109">
        <f t="shared" si="3"/>
        <v>0</v>
      </c>
      <c r="G25" s="110"/>
      <c r="H25" s="111"/>
      <c r="I25" s="628">
        <f t="shared" si="4"/>
        <v>0</v>
      </c>
    </row>
    <row r="26" spans="1:9" x14ac:dyDescent="0.25">
      <c r="A26" s="2"/>
      <c r="B26" s="322">
        <v>13.61</v>
      </c>
      <c r="C26" s="20"/>
      <c r="D26" s="421">
        <f t="shared" si="2"/>
        <v>0</v>
      </c>
      <c r="E26" s="168"/>
      <c r="F26" s="109">
        <f t="shared" si="3"/>
        <v>0</v>
      </c>
      <c r="G26" s="110"/>
      <c r="H26" s="111"/>
      <c r="I26" s="628">
        <f t="shared" si="4"/>
        <v>0</v>
      </c>
    </row>
    <row r="27" spans="1:9" x14ac:dyDescent="0.25">
      <c r="A27" s="422"/>
      <c r="B27" s="322">
        <v>13.61</v>
      </c>
      <c r="C27" s="20"/>
      <c r="D27" s="421">
        <f t="shared" si="2"/>
        <v>0</v>
      </c>
      <c r="E27" s="168"/>
      <c r="F27" s="109">
        <f t="shared" si="3"/>
        <v>0</v>
      </c>
      <c r="G27" s="110"/>
      <c r="H27" s="111"/>
      <c r="I27" s="628">
        <f t="shared" si="4"/>
        <v>0</v>
      </c>
    </row>
    <row r="28" spans="1:9" x14ac:dyDescent="0.25">
      <c r="A28" s="422"/>
      <c r="B28" s="322">
        <v>13.61</v>
      </c>
      <c r="C28" s="20"/>
      <c r="D28" s="421">
        <f t="shared" si="2"/>
        <v>0</v>
      </c>
      <c r="E28" s="215"/>
      <c r="F28" s="109">
        <f t="shared" si="3"/>
        <v>0</v>
      </c>
      <c r="G28" s="110"/>
      <c r="H28" s="111"/>
      <c r="I28" s="628">
        <f t="shared" si="4"/>
        <v>0</v>
      </c>
    </row>
    <row r="29" spans="1:9" x14ac:dyDescent="0.25">
      <c r="A29" s="422"/>
      <c r="B29" s="322">
        <v>13.61</v>
      </c>
      <c r="C29" s="20"/>
      <c r="D29" s="421">
        <f t="shared" si="2"/>
        <v>0</v>
      </c>
      <c r="E29" s="215"/>
      <c r="F29" s="109">
        <f t="shared" si="3"/>
        <v>0</v>
      </c>
      <c r="G29" s="110"/>
      <c r="H29" s="111"/>
      <c r="I29" s="628">
        <f t="shared" si="4"/>
        <v>0</v>
      </c>
    </row>
    <row r="30" spans="1:9" x14ac:dyDescent="0.25">
      <c r="A30" s="422"/>
      <c r="B30" s="322">
        <v>13.61</v>
      </c>
      <c r="C30" s="20"/>
      <c r="D30" s="421">
        <f t="shared" si="2"/>
        <v>0</v>
      </c>
      <c r="E30" s="215"/>
      <c r="F30" s="109">
        <f t="shared" si="3"/>
        <v>0</v>
      </c>
      <c r="G30" s="110"/>
      <c r="H30" s="111"/>
      <c r="I30" s="628">
        <f t="shared" si="4"/>
        <v>0</v>
      </c>
    </row>
    <row r="31" spans="1:9" x14ac:dyDescent="0.25">
      <c r="A31" s="422"/>
      <c r="B31" s="322">
        <v>13.61</v>
      </c>
      <c r="C31" s="20"/>
      <c r="D31" s="421">
        <f t="shared" si="2"/>
        <v>0</v>
      </c>
      <c r="E31" s="215"/>
      <c r="F31" s="109">
        <f t="shared" si="3"/>
        <v>0</v>
      </c>
      <c r="G31" s="110"/>
      <c r="H31" s="111"/>
      <c r="I31" s="628">
        <f t="shared" si="4"/>
        <v>0</v>
      </c>
    </row>
    <row r="32" spans="1:9" x14ac:dyDescent="0.25">
      <c r="A32" s="121"/>
      <c r="B32" s="322">
        <v>13.61</v>
      </c>
      <c r="C32" s="20"/>
      <c r="D32" s="421">
        <f t="shared" si="2"/>
        <v>0</v>
      </c>
      <c r="E32" s="215"/>
      <c r="F32" s="109">
        <f t="shared" si="3"/>
        <v>0</v>
      </c>
      <c r="G32" s="110"/>
      <c r="H32" s="111"/>
      <c r="I32" s="628">
        <f t="shared" si="4"/>
        <v>0</v>
      </c>
    </row>
    <row r="33" spans="1:9" x14ac:dyDescent="0.25">
      <c r="A33" s="2"/>
      <c r="B33" s="322">
        <v>13.61</v>
      </c>
      <c r="C33" s="20"/>
      <c r="D33" s="421">
        <f t="shared" si="2"/>
        <v>0</v>
      </c>
      <c r="E33" s="215"/>
      <c r="F33" s="109">
        <f t="shared" si="3"/>
        <v>0</v>
      </c>
      <c r="G33" s="110"/>
      <c r="H33" s="111"/>
      <c r="I33" s="628">
        <f t="shared" si="4"/>
        <v>0</v>
      </c>
    </row>
    <row r="34" spans="1:9" x14ac:dyDescent="0.25">
      <c r="A34" s="2"/>
      <c r="B34" s="322">
        <v>13.61</v>
      </c>
      <c r="C34" s="20"/>
      <c r="D34" s="421">
        <f t="shared" si="2"/>
        <v>0</v>
      </c>
      <c r="E34" s="215"/>
      <c r="F34" s="109">
        <f t="shared" si="3"/>
        <v>0</v>
      </c>
      <c r="G34" s="110"/>
      <c r="H34" s="111"/>
      <c r="I34" s="628">
        <f t="shared" si="4"/>
        <v>0</v>
      </c>
    </row>
    <row r="35" spans="1:9" x14ac:dyDescent="0.25">
      <c r="A35" s="2"/>
      <c r="B35" s="322">
        <v>13.61</v>
      </c>
      <c r="C35" s="20"/>
      <c r="D35" s="421">
        <f t="shared" si="2"/>
        <v>0</v>
      </c>
      <c r="E35" s="158"/>
      <c r="F35" s="109">
        <f t="shared" si="3"/>
        <v>0</v>
      </c>
      <c r="G35" s="110"/>
      <c r="H35" s="111"/>
      <c r="I35" s="628">
        <f t="shared" si="4"/>
        <v>0</v>
      </c>
    </row>
    <row r="36" spans="1:9" x14ac:dyDescent="0.25">
      <c r="A36" s="2"/>
      <c r="B36" s="322">
        <v>13.61</v>
      </c>
      <c r="C36" s="20"/>
      <c r="D36" s="421">
        <f t="shared" si="2"/>
        <v>0</v>
      </c>
      <c r="E36" s="158"/>
      <c r="F36" s="109">
        <f t="shared" si="3"/>
        <v>0</v>
      </c>
      <c r="G36" s="110"/>
      <c r="H36" s="111"/>
      <c r="I36" s="628">
        <f t="shared" si="4"/>
        <v>0</v>
      </c>
    </row>
    <row r="37" spans="1:9" x14ac:dyDescent="0.25">
      <c r="A37" s="2"/>
      <c r="B37" s="322">
        <v>13.61</v>
      </c>
      <c r="C37" s="20"/>
      <c r="D37" s="421">
        <f t="shared" si="2"/>
        <v>0</v>
      </c>
      <c r="E37" s="158"/>
      <c r="F37" s="109">
        <f t="shared" si="3"/>
        <v>0</v>
      </c>
      <c r="G37" s="110"/>
      <c r="H37" s="111"/>
      <c r="I37" s="628">
        <f t="shared" si="4"/>
        <v>0</v>
      </c>
    </row>
    <row r="38" spans="1:9" x14ac:dyDescent="0.25">
      <c r="A38" s="2"/>
      <c r="B38" s="322">
        <v>13.61</v>
      </c>
      <c r="C38" s="20"/>
      <c r="D38" s="421">
        <f t="shared" si="2"/>
        <v>0</v>
      </c>
      <c r="E38" s="158"/>
      <c r="F38" s="109">
        <f t="shared" si="3"/>
        <v>0</v>
      </c>
      <c r="G38" s="110"/>
      <c r="H38" s="111"/>
      <c r="I38" s="628">
        <f t="shared" si="4"/>
        <v>0</v>
      </c>
    </row>
    <row r="39" spans="1:9" x14ac:dyDescent="0.25">
      <c r="A39" s="2"/>
      <c r="B39" s="322">
        <v>13.61</v>
      </c>
      <c r="C39" s="20"/>
      <c r="D39" s="421">
        <f t="shared" si="2"/>
        <v>0</v>
      </c>
      <c r="E39" s="158"/>
      <c r="F39" s="109">
        <f t="shared" si="3"/>
        <v>0</v>
      </c>
      <c r="G39" s="110"/>
      <c r="H39" s="111"/>
      <c r="I39" s="628">
        <f t="shared" si="4"/>
        <v>0</v>
      </c>
    </row>
    <row r="40" spans="1:9" x14ac:dyDescent="0.25">
      <c r="A40" s="2"/>
      <c r="B40" s="322">
        <v>13.61</v>
      </c>
      <c r="C40" s="20"/>
      <c r="D40" s="421">
        <f t="shared" si="2"/>
        <v>0</v>
      </c>
      <c r="E40" s="158"/>
      <c r="F40" s="109">
        <f t="shared" si="3"/>
        <v>0</v>
      </c>
      <c r="G40" s="110"/>
      <c r="H40" s="111"/>
      <c r="I40" s="628">
        <f t="shared" si="4"/>
        <v>0</v>
      </c>
    </row>
    <row r="41" spans="1:9" x14ac:dyDescent="0.25">
      <c r="A41" s="2"/>
      <c r="B41" s="322">
        <v>13.61</v>
      </c>
      <c r="C41" s="20"/>
      <c r="D41" s="421">
        <f t="shared" si="2"/>
        <v>0</v>
      </c>
      <c r="E41" s="158"/>
      <c r="F41" s="109">
        <f t="shared" si="3"/>
        <v>0</v>
      </c>
      <c r="G41" s="110"/>
      <c r="H41" s="111"/>
      <c r="I41" s="628">
        <f t="shared" si="4"/>
        <v>0</v>
      </c>
    </row>
    <row r="42" spans="1:9" x14ac:dyDescent="0.25">
      <c r="A42" s="2"/>
      <c r="B42" s="322">
        <v>13.61</v>
      </c>
      <c r="C42" s="20"/>
      <c r="D42" s="421">
        <f t="shared" si="2"/>
        <v>0</v>
      </c>
      <c r="E42" s="158"/>
      <c r="F42" s="109">
        <f t="shared" si="3"/>
        <v>0</v>
      </c>
      <c r="G42" s="110"/>
      <c r="H42" s="111"/>
      <c r="I42" s="628">
        <f t="shared" si="4"/>
        <v>0</v>
      </c>
    </row>
    <row r="43" spans="1:9" x14ac:dyDescent="0.25">
      <c r="A43" s="2"/>
      <c r="B43" s="322">
        <v>13.61</v>
      </c>
      <c r="C43" s="20"/>
      <c r="D43" s="421">
        <f t="shared" si="2"/>
        <v>0</v>
      </c>
      <c r="E43" s="158"/>
      <c r="F43" s="109">
        <f t="shared" si="3"/>
        <v>0</v>
      </c>
      <c r="G43" s="110"/>
      <c r="H43" s="111"/>
      <c r="I43" s="628">
        <f t="shared" si="4"/>
        <v>0</v>
      </c>
    </row>
    <row r="44" spans="1:9" x14ac:dyDescent="0.25">
      <c r="A44" s="2"/>
      <c r="B44" s="322">
        <v>13.61</v>
      </c>
      <c r="C44" s="20"/>
      <c r="D44" s="421">
        <f t="shared" si="2"/>
        <v>0</v>
      </c>
      <c r="E44" s="158"/>
      <c r="F44" s="109">
        <f t="shared" si="3"/>
        <v>0</v>
      </c>
      <c r="G44" s="110"/>
      <c r="H44" s="111"/>
      <c r="I44" s="628">
        <f t="shared" si="4"/>
        <v>0</v>
      </c>
    </row>
    <row r="45" spans="1:9" x14ac:dyDescent="0.25">
      <c r="A45" s="2"/>
      <c r="B45" s="322">
        <v>13.61</v>
      </c>
      <c r="C45" s="20"/>
      <c r="D45" s="421">
        <f t="shared" si="2"/>
        <v>0</v>
      </c>
      <c r="E45" s="158"/>
      <c r="F45" s="109">
        <f t="shared" si="3"/>
        <v>0</v>
      </c>
      <c r="G45" s="110"/>
      <c r="H45" s="111"/>
      <c r="I45" s="628">
        <f t="shared" si="4"/>
        <v>0</v>
      </c>
    </row>
    <row r="46" spans="1:9" x14ac:dyDescent="0.25">
      <c r="A46" s="2"/>
      <c r="B46" s="322">
        <v>13.61</v>
      </c>
      <c r="C46" s="20"/>
      <c r="D46" s="421">
        <f t="shared" si="2"/>
        <v>0</v>
      </c>
      <c r="E46" s="158"/>
      <c r="F46" s="109">
        <f t="shared" si="3"/>
        <v>0</v>
      </c>
      <c r="G46" s="110"/>
      <c r="H46" s="111"/>
      <c r="I46" s="628">
        <f t="shared" si="4"/>
        <v>0</v>
      </c>
    </row>
    <row r="47" spans="1:9" x14ac:dyDescent="0.25">
      <c r="A47" s="2"/>
      <c r="B47" s="322">
        <v>13.61</v>
      </c>
      <c r="C47" s="20"/>
      <c r="D47" s="421">
        <f t="shared" si="2"/>
        <v>0</v>
      </c>
      <c r="E47" s="158"/>
      <c r="F47" s="109">
        <f t="shared" si="3"/>
        <v>0</v>
      </c>
      <c r="G47" s="110"/>
      <c r="H47" s="111"/>
      <c r="I47" s="628">
        <f t="shared" si="4"/>
        <v>0</v>
      </c>
    </row>
    <row r="48" spans="1:9" x14ac:dyDescent="0.25">
      <c r="A48" s="2"/>
      <c r="B48" s="322">
        <v>13.61</v>
      </c>
      <c r="C48" s="20"/>
      <c r="D48" s="421">
        <f t="shared" si="2"/>
        <v>0</v>
      </c>
      <c r="E48" s="158"/>
      <c r="F48" s="109">
        <f t="shared" si="3"/>
        <v>0</v>
      </c>
      <c r="G48" s="110"/>
      <c r="H48" s="111"/>
      <c r="I48" s="628">
        <f t="shared" si="4"/>
        <v>0</v>
      </c>
    </row>
    <row r="49" spans="1:9" x14ac:dyDescent="0.25">
      <c r="A49" s="2"/>
      <c r="B49" s="322">
        <v>13.61</v>
      </c>
      <c r="C49" s="20"/>
      <c r="D49" s="421">
        <f t="shared" si="2"/>
        <v>0</v>
      </c>
      <c r="E49" s="158"/>
      <c r="F49" s="109">
        <f t="shared" si="3"/>
        <v>0</v>
      </c>
      <c r="G49" s="110"/>
      <c r="H49" s="111"/>
      <c r="I49" s="628">
        <f t="shared" si="4"/>
        <v>0</v>
      </c>
    </row>
    <row r="50" spans="1:9" x14ac:dyDescent="0.25">
      <c r="A50" s="2"/>
      <c r="B50" s="322">
        <v>13.61</v>
      </c>
      <c r="C50" s="20"/>
      <c r="D50" s="421">
        <f t="shared" si="2"/>
        <v>0</v>
      </c>
      <c r="E50" s="158"/>
      <c r="F50" s="109">
        <f t="shared" si="3"/>
        <v>0</v>
      </c>
      <c r="G50" s="110"/>
      <c r="H50" s="111"/>
      <c r="I50" s="628">
        <f t="shared" si="4"/>
        <v>0</v>
      </c>
    </row>
    <row r="51" spans="1:9" x14ac:dyDescent="0.25">
      <c r="A51" s="2"/>
      <c r="B51" s="322">
        <v>13.61</v>
      </c>
      <c r="C51" s="20"/>
      <c r="D51" s="421">
        <f t="shared" si="2"/>
        <v>0</v>
      </c>
      <c r="E51" s="158"/>
      <c r="F51" s="109">
        <f t="shared" si="3"/>
        <v>0</v>
      </c>
      <c r="G51" s="110"/>
      <c r="H51" s="111"/>
      <c r="I51" s="628">
        <f t="shared" si="4"/>
        <v>0</v>
      </c>
    </row>
    <row r="52" spans="1:9" x14ac:dyDescent="0.25">
      <c r="A52" s="2"/>
      <c r="B52" s="322">
        <v>13.61</v>
      </c>
      <c r="C52" s="20"/>
      <c r="D52" s="421">
        <f t="shared" si="2"/>
        <v>0</v>
      </c>
      <c r="E52" s="158"/>
      <c r="F52" s="109">
        <f t="shared" si="3"/>
        <v>0</v>
      </c>
      <c r="G52" s="110"/>
      <c r="H52" s="111"/>
      <c r="I52" s="628">
        <f t="shared" si="4"/>
        <v>0</v>
      </c>
    </row>
    <row r="53" spans="1:9" x14ac:dyDescent="0.25">
      <c r="A53" s="2"/>
      <c r="B53" s="322">
        <v>13.61</v>
      </c>
      <c r="C53" s="20"/>
      <c r="D53" s="421">
        <f t="shared" si="2"/>
        <v>0</v>
      </c>
      <c r="E53" s="158"/>
      <c r="F53" s="109">
        <f t="shared" si="3"/>
        <v>0</v>
      </c>
      <c r="G53" s="110"/>
      <c r="H53" s="111"/>
      <c r="I53" s="628">
        <f t="shared" si="4"/>
        <v>0</v>
      </c>
    </row>
    <row r="54" spans="1:9" x14ac:dyDescent="0.25">
      <c r="A54" s="2"/>
      <c r="B54" s="322">
        <v>13.61</v>
      </c>
      <c r="C54" s="20"/>
      <c r="D54" s="421">
        <f t="shared" si="2"/>
        <v>0</v>
      </c>
      <c r="E54" s="158"/>
      <c r="F54" s="109">
        <f t="shared" si="3"/>
        <v>0</v>
      </c>
      <c r="G54" s="110"/>
      <c r="H54" s="111"/>
      <c r="I54" s="628">
        <f t="shared" si="4"/>
        <v>0</v>
      </c>
    </row>
    <row r="55" spans="1:9" x14ac:dyDescent="0.25">
      <c r="A55" s="2"/>
      <c r="B55" s="322">
        <v>13.61</v>
      </c>
      <c r="C55" s="20"/>
      <c r="D55" s="421">
        <f t="shared" si="2"/>
        <v>0</v>
      </c>
      <c r="E55" s="158"/>
      <c r="F55" s="109">
        <f t="shared" si="3"/>
        <v>0</v>
      </c>
      <c r="G55" s="110"/>
      <c r="H55" s="111"/>
      <c r="I55" s="628">
        <f t="shared" si="4"/>
        <v>0</v>
      </c>
    </row>
    <row r="56" spans="1:9" x14ac:dyDescent="0.25">
      <c r="A56" s="2"/>
      <c r="B56" s="322">
        <v>13.61</v>
      </c>
      <c r="C56" s="20"/>
      <c r="D56" s="421">
        <f t="shared" si="2"/>
        <v>0</v>
      </c>
      <c r="E56" s="158"/>
      <c r="F56" s="109">
        <f t="shared" si="3"/>
        <v>0</v>
      </c>
      <c r="G56" s="110"/>
      <c r="H56" s="111"/>
      <c r="I56" s="628">
        <f t="shared" si="4"/>
        <v>0</v>
      </c>
    </row>
    <row r="57" spans="1:9" x14ac:dyDescent="0.25">
      <c r="A57" s="2"/>
      <c r="B57" s="322">
        <v>13.61</v>
      </c>
      <c r="C57" s="20"/>
      <c r="D57" s="421">
        <f t="shared" si="2"/>
        <v>0</v>
      </c>
      <c r="E57" s="158"/>
      <c r="F57" s="109">
        <f t="shared" si="3"/>
        <v>0</v>
      </c>
      <c r="G57" s="110"/>
      <c r="H57" s="111"/>
      <c r="I57" s="628">
        <f t="shared" si="4"/>
        <v>0</v>
      </c>
    </row>
    <row r="58" spans="1:9" x14ac:dyDescent="0.25">
      <c r="A58" s="2"/>
      <c r="B58" s="322">
        <v>13.61</v>
      </c>
      <c r="C58" s="20"/>
      <c r="D58" s="421">
        <f t="shared" si="2"/>
        <v>0</v>
      </c>
      <c r="E58" s="158"/>
      <c r="F58" s="109">
        <f t="shared" si="3"/>
        <v>0</v>
      </c>
      <c r="G58" s="110"/>
      <c r="H58" s="111"/>
      <c r="I58" s="628">
        <f t="shared" si="4"/>
        <v>0</v>
      </c>
    </row>
    <row r="59" spans="1:9" x14ac:dyDescent="0.25">
      <c r="A59" s="2"/>
      <c r="B59" s="322">
        <v>13.61</v>
      </c>
      <c r="C59" s="20"/>
      <c r="D59" s="421">
        <f t="shared" si="2"/>
        <v>0</v>
      </c>
      <c r="E59" s="158"/>
      <c r="F59" s="109">
        <f t="shared" si="3"/>
        <v>0</v>
      </c>
      <c r="G59" s="110"/>
      <c r="H59" s="111"/>
      <c r="I59" s="628">
        <f t="shared" si="4"/>
        <v>0</v>
      </c>
    </row>
    <row r="60" spans="1:9" x14ac:dyDescent="0.25">
      <c r="A60" s="2"/>
      <c r="B60" s="322">
        <v>13.61</v>
      </c>
      <c r="C60" s="20"/>
      <c r="D60" s="421">
        <f t="shared" si="2"/>
        <v>0</v>
      </c>
      <c r="E60" s="158"/>
      <c r="F60" s="109">
        <f t="shared" si="3"/>
        <v>0</v>
      </c>
      <c r="G60" s="110"/>
      <c r="H60" s="111"/>
      <c r="I60" s="628">
        <f t="shared" si="4"/>
        <v>0</v>
      </c>
    </row>
    <row r="61" spans="1:9" x14ac:dyDescent="0.25">
      <c r="A61" s="2"/>
      <c r="B61" s="322">
        <v>13.61</v>
      </c>
      <c r="C61" s="20"/>
      <c r="D61" s="421">
        <f t="shared" si="2"/>
        <v>0</v>
      </c>
      <c r="E61" s="158"/>
      <c r="F61" s="109">
        <f t="shared" si="3"/>
        <v>0</v>
      </c>
      <c r="G61" s="110"/>
      <c r="H61" s="111"/>
      <c r="I61" s="628">
        <f t="shared" si="4"/>
        <v>0</v>
      </c>
    </row>
    <row r="62" spans="1:9" x14ac:dyDescent="0.25">
      <c r="A62" s="2"/>
      <c r="B62" s="322">
        <v>13.61</v>
      </c>
      <c r="C62" s="20"/>
      <c r="D62" s="421">
        <f t="shared" si="2"/>
        <v>0</v>
      </c>
      <c r="E62" s="158"/>
      <c r="F62" s="109">
        <f t="shared" si="3"/>
        <v>0</v>
      </c>
      <c r="G62" s="110"/>
      <c r="H62" s="111"/>
      <c r="I62" s="628">
        <f t="shared" si="4"/>
        <v>0</v>
      </c>
    </row>
    <row r="63" spans="1:9" x14ac:dyDescent="0.25">
      <c r="A63" s="2"/>
      <c r="B63" s="322">
        <v>13.61</v>
      </c>
      <c r="C63" s="20"/>
      <c r="D63" s="421">
        <f t="shared" si="2"/>
        <v>0</v>
      </c>
      <c r="E63" s="158"/>
      <c r="F63" s="109">
        <f t="shared" si="3"/>
        <v>0</v>
      </c>
      <c r="G63" s="110"/>
      <c r="H63" s="111"/>
      <c r="I63" s="628">
        <f t="shared" si="4"/>
        <v>0</v>
      </c>
    </row>
    <row r="64" spans="1:9" x14ac:dyDescent="0.25">
      <c r="A64" s="2"/>
      <c r="B64" s="322">
        <v>13.61</v>
      </c>
      <c r="C64" s="20"/>
      <c r="D64" s="421">
        <f t="shared" si="2"/>
        <v>0</v>
      </c>
      <c r="E64" s="158"/>
      <c r="F64" s="109">
        <f t="shared" si="3"/>
        <v>0</v>
      </c>
      <c r="G64" s="110"/>
      <c r="H64" s="111"/>
      <c r="I64" s="628">
        <f t="shared" si="4"/>
        <v>0</v>
      </c>
    </row>
    <row r="65" spans="1:9" x14ac:dyDescent="0.25">
      <c r="A65" s="2"/>
      <c r="B65" s="322">
        <v>13.61</v>
      </c>
      <c r="C65" s="20"/>
      <c r="D65" s="421">
        <f t="shared" si="2"/>
        <v>0</v>
      </c>
      <c r="E65" s="158"/>
      <c r="F65" s="109">
        <f t="shared" si="3"/>
        <v>0</v>
      </c>
      <c r="G65" s="110"/>
      <c r="H65" s="111"/>
      <c r="I65" s="628">
        <f t="shared" si="4"/>
        <v>0</v>
      </c>
    </row>
    <row r="66" spans="1:9" x14ac:dyDescent="0.25">
      <c r="A66" s="2"/>
      <c r="B66" s="322">
        <v>13.61</v>
      </c>
      <c r="C66" s="20"/>
      <c r="D66" s="421">
        <f t="shared" si="2"/>
        <v>0</v>
      </c>
      <c r="E66" s="158"/>
      <c r="F66" s="109">
        <f t="shared" si="3"/>
        <v>0</v>
      </c>
      <c r="G66" s="110"/>
      <c r="H66" s="111"/>
      <c r="I66" s="628">
        <f t="shared" si="4"/>
        <v>0</v>
      </c>
    </row>
    <row r="67" spans="1:9" x14ac:dyDescent="0.25">
      <c r="A67" s="2"/>
      <c r="B67" s="322">
        <v>13.61</v>
      </c>
      <c r="C67" s="20"/>
      <c r="D67" s="421">
        <f t="shared" si="2"/>
        <v>0</v>
      </c>
      <c r="E67" s="158"/>
      <c r="F67" s="109">
        <f t="shared" si="3"/>
        <v>0</v>
      </c>
      <c r="G67" s="110"/>
      <c r="H67" s="111"/>
      <c r="I67" s="628">
        <f t="shared" si="4"/>
        <v>0</v>
      </c>
    </row>
    <row r="68" spans="1:9" x14ac:dyDescent="0.25">
      <c r="A68" s="2"/>
      <c r="B68" s="322">
        <v>13.61</v>
      </c>
      <c r="C68" s="20"/>
      <c r="D68" s="421">
        <f t="shared" si="2"/>
        <v>0</v>
      </c>
      <c r="E68" s="158"/>
      <c r="F68" s="109">
        <f t="shared" si="3"/>
        <v>0</v>
      </c>
      <c r="G68" s="110"/>
      <c r="H68" s="111"/>
      <c r="I68" s="628">
        <f t="shared" si="4"/>
        <v>0</v>
      </c>
    </row>
    <row r="69" spans="1:9" x14ac:dyDescent="0.25">
      <c r="A69" s="2"/>
      <c r="B69" s="322">
        <v>13.61</v>
      </c>
      <c r="C69" s="20"/>
      <c r="D69" s="421">
        <f t="shared" si="2"/>
        <v>0</v>
      </c>
      <c r="E69" s="158"/>
      <c r="F69" s="109">
        <f t="shared" si="3"/>
        <v>0</v>
      </c>
      <c r="G69" s="110"/>
      <c r="H69" s="111"/>
      <c r="I69" s="628">
        <f t="shared" si="4"/>
        <v>0</v>
      </c>
    </row>
    <row r="70" spans="1:9" x14ac:dyDescent="0.25">
      <c r="A70" s="2"/>
      <c r="B70" s="322">
        <v>13.61</v>
      </c>
      <c r="C70" s="20"/>
      <c r="D70" s="421">
        <f t="shared" si="2"/>
        <v>0</v>
      </c>
      <c r="E70" s="158"/>
      <c r="F70" s="109">
        <f t="shared" si="3"/>
        <v>0</v>
      </c>
      <c r="G70" s="110"/>
      <c r="H70" s="111"/>
      <c r="I70" s="628">
        <f t="shared" si="4"/>
        <v>0</v>
      </c>
    </row>
    <row r="71" spans="1:9" x14ac:dyDescent="0.25">
      <c r="A71" s="2"/>
      <c r="B71" s="322">
        <v>13.61</v>
      </c>
      <c r="C71" s="20"/>
      <c r="D71" s="421">
        <f t="shared" si="2"/>
        <v>0</v>
      </c>
      <c r="E71" s="158"/>
      <c r="F71" s="109">
        <f t="shared" si="3"/>
        <v>0</v>
      </c>
      <c r="G71" s="110"/>
      <c r="H71" s="111"/>
      <c r="I71" s="628">
        <f t="shared" si="4"/>
        <v>0</v>
      </c>
    </row>
    <row r="72" spans="1:9" x14ac:dyDescent="0.25">
      <c r="A72" s="2"/>
      <c r="B72" s="322">
        <v>13.61</v>
      </c>
      <c r="C72" s="20"/>
      <c r="D72" s="421">
        <f t="shared" si="2"/>
        <v>0</v>
      </c>
      <c r="E72" s="158"/>
      <c r="F72" s="109">
        <f t="shared" ref="F72:F92" si="5">D72</f>
        <v>0</v>
      </c>
      <c r="G72" s="110"/>
      <c r="H72" s="111"/>
      <c r="I72" s="628">
        <f t="shared" si="4"/>
        <v>0</v>
      </c>
    </row>
    <row r="73" spans="1:9" x14ac:dyDescent="0.25">
      <c r="A73" s="2"/>
      <c r="B73" s="322">
        <v>13.61</v>
      </c>
      <c r="C73" s="20"/>
      <c r="D73" s="421">
        <f t="shared" ref="D73:D91" si="6">C73*B73</f>
        <v>0</v>
      </c>
      <c r="E73" s="158"/>
      <c r="F73" s="109">
        <f t="shared" si="5"/>
        <v>0</v>
      </c>
      <c r="G73" s="110"/>
      <c r="H73" s="111"/>
      <c r="I73" s="628">
        <f t="shared" si="4"/>
        <v>0</v>
      </c>
    </row>
    <row r="74" spans="1:9" x14ac:dyDescent="0.25">
      <c r="A74" s="2"/>
      <c r="B74" s="322">
        <v>13.61</v>
      </c>
      <c r="C74" s="20"/>
      <c r="D74" s="421">
        <f t="shared" si="6"/>
        <v>0</v>
      </c>
      <c r="E74" s="158"/>
      <c r="F74" s="109">
        <f t="shared" si="5"/>
        <v>0</v>
      </c>
      <c r="G74" s="110"/>
      <c r="H74" s="111"/>
      <c r="I74" s="628">
        <f t="shared" ref="I74:I91" si="7">I73-F74</f>
        <v>0</v>
      </c>
    </row>
    <row r="75" spans="1:9" x14ac:dyDescent="0.25">
      <c r="A75" s="2"/>
      <c r="B75" s="322">
        <v>13.61</v>
      </c>
      <c r="C75" s="20"/>
      <c r="D75" s="421">
        <f t="shared" si="6"/>
        <v>0</v>
      </c>
      <c r="E75" s="158"/>
      <c r="F75" s="109">
        <f t="shared" si="5"/>
        <v>0</v>
      </c>
      <c r="G75" s="110"/>
      <c r="H75" s="111"/>
      <c r="I75" s="628">
        <f t="shared" si="7"/>
        <v>0</v>
      </c>
    </row>
    <row r="76" spans="1:9" x14ac:dyDescent="0.25">
      <c r="A76" s="2"/>
      <c r="B76" s="322">
        <v>13.61</v>
      </c>
      <c r="C76" s="20"/>
      <c r="D76" s="421">
        <f t="shared" si="6"/>
        <v>0</v>
      </c>
      <c r="E76" s="158"/>
      <c r="F76" s="109">
        <f t="shared" si="5"/>
        <v>0</v>
      </c>
      <c r="G76" s="110"/>
      <c r="H76" s="111"/>
      <c r="I76" s="628">
        <f t="shared" si="7"/>
        <v>0</v>
      </c>
    </row>
    <row r="77" spans="1:9" x14ac:dyDescent="0.25">
      <c r="A77" s="2"/>
      <c r="B77" s="322">
        <v>13.61</v>
      </c>
      <c r="C77" s="20"/>
      <c r="D77" s="421">
        <f t="shared" si="6"/>
        <v>0</v>
      </c>
      <c r="E77" s="158"/>
      <c r="F77" s="109">
        <f t="shared" si="5"/>
        <v>0</v>
      </c>
      <c r="G77" s="110"/>
      <c r="H77" s="111"/>
      <c r="I77" s="628">
        <f t="shared" si="7"/>
        <v>0</v>
      </c>
    </row>
    <row r="78" spans="1:9" x14ac:dyDescent="0.25">
      <c r="A78" s="2"/>
      <c r="B78" s="322">
        <v>13.61</v>
      </c>
      <c r="C78" s="20"/>
      <c r="D78" s="421">
        <f t="shared" si="6"/>
        <v>0</v>
      </c>
      <c r="E78" s="158"/>
      <c r="F78" s="109">
        <f t="shared" si="5"/>
        <v>0</v>
      </c>
      <c r="G78" s="110"/>
      <c r="H78" s="111"/>
      <c r="I78" s="628">
        <f t="shared" si="7"/>
        <v>0</v>
      </c>
    </row>
    <row r="79" spans="1:9" x14ac:dyDescent="0.25">
      <c r="A79" s="2"/>
      <c r="B79" s="322">
        <v>13.61</v>
      </c>
      <c r="C79" s="20"/>
      <c r="D79" s="421">
        <f t="shared" si="6"/>
        <v>0</v>
      </c>
      <c r="E79" s="158"/>
      <c r="F79" s="109">
        <f t="shared" si="5"/>
        <v>0</v>
      </c>
      <c r="G79" s="110"/>
      <c r="H79" s="111"/>
      <c r="I79" s="628">
        <f t="shared" si="7"/>
        <v>0</v>
      </c>
    </row>
    <row r="80" spans="1:9" x14ac:dyDescent="0.25">
      <c r="A80" s="2"/>
      <c r="B80" s="322">
        <v>13.61</v>
      </c>
      <c r="C80" s="20"/>
      <c r="D80" s="421">
        <f t="shared" si="6"/>
        <v>0</v>
      </c>
      <c r="E80" s="158"/>
      <c r="F80" s="109">
        <f t="shared" si="5"/>
        <v>0</v>
      </c>
      <c r="G80" s="110"/>
      <c r="H80" s="111"/>
      <c r="I80" s="628">
        <f t="shared" si="7"/>
        <v>0</v>
      </c>
    </row>
    <row r="81" spans="1:9" x14ac:dyDescent="0.25">
      <c r="A81" s="2"/>
      <c r="B81" s="322">
        <v>13.61</v>
      </c>
      <c r="C81" s="20"/>
      <c r="D81" s="421">
        <f t="shared" si="6"/>
        <v>0</v>
      </c>
      <c r="E81" s="158"/>
      <c r="F81" s="109">
        <f t="shared" si="5"/>
        <v>0</v>
      </c>
      <c r="G81" s="110"/>
      <c r="H81" s="111"/>
      <c r="I81" s="628">
        <f t="shared" si="7"/>
        <v>0</v>
      </c>
    </row>
    <row r="82" spans="1:9" x14ac:dyDescent="0.25">
      <c r="A82" s="2"/>
      <c r="B82" s="322">
        <v>13.61</v>
      </c>
      <c r="C82" s="20"/>
      <c r="D82" s="421">
        <f t="shared" si="6"/>
        <v>0</v>
      </c>
      <c r="E82" s="158"/>
      <c r="F82" s="109">
        <f t="shared" si="5"/>
        <v>0</v>
      </c>
      <c r="G82" s="110"/>
      <c r="H82" s="111"/>
      <c r="I82" s="628">
        <f t="shared" si="7"/>
        <v>0</v>
      </c>
    </row>
    <row r="83" spans="1:9" x14ac:dyDescent="0.25">
      <c r="A83" s="2"/>
      <c r="B83" s="322">
        <v>13.61</v>
      </c>
      <c r="C83" s="20"/>
      <c r="D83" s="421">
        <f t="shared" si="6"/>
        <v>0</v>
      </c>
      <c r="E83" s="158"/>
      <c r="F83" s="109">
        <f t="shared" si="5"/>
        <v>0</v>
      </c>
      <c r="G83" s="110"/>
      <c r="H83" s="111"/>
      <c r="I83" s="628">
        <f t="shared" si="7"/>
        <v>0</v>
      </c>
    </row>
    <row r="84" spans="1:9" x14ac:dyDescent="0.25">
      <c r="A84" s="2"/>
      <c r="B84" s="322">
        <v>13.61</v>
      </c>
      <c r="C84" s="20"/>
      <c r="D84" s="586">
        <f t="shared" si="6"/>
        <v>0</v>
      </c>
      <c r="E84" s="587"/>
      <c r="F84" s="584">
        <f t="shared" si="5"/>
        <v>0</v>
      </c>
      <c r="G84" s="585"/>
      <c r="H84" s="370"/>
      <c r="I84" s="628">
        <f t="shared" si="7"/>
        <v>0</v>
      </c>
    </row>
    <row r="85" spans="1:9" x14ac:dyDescent="0.25">
      <c r="A85" s="2"/>
      <c r="B85" s="322">
        <v>13.61</v>
      </c>
      <c r="C85" s="20"/>
      <c r="D85" s="586">
        <f t="shared" si="6"/>
        <v>0</v>
      </c>
      <c r="E85" s="587"/>
      <c r="F85" s="584">
        <f t="shared" si="5"/>
        <v>0</v>
      </c>
      <c r="G85" s="585"/>
      <c r="H85" s="370"/>
      <c r="I85" s="628">
        <f t="shared" si="7"/>
        <v>0</v>
      </c>
    </row>
    <row r="86" spans="1:9" x14ac:dyDescent="0.25">
      <c r="A86" s="2"/>
      <c r="B86" s="322">
        <v>13.61</v>
      </c>
      <c r="C86" s="20"/>
      <c r="D86" s="586">
        <f t="shared" si="6"/>
        <v>0</v>
      </c>
      <c r="E86" s="587"/>
      <c r="F86" s="584">
        <f t="shared" si="5"/>
        <v>0</v>
      </c>
      <c r="G86" s="585"/>
      <c r="H86" s="370"/>
      <c r="I86" s="628">
        <f t="shared" si="7"/>
        <v>0</v>
      </c>
    </row>
    <row r="87" spans="1:9" x14ac:dyDescent="0.25">
      <c r="A87" s="194"/>
      <c r="B87" s="322">
        <v>13.61</v>
      </c>
      <c r="C87" s="20"/>
      <c r="D87" s="421">
        <f t="shared" si="6"/>
        <v>0</v>
      </c>
      <c r="E87" s="158"/>
      <c r="F87" s="109">
        <f t="shared" si="5"/>
        <v>0</v>
      </c>
      <c r="G87" s="110"/>
      <c r="H87" s="111"/>
      <c r="I87" s="628">
        <f t="shared" si="7"/>
        <v>0</v>
      </c>
    </row>
    <row r="88" spans="1:9" x14ac:dyDescent="0.25">
      <c r="A88" s="2"/>
      <c r="B88" s="322">
        <v>13.61</v>
      </c>
      <c r="C88" s="20"/>
      <c r="D88" s="421">
        <f t="shared" si="6"/>
        <v>0</v>
      </c>
      <c r="E88" s="158"/>
      <c r="F88" s="109">
        <f t="shared" si="5"/>
        <v>0</v>
      </c>
      <c r="G88" s="110"/>
      <c r="H88" s="111"/>
      <c r="I88" s="628">
        <f t="shared" si="7"/>
        <v>0</v>
      </c>
    </row>
    <row r="89" spans="1:9" x14ac:dyDescent="0.25">
      <c r="A89" s="2"/>
      <c r="B89" s="322">
        <v>13.61</v>
      </c>
      <c r="C89" s="20"/>
      <c r="D89" s="421">
        <f t="shared" si="6"/>
        <v>0</v>
      </c>
      <c r="E89" s="158"/>
      <c r="F89" s="109">
        <f t="shared" si="5"/>
        <v>0</v>
      </c>
      <c r="G89" s="110"/>
      <c r="H89" s="111"/>
      <c r="I89" s="628">
        <f t="shared" si="7"/>
        <v>0</v>
      </c>
    </row>
    <row r="90" spans="1:9" x14ac:dyDescent="0.25">
      <c r="A90" s="2"/>
      <c r="B90" s="322">
        <v>13.61</v>
      </c>
      <c r="C90" s="20"/>
      <c r="D90" s="421">
        <f t="shared" si="6"/>
        <v>0</v>
      </c>
      <c r="E90" s="158"/>
      <c r="F90" s="109">
        <f t="shared" si="5"/>
        <v>0</v>
      </c>
      <c r="G90" s="110"/>
      <c r="H90" s="111"/>
      <c r="I90" s="628">
        <f t="shared" si="7"/>
        <v>0</v>
      </c>
    </row>
    <row r="91" spans="1:9" x14ac:dyDescent="0.25">
      <c r="A91" s="2"/>
      <c r="B91" s="322">
        <v>13.61</v>
      </c>
      <c r="C91" s="20"/>
      <c r="D91" s="421">
        <f t="shared" si="6"/>
        <v>0</v>
      </c>
      <c r="E91" s="158"/>
      <c r="F91" s="109">
        <f t="shared" si="5"/>
        <v>0</v>
      </c>
      <c r="G91" s="110"/>
      <c r="H91" s="111"/>
      <c r="I91" s="628">
        <f t="shared" si="7"/>
        <v>0</v>
      </c>
    </row>
    <row r="92" spans="1:9" ht="15.75" thickBot="1" x14ac:dyDescent="0.3">
      <c r="A92" s="4"/>
      <c r="B92" s="322">
        <v>13.61</v>
      </c>
      <c r="C92" s="48"/>
      <c r="D92" s="558">
        <f>C92*B33</f>
        <v>0</v>
      </c>
      <c r="E92" s="559"/>
      <c r="F92" s="560">
        <f t="shared" si="5"/>
        <v>0</v>
      </c>
      <c r="G92" s="561"/>
      <c r="H92" s="489"/>
    </row>
    <row r="93" spans="1:9" ht="16.5" thickTop="1" thickBot="1" x14ac:dyDescent="0.3">
      <c r="C93" s="165">
        <f>SUM(C8:C92)</f>
        <v>0</v>
      </c>
      <c r="D93" s="204">
        <f>SUM(D10:D92)</f>
        <v>0</v>
      </c>
      <c r="E93" s="50"/>
      <c r="F93" s="6">
        <f>SUM(F8:F92)</f>
        <v>0</v>
      </c>
    </row>
    <row r="94" spans="1:9" ht="15.75" thickBot="1" x14ac:dyDescent="0.3">
      <c r="A94" s="229"/>
      <c r="D94" s="205" t="s">
        <v>4</v>
      </c>
      <c r="E94" s="108">
        <f>F4+F5+F6-+C93</f>
        <v>0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62" t="s">
        <v>11</v>
      </c>
      <c r="D96" s="863"/>
      <c r="E96" s="282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57"/>
  <sheetViews>
    <sheetView topLeftCell="H1" workbookViewId="0">
      <pane xSplit="3" ySplit="8" topLeftCell="K9" activePane="bottomRight" state="frozen"/>
      <selection activeCell="H1" sqref="H1"/>
      <selection pane="topRight" activeCell="K1" sqref="K1"/>
      <selection pane="bottomLeft" activeCell="H9" sqref="H9"/>
      <selection pane="bottomRight" activeCell="K2" sqref="K1:T104857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6.42578125" style="278" customWidth="1"/>
    <col min="22" max="22" width="31.5703125" customWidth="1"/>
    <col min="23" max="23" width="18.5703125" customWidth="1"/>
    <col min="24" max="24" width="14.42578125" customWidth="1"/>
    <col min="25" max="25" width="14" customWidth="1"/>
    <col min="26" max="27" width="13" customWidth="1"/>
    <col min="30" max="30" width="16.42578125" style="278" customWidth="1"/>
  </cols>
  <sheetData>
    <row r="1" spans="1:30" ht="40.5" x14ac:dyDescent="0.55000000000000004">
      <c r="A1" s="853" t="s">
        <v>217</v>
      </c>
      <c r="B1" s="853"/>
      <c r="C1" s="853"/>
      <c r="D1" s="853"/>
      <c r="E1" s="853"/>
      <c r="F1" s="853"/>
      <c r="G1" s="853"/>
      <c r="H1" s="14">
        <v>1</v>
      </c>
      <c r="K1" s="853" t="str">
        <f>A1</f>
        <v>INVENTARIO DEL MES DE  NOVIEMBRE     2018</v>
      </c>
      <c r="L1" s="853"/>
      <c r="M1" s="853"/>
      <c r="N1" s="853"/>
      <c r="O1" s="853"/>
      <c r="P1" s="853"/>
      <c r="Q1" s="853"/>
      <c r="R1" s="14">
        <v>2</v>
      </c>
      <c r="V1" s="847" t="s">
        <v>250</v>
      </c>
      <c r="W1" s="847"/>
      <c r="X1" s="847"/>
      <c r="Y1" s="847"/>
      <c r="Z1" s="847"/>
      <c r="AA1" s="847"/>
      <c r="AB1" s="847"/>
      <c r="AC1" s="14">
        <v>3</v>
      </c>
    </row>
    <row r="2" spans="1:30" ht="15.75" thickBot="1" x14ac:dyDescent="0.3"/>
    <row r="3" spans="1:3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4"/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7" t="s">
        <v>12</v>
      </c>
      <c r="R3" s="97" t="s">
        <v>11</v>
      </c>
      <c r="S3" s="484"/>
      <c r="V3" s="11" t="s">
        <v>0</v>
      </c>
      <c r="W3" s="12" t="s">
        <v>1</v>
      </c>
      <c r="X3" s="12" t="s">
        <v>13</v>
      </c>
      <c r="Y3" s="12" t="s">
        <v>2</v>
      </c>
      <c r="Z3" s="12" t="s">
        <v>3</v>
      </c>
      <c r="AA3" s="12" t="s">
        <v>4</v>
      </c>
      <c r="AB3" s="67" t="s">
        <v>12</v>
      </c>
      <c r="AC3" s="97" t="s">
        <v>11</v>
      </c>
      <c r="AD3" s="484"/>
    </row>
    <row r="4" spans="1:30" ht="15.75" thickTop="1" x14ac:dyDescent="0.25">
      <c r="B4" s="15"/>
      <c r="C4" s="242"/>
      <c r="D4" s="306"/>
      <c r="E4" s="259"/>
      <c r="F4" s="277"/>
      <c r="G4" s="119"/>
      <c r="H4" s="16"/>
      <c r="I4" s="485"/>
      <c r="L4" s="15"/>
      <c r="M4" s="242"/>
      <c r="N4" s="306"/>
      <c r="O4" s="259"/>
      <c r="P4" s="277"/>
      <c r="Q4" s="119"/>
      <c r="R4" s="16"/>
      <c r="S4" s="485"/>
      <c r="W4" s="15"/>
      <c r="X4" s="242"/>
      <c r="Y4" s="306"/>
      <c r="Z4" s="259"/>
      <c r="AA4" s="277"/>
      <c r="AB4" s="119"/>
      <c r="AC4" s="16"/>
      <c r="AD4" s="485"/>
    </row>
    <row r="5" spans="1:30" x14ac:dyDescent="0.25">
      <c r="A5" s="119" t="s">
        <v>94</v>
      </c>
      <c r="B5" s="562" t="s">
        <v>82</v>
      </c>
      <c r="C5" s="557">
        <v>47.5</v>
      </c>
      <c r="D5" s="306">
        <v>43372</v>
      </c>
      <c r="E5" s="192">
        <v>1003.34</v>
      </c>
      <c r="F5" s="119">
        <v>221</v>
      </c>
      <c r="G5" s="787">
        <f>F52</f>
        <v>1007.88</v>
      </c>
      <c r="H5" s="10">
        <f>E4+E5-G5+E6+E7</f>
        <v>3.6415315207705135E-14</v>
      </c>
      <c r="I5" s="485"/>
      <c r="K5" s="119" t="s">
        <v>94</v>
      </c>
      <c r="L5" s="562" t="s">
        <v>82</v>
      </c>
      <c r="M5" s="557">
        <v>48</v>
      </c>
      <c r="N5" s="306">
        <v>43426</v>
      </c>
      <c r="O5" s="192">
        <v>1003.34</v>
      </c>
      <c r="P5" s="119">
        <v>221</v>
      </c>
      <c r="Q5" s="18">
        <f>P52</f>
        <v>921.61999999999989</v>
      </c>
      <c r="R5" s="10">
        <f>O4+O5-Q5+O6+O7</f>
        <v>104.42000000000014</v>
      </c>
      <c r="S5" s="485"/>
      <c r="V5" s="119" t="s">
        <v>94</v>
      </c>
      <c r="W5" s="562" t="s">
        <v>82</v>
      </c>
      <c r="X5" s="557">
        <v>48</v>
      </c>
      <c r="Y5" s="306">
        <v>43458</v>
      </c>
      <c r="Z5" s="192">
        <v>1003.34</v>
      </c>
      <c r="AA5" s="119">
        <v>221</v>
      </c>
      <c r="AB5" s="18">
        <f>AA52</f>
        <v>0</v>
      </c>
      <c r="AC5" s="10">
        <f>Z4+Z5-AB5+Z6+Z7</f>
        <v>1003.34</v>
      </c>
      <c r="AD5" s="485"/>
    </row>
    <row r="6" spans="1:30" x14ac:dyDescent="0.25">
      <c r="A6" s="16"/>
      <c r="B6" s="15"/>
      <c r="C6" s="552"/>
      <c r="D6" s="306"/>
      <c r="E6" s="192">
        <v>4.54</v>
      </c>
      <c r="F6" s="119">
        <v>1</v>
      </c>
      <c r="G6" s="16"/>
      <c r="I6" s="486"/>
      <c r="K6" s="16"/>
      <c r="L6" s="15"/>
      <c r="M6" s="552"/>
      <c r="N6" s="306"/>
      <c r="O6" s="192">
        <v>22.7</v>
      </c>
      <c r="P6" s="119">
        <v>5</v>
      </c>
      <c r="Q6" s="16"/>
      <c r="S6" s="486"/>
      <c r="V6" s="16"/>
      <c r="W6" s="15"/>
      <c r="X6" s="552"/>
      <c r="Y6" s="306"/>
      <c r="Z6" s="192"/>
      <c r="AA6" s="119"/>
      <c r="AB6" s="16"/>
      <c r="AD6" s="486"/>
    </row>
    <row r="7" spans="1:30" ht="15.75" thickBot="1" x14ac:dyDescent="0.3">
      <c r="A7" s="16"/>
      <c r="B7" s="15"/>
      <c r="C7" s="552"/>
      <c r="D7" s="306"/>
      <c r="E7" s="192"/>
      <c r="F7" s="119"/>
      <c r="G7" s="16"/>
      <c r="I7" s="486"/>
      <c r="K7" s="16"/>
      <c r="L7" s="15"/>
      <c r="M7" s="552"/>
      <c r="N7" s="306"/>
      <c r="O7" s="192"/>
      <c r="P7" s="119"/>
      <c r="Q7" s="16"/>
      <c r="S7" s="486"/>
      <c r="V7" s="16"/>
      <c r="W7" s="15"/>
      <c r="X7" s="552"/>
      <c r="Y7" s="306"/>
      <c r="Z7" s="192"/>
      <c r="AA7" s="119"/>
      <c r="AB7" s="16"/>
      <c r="AD7" s="486"/>
    </row>
    <row r="8" spans="1:30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7" t="s">
        <v>11</v>
      </c>
      <c r="L8" s="102" t="s">
        <v>7</v>
      </c>
      <c r="M8" s="35" t="s">
        <v>8</v>
      </c>
      <c r="N8" s="38" t="s">
        <v>3</v>
      </c>
      <c r="O8" s="31" t="s">
        <v>2</v>
      </c>
      <c r="P8" s="12" t="s">
        <v>9</v>
      </c>
      <c r="Q8" s="13" t="s">
        <v>16</v>
      </c>
      <c r="R8" s="32"/>
      <c r="S8" s="487" t="s">
        <v>11</v>
      </c>
      <c r="W8" s="102" t="s">
        <v>7</v>
      </c>
      <c r="X8" s="35" t="s">
        <v>8</v>
      </c>
      <c r="Y8" s="38" t="s">
        <v>3</v>
      </c>
      <c r="Z8" s="31" t="s">
        <v>2</v>
      </c>
      <c r="AA8" s="12" t="s">
        <v>9</v>
      </c>
      <c r="AB8" s="13" t="s">
        <v>16</v>
      </c>
      <c r="AC8" s="32"/>
      <c r="AD8" s="487" t="s">
        <v>11</v>
      </c>
    </row>
    <row r="9" spans="1:30" ht="15.75" thickTop="1" x14ac:dyDescent="0.25">
      <c r="A9" s="363"/>
      <c r="B9" s="261">
        <v>4.54</v>
      </c>
      <c r="C9" s="20">
        <v>10</v>
      </c>
      <c r="D9" s="167">
        <f t="shared" ref="D9:D51" si="0">C9*B9</f>
        <v>45.4</v>
      </c>
      <c r="E9" s="529">
        <v>43400</v>
      </c>
      <c r="F9" s="109">
        <f t="shared" ref="F9:F51" si="1">D9</f>
        <v>45.4</v>
      </c>
      <c r="G9" s="110" t="s">
        <v>150</v>
      </c>
      <c r="H9" s="111">
        <v>65</v>
      </c>
      <c r="I9" s="485">
        <f>E5-F9+E6+E4+E7</f>
        <v>962.48</v>
      </c>
      <c r="K9" s="363"/>
      <c r="L9" s="261">
        <v>4.54</v>
      </c>
      <c r="M9" s="20">
        <v>30</v>
      </c>
      <c r="N9" s="167">
        <f t="shared" ref="N9:N51" si="2">M9*L9</f>
        <v>136.19999999999999</v>
      </c>
      <c r="O9" s="529">
        <v>43435</v>
      </c>
      <c r="P9" s="109">
        <f t="shared" ref="P9:P51" si="3">N9</f>
        <v>136.19999999999999</v>
      </c>
      <c r="Q9" s="110" t="s">
        <v>470</v>
      </c>
      <c r="R9" s="111">
        <v>52</v>
      </c>
      <c r="S9" s="485">
        <f>O5-P9+O6+O4+O7</f>
        <v>889.84000000000015</v>
      </c>
      <c r="V9" s="363"/>
      <c r="W9" s="261">
        <v>4.54</v>
      </c>
      <c r="X9" s="20"/>
      <c r="Y9" s="167">
        <f t="shared" ref="Y9:Y51" si="4">X9*W9</f>
        <v>0</v>
      </c>
      <c r="Z9" s="529"/>
      <c r="AA9" s="109">
        <f t="shared" ref="AA9:AA51" si="5">Y9</f>
        <v>0</v>
      </c>
      <c r="AB9" s="110"/>
      <c r="AC9" s="111"/>
      <c r="AD9" s="485">
        <f>Z5-AA9+Z6+Z4+Z7</f>
        <v>1003.34</v>
      </c>
    </row>
    <row r="10" spans="1:30" x14ac:dyDescent="0.25">
      <c r="B10" s="261">
        <v>4.54</v>
      </c>
      <c r="C10" s="20">
        <v>5</v>
      </c>
      <c r="D10" s="678">
        <f t="shared" si="0"/>
        <v>22.7</v>
      </c>
      <c r="E10" s="679">
        <v>43405</v>
      </c>
      <c r="F10" s="635">
        <f t="shared" si="1"/>
        <v>22.7</v>
      </c>
      <c r="G10" s="365" t="s">
        <v>154</v>
      </c>
      <c r="H10" s="214">
        <v>65</v>
      </c>
      <c r="I10" s="485">
        <f>I9-F10</f>
        <v>939.78</v>
      </c>
      <c r="L10" s="261">
        <v>4.54</v>
      </c>
      <c r="M10" s="20">
        <v>20</v>
      </c>
      <c r="N10" s="167">
        <f t="shared" si="2"/>
        <v>90.8</v>
      </c>
      <c r="O10" s="529">
        <v>43441</v>
      </c>
      <c r="P10" s="109">
        <f t="shared" si="3"/>
        <v>90.8</v>
      </c>
      <c r="Q10" s="110" t="s">
        <v>503</v>
      </c>
      <c r="R10" s="111">
        <v>52</v>
      </c>
      <c r="S10" s="485">
        <f>S9-P10</f>
        <v>799.04000000000019</v>
      </c>
      <c r="W10" s="261">
        <v>4.54</v>
      </c>
      <c r="X10" s="20"/>
      <c r="Y10" s="167">
        <f t="shared" si="4"/>
        <v>0</v>
      </c>
      <c r="Z10" s="529"/>
      <c r="AA10" s="109">
        <f t="shared" si="5"/>
        <v>0</v>
      </c>
      <c r="AB10" s="110"/>
      <c r="AC10" s="111"/>
      <c r="AD10" s="485">
        <f>AD9-AA10</f>
        <v>1003.34</v>
      </c>
    </row>
    <row r="11" spans="1:30" x14ac:dyDescent="0.25">
      <c r="A11" s="89" t="s">
        <v>32</v>
      </c>
      <c r="B11" s="261">
        <v>4.54</v>
      </c>
      <c r="C11" s="20">
        <v>20</v>
      </c>
      <c r="D11" s="678">
        <f t="shared" si="0"/>
        <v>90.8</v>
      </c>
      <c r="E11" s="679">
        <v>43405</v>
      </c>
      <c r="F11" s="635">
        <f t="shared" si="1"/>
        <v>90.8</v>
      </c>
      <c r="G11" s="365" t="s">
        <v>155</v>
      </c>
      <c r="H11" s="214">
        <v>65</v>
      </c>
      <c r="I11" s="485">
        <f t="shared" ref="I11:I50" si="6">I10-F11</f>
        <v>848.98</v>
      </c>
      <c r="K11" s="89" t="s">
        <v>32</v>
      </c>
      <c r="L11" s="261">
        <v>4.54</v>
      </c>
      <c r="M11" s="20">
        <v>1</v>
      </c>
      <c r="N11" s="167">
        <f t="shared" si="2"/>
        <v>4.54</v>
      </c>
      <c r="O11" s="529">
        <v>43444</v>
      </c>
      <c r="P11" s="109">
        <f t="shared" si="3"/>
        <v>4.54</v>
      </c>
      <c r="Q11" s="110" t="s">
        <v>479</v>
      </c>
      <c r="R11" s="111">
        <v>52</v>
      </c>
      <c r="S11" s="485">
        <f t="shared" ref="S11:S50" si="7">S10-P11</f>
        <v>794.50000000000023</v>
      </c>
      <c r="V11" s="89" t="s">
        <v>32</v>
      </c>
      <c r="W11" s="261">
        <v>4.54</v>
      </c>
      <c r="X11" s="20"/>
      <c r="Y11" s="167">
        <f t="shared" si="4"/>
        <v>0</v>
      </c>
      <c r="Z11" s="529"/>
      <c r="AA11" s="109">
        <f t="shared" si="5"/>
        <v>0</v>
      </c>
      <c r="AB11" s="110"/>
      <c r="AC11" s="111"/>
      <c r="AD11" s="485">
        <f t="shared" ref="AD11:AD50" si="8">AD10-AA11</f>
        <v>1003.34</v>
      </c>
    </row>
    <row r="12" spans="1:30" x14ac:dyDescent="0.25">
      <c r="A12" s="159"/>
      <c r="B12" s="261">
        <v>4.54</v>
      </c>
      <c r="C12" s="20">
        <v>15</v>
      </c>
      <c r="D12" s="678">
        <f t="shared" si="0"/>
        <v>68.099999999999994</v>
      </c>
      <c r="E12" s="679">
        <v>43407</v>
      </c>
      <c r="F12" s="635">
        <f t="shared" si="1"/>
        <v>68.099999999999994</v>
      </c>
      <c r="G12" s="365" t="s">
        <v>163</v>
      </c>
      <c r="H12" s="214">
        <v>65</v>
      </c>
      <c r="I12" s="485">
        <f t="shared" si="6"/>
        <v>780.88</v>
      </c>
      <c r="K12" s="159"/>
      <c r="L12" s="261">
        <v>4.54</v>
      </c>
      <c r="M12" s="20">
        <v>1</v>
      </c>
      <c r="N12" s="167">
        <f t="shared" si="2"/>
        <v>4.54</v>
      </c>
      <c r="O12" s="529">
        <v>43447</v>
      </c>
      <c r="P12" s="109">
        <f t="shared" si="3"/>
        <v>4.54</v>
      </c>
      <c r="Q12" s="110" t="s">
        <v>533</v>
      </c>
      <c r="R12" s="111">
        <v>52</v>
      </c>
      <c r="S12" s="485">
        <f t="shared" si="7"/>
        <v>789.96000000000026</v>
      </c>
      <c r="V12" s="159"/>
      <c r="W12" s="261">
        <v>4.54</v>
      </c>
      <c r="X12" s="20"/>
      <c r="Y12" s="167">
        <f t="shared" si="4"/>
        <v>0</v>
      </c>
      <c r="Z12" s="529"/>
      <c r="AA12" s="109">
        <f t="shared" si="5"/>
        <v>0</v>
      </c>
      <c r="AB12" s="110"/>
      <c r="AC12" s="111"/>
      <c r="AD12" s="485">
        <f t="shared" si="8"/>
        <v>1003.34</v>
      </c>
    </row>
    <row r="13" spans="1:30" x14ac:dyDescent="0.25">
      <c r="A13" s="16"/>
      <c r="B13" s="261">
        <v>4.54</v>
      </c>
      <c r="C13" s="20">
        <v>20</v>
      </c>
      <c r="D13" s="678">
        <f t="shared" si="0"/>
        <v>90.8</v>
      </c>
      <c r="E13" s="679">
        <v>43409</v>
      </c>
      <c r="F13" s="635">
        <f t="shared" si="1"/>
        <v>90.8</v>
      </c>
      <c r="G13" s="365" t="s">
        <v>164</v>
      </c>
      <c r="H13" s="214">
        <v>65</v>
      </c>
      <c r="I13" s="485">
        <f t="shared" si="6"/>
        <v>690.08</v>
      </c>
      <c r="K13" s="16"/>
      <c r="L13" s="261">
        <v>4.54</v>
      </c>
      <c r="M13" s="20">
        <v>30</v>
      </c>
      <c r="N13" s="167">
        <f t="shared" si="2"/>
        <v>136.19999999999999</v>
      </c>
      <c r="O13" s="529">
        <v>43449</v>
      </c>
      <c r="P13" s="109">
        <f t="shared" si="3"/>
        <v>136.19999999999999</v>
      </c>
      <c r="Q13" s="110" t="s">
        <v>556</v>
      </c>
      <c r="R13" s="111">
        <v>52</v>
      </c>
      <c r="S13" s="485">
        <f t="shared" si="7"/>
        <v>653.76000000000022</v>
      </c>
      <c r="V13" s="16"/>
      <c r="W13" s="261">
        <v>4.54</v>
      </c>
      <c r="X13" s="20"/>
      <c r="Y13" s="167">
        <f t="shared" si="4"/>
        <v>0</v>
      </c>
      <c r="Z13" s="529"/>
      <c r="AA13" s="109">
        <f t="shared" si="5"/>
        <v>0</v>
      </c>
      <c r="AB13" s="110"/>
      <c r="AC13" s="111"/>
      <c r="AD13" s="485">
        <f t="shared" si="8"/>
        <v>1003.34</v>
      </c>
    </row>
    <row r="14" spans="1:30" x14ac:dyDescent="0.25">
      <c r="A14" s="141" t="s">
        <v>33</v>
      </c>
      <c r="B14" s="261">
        <v>4.54</v>
      </c>
      <c r="C14" s="20">
        <v>1</v>
      </c>
      <c r="D14" s="678">
        <f t="shared" si="0"/>
        <v>4.54</v>
      </c>
      <c r="E14" s="679">
        <v>43413</v>
      </c>
      <c r="F14" s="635">
        <f t="shared" si="1"/>
        <v>4.54</v>
      </c>
      <c r="G14" s="365" t="s">
        <v>168</v>
      </c>
      <c r="H14" s="96">
        <v>52</v>
      </c>
      <c r="I14" s="485">
        <f t="shared" si="6"/>
        <v>685.54000000000008</v>
      </c>
      <c r="K14" s="141" t="s">
        <v>33</v>
      </c>
      <c r="L14" s="261">
        <v>4.54</v>
      </c>
      <c r="M14" s="20">
        <v>10</v>
      </c>
      <c r="N14" s="167">
        <f t="shared" si="2"/>
        <v>45.4</v>
      </c>
      <c r="O14" s="529">
        <v>43452</v>
      </c>
      <c r="P14" s="109">
        <f t="shared" si="3"/>
        <v>45.4</v>
      </c>
      <c r="Q14" s="110" t="s">
        <v>572</v>
      </c>
      <c r="R14" s="111">
        <v>52</v>
      </c>
      <c r="S14" s="485">
        <f t="shared" si="7"/>
        <v>608.36000000000024</v>
      </c>
      <c r="V14" s="141" t="s">
        <v>33</v>
      </c>
      <c r="W14" s="261">
        <v>4.54</v>
      </c>
      <c r="X14" s="20"/>
      <c r="Y14" s="167">
        <f t="shared" si="4"/>
        <v>0</v>
      </c>
      <c r="Z14" s="529"/>
      <c r="AA14" s="109">
        <f t="shared" si="5"/>
        <v>0</v>
      </c>
      <c r="AB14" s="110"/>
      <c r="AC14" s="111"/>
      <c r="AD14" s="485">
        <f t="shared" si="8"/>
        <v>1003.34</v>
      </c>
    </row>
    <row r="15" spans="1:30" x14ac:dyDescent="0.25">
      <c r="A15" s="59"/>
      <c r="B15" s="261">
        <v>4.54</v>
      </c>
      <c r="C15" s="20">
        <v>20</v>
      </c>
      <c r="D15" s="678">
        <f t="shared" si="0"/>
        <v>90.8</v>
      </c>
      <c r="E15" s="679">
        <v>43413</v>
      </c>
      <c r="F15" s="635">
        <f t="shared" si="1"/>
        <v>90.8</v>
      </c>
      <c r="G15" s="365" t="s">
        <v>171</v>
      </c>
      <c r="H15" s="96">
        <v>52</v>
      </c>
      <c r="I15" s="485">
        <f t="shared" si="6"/>
        <v>594.74000000000012</v>
      </c>
      <c r="K15" s="59"/>
      <c r="L15" s="261">
        <v>4.54</v>
      </c>
      <c r="M15" s="20">
        <v>20</v>
      </c>
      <c r="N15" s="167">
        <f t="shared" si="2"/>
        <v>90.8</v>
      </c>
      <c r="O15" s="529">
        <v>43452</v>
      </c>
      <c r="P15" s="109">
        <f t="shared" si="3"/>
        <v>90.8</v>
      </c>
      <c r="Q15" s="110" t="s">
        <v>574</v>
      </c>
      <c r="R15" s="111">
        <v>52</v>
      </c>
      <c r="S15" s="485">
        <f t="shared" si="7"/>
        <v>517.56000000000029</v>
      </c>
      <c r="V15" s="59"/>
      <c r="W15" s="261">
        <v>4.54</v>
      </c>
      <c r="X15" s="20"/>
      <c r="Y15" s="167">
        <f t="shared" si="4"/>
        <v>0</v>
      </c>
      <c r="Z15" s="529"/>
      <c r="AA15" s="109">
        <f t="shared" si="5"/>
        <v>0</v>
      </c>
      <c r="AB15" s="110"/>
      <c r="AC15" s="111"/>
      <c r="AD15" s="485">
        <f t="shared" si="8"/>
        <v>1003.34</v>
      </c>
    </row>
    <row r="16" spans="1:30" x14ac:dyDescent="0.25">
      <c r="A16" s="59"/>
      <c r="B16" s="261">
        <v>4.54</v>
      </c>
      <c r="C16" s="20">
        <v>1</v>
      </c>
      <c r="D16" s="678">
        <f t="shared" si="0"/>
        <v>4.54</v>
      </c>
      <c r="E16" s="679">
        <v>43413</v>
      </c>
      <c r="F16" s="635">
        <f t="shared" si="1"/>
        <v>4.54</v>
      </c>
      <c r="G16" s="365" t="s">
        <v>170</v>
      </c>
      <c r="H16" s="96">
        <v>52</v>
      </c>
      <c r="I16" s="485">
        <f t="shared" si="6"/>
        <v>590.20000000000016</v>
      </c>
      <c r="K16" s="59"/>
      <c r="L16" s="261">
        <v>4.54</v>
      </c>
      <c r="M16" s="20">
        <v>1</v>
      </c>
      <c r="N16" s="167">
        <f t="shared" si="2"/>
        <v>4.54</v>
      </c>
      <c r="O16" s="529">
        <v>43452</v>
      </c>
      <c r="P16" s="109">
        <f t="shared" si="3"/>
        <v>4.54</v>
      </c>
      <c r="Q16" s="110" t="s">
        <v>582</v>
      </c>
      <c r="R16" s="111">
        <v>52</v>
      </c>
      <c r="S16" s="485">
        <f t="shared" si="7"/>
        <v>513.02000000000032</v>
      </c>
      <c r="V16" s="59"/>
      <c r="W16" s="261">
        <v>4.54</v>
      </c>
      <c r="X16" s="20"/>
      <c r="Y16" s="167">
        <f t="shared" si="4"/>
        <v>0</v>
      </c>
      <c r="Z16" s="529"/>
      <c r="AA16" s="109">
        <f t="shared" si="5"/>
        <v>0</v>
      </c>
      <c r="AB16" s="110"/>
      <c r="AC16" s="111"/>
      <c r="AD16" s="485">
        <f t="shared" si="8"/>
        <v>1003.34</v>
      </c>
    </row>
    <row r="17" spans="1:30" x14ac:dyDescent="0.25">
      <c r="A17" s="7"/>
      <c r="B17" s="261">
        <v>4.54</v>
      </c>
      <c r="C17" s="20">
        <v>10</v>
      </c>
      <c r="D17" s="678">
        <f t="shared" si="0"/>
        <v>45.4</v>
      </c>
      <c r="E17" s="679">
        <v>43414</v>
      </c>
      <c r="F17" s="635">
        <f t="shared" si="1"/>
        <v>45.4</v>
      </c>
      <c r="G17" s="365" t="s">
        <v>172</v>
      </c>
      <c r="H17" s="214">
        <v>65</v>
      </c>
      <c r="I17" s="485">
        <f t="shared" si="6"/>
        <v>544.80000000000018</v>
      </c>
      <c r="K17" s="7"/>
      <c r="L17" s="261">
        <v>4.54</v>
      </c>
      <c r="M17" s="20">
        <v>2</v>
      </c>
      <c r="N17" s="167">
        <f t="shared" si="2"/>
        <v>9.08</v>
      </c>
      <c r="O17" s="529">
        <v>43454</v>
      </c>
      <c r="P17" s="109">
        <f t="shared" si="3"/>
        <v>9.08</v>
      </c>
      <c r="Q17" s="110" t="s">
        <v>596</v>
      </c>
      <c r="R17" s="111">
        <v>52</v>
      </c>
      <c r="S17" s="485">
        <f t="shared" si="7"/>
        <v>503.94000000000034</v>
      </c>
      <c r="V17" s="7"/>
      <c r="W17" s="261">
        <v>4.54</v>
      </c>
      <c r="X17" s="20"/>
      <c r="Y17" s="167">
        <f t="shared" si="4"/>
        <v>0</v>
      </c>
      <c r="Z17" s="529"/>
      <c r="AA17" s="109">
        <f t="shared" si="5"/>
        <v>0</v>
      </c>
      <c r="AB17" s="110"/>
      <c r="AC17" s="111"/>
      <c r="AD17" s="485">
        <f t="shared" si="8"/>
        <v>1003.34</v>
      </c>
    </row>
    <row r="18" spans="1:30" x14ac:dyDescent="0.25">
      <c r="A18" s="7"/>
      <c r="B18" s="261">
        <v>4.54</v>
      </c>
      <c r="C18" s="20">
        <v>20</v>
      </c>
      <c r="D18" s="678">
        <f t="shared" si="0"/>
        <v>90.8</v>
      </c>
      <c r="E18" s="679">
        <v>43416</v>
      </c>
      <c r="F18" s="635">
        <f t="shared" si="1"/>
        <v>90.8</v>
      </c>
      <c r="G18" s="365" t="s">
        <v>174</v>
      </c>
      <c r="H18" s="695">
        <v>52</v>
      </c>
      <c r="I18" s="485">
        <f t="shared" si="6"/>
        <v>454.00000000000017</v>
      </c>
      <c r="K18" s="7"/>
      <c r="L18" s="261">
        <v>4.54</v>
      </c>
      <c r="M18" s="20">
        <v>5</v>
      </c>
      <c r="N18" s="167">
        <f t="shared" si="2"/>
        <v>22.7</v>
      </c>
      <c r="O18" s="529">
        <v>43454</v>
      </c>
      <c r="P18" s="109">
        <f t="shared" si="3"/>
        <v>22.7</v>
      </c>
      <c r="Q18" s="110" t="s">
        <v>597</v>
      </c>
      <c r="R18" s="111">
        <v>52</v>
      </c>
      <c r="S18" s="485">
        <f t="shared" si="7"/>
        <v>481.24000000000035</v>
      </c>
      <c r="V18" s="7"/>
      <c r="W18" s="261">
        <v>4.54</v>
      </c>
      <c r="X18" s="20"/>
      <c r="Y18" s="167">
        <f t="shared" si="4"/>
        <v>0</v>
      </c>
      <c r="Z18" s="529"/>
      <c r="AA18" s="109">
        <f t="shared" si="5"/>
        <v>0</v>
      </c>
      <c r="AB18" s="110"/>
      <c r="AC18" s="111"/>
      <c r="AD18" s="485">
        <f t="shared" si="8"/>
        <v>1003.34</v>
      </c>
    </row>
    <row r="19" spans="1:30" x14ac:dyDescent="0.25">
      <c r="A19" s="7"/>
      <c r="B19" s="261">
        <v>4.54</v>
      </c>
      <c r="C19" s="20">
        <v>10</v>
      </c>
      <c r="D19" s="678">
        <f t="shared" si="0"/>
        <v>45.4</v>
      </c>
      <c r="E19" s="679">
        <v>43418</v>
      </c>
      <c r="F19" s="635">
        <f t="shared" si="1"/>
        <v>45.4</v>
      </c>
      <c r="G19" s="365" t="s">
        <v>175</v>
      </c>
      <c r="H19" s="695">
        <v>52</v>
      </c>
      <c r="I19" s="485">
        <f t="shared" si="6"/>
        <v>408.60000000000019</v>
      </c>
      <c r="K19" s="7"/>
      <c r="L19" s="261">
        <v>4.54</v>
      </c>
      <c r="M19" s="20">
        <v>30</v>
      </c>
      <c r="N19" s="167">
        <f t="shared" si="2"/>
        <v>136.19999999999999</v>
      </c>
      <c r="O19" s="529">
        <v>43460</v>
      </c>
      <c r="P19" s="109">
        <f t="shared" si="3"/>
        <v>136.19999999999999</v>
      </c>
      <c r="Q19" s="110" t="s">
        <v>634</v>
      </c>
      <c r="R19" s="111">
        <v>52</v>
      </c>
      <c r="S19" s="485">
        <f t="shared" si="7"/>
        <v>345.04000000000036</v>
      </c>
      <c r="V19" s="7"/>
      <c r="W19" s="261">
        <v>4.54</v>
      </c>
      <c r="X19" s="20"/>
      <c r="Y19" s="167">
        <f t="shared" si="4"/>
        <v>0</v>
      </c>
      <c r="Z19" s="529"/>
      <c r="AA19" s="109">
        <f t="shared" si="5"/>
        <v>0</v>
      </c>
      <c r="AB19" s="110"/>
      <c r="AC19" s="111"/>
      <c r="AD19" s="485">
        <f t="shared" si="8"/>
        <v>1003.34</v>
      </c>
    </row>
    <row r="20" spans="1:30" x14ac:dyDescent="0.25">
      <c r="A20" s="7"/>
      <c r="B20" s="261">
        <v>4.54</v>
      </c>
      <c r="C20" s="20">
        <v>20</v>
      </c>
      <c r="D20" s="678">
        <f t="shared" si="0"/>
        <v>90.8</v>
      </c>
      <c r="E20" s="679">
        <v>43424</v>
      </c>
      <c r="F20" s="635">
        <f t="shared" si="1"/>
        <v>90.8</v>
      </c>
      <c r="G20" s="365" t="s">
        <v>186</v>
      </c>
      <c r="H20" s="695">
        <v>52</v>
      </c>
      <c r="I20" s="485">
        <f t="shared" si="6"/>
        <v>317.80000000000018</v>
      </c>
      <c r="K20" s="7"/>
      <c r="L20" s="261">
        <v>4.54</v>
      </c>
      <c r="M20" s="20">
        <v>2</v>
      </c>
      <c r="N20" s="167">
        <f t="shared" si="2"/>
        <v>9.08</v>
      </c>
      <c r="O20" s="529">
        <v>43460</v>
      </c>
      <c r="P20" s="109">
        <f t="shared" si="3"/>
        <v>9.08</v>
      </c>
      <c r="Q20" s="110" t="s">
        <v>636</v>
      </c>
      <c r="R20" s="111">
        <v>52</v>
      </c>
      <c r="S20" s="485">
        <f t="shared" si="7"/>
        <v>335.96000000000038</v>
      </c>
      <c r="V20" s="7"/>
      <c r="W20" s="261">
        <v>4.54</v>
      </c>
      <c r="X20" s="20"/>
      <c r="Y20" s="167">
        <f t="shared" si="4"/>
        <v>0</v>
      </c>
      <c r="Z20" s="529"/>
      <c r="AA20" s="109">
        <f t="shared" si="5"/>
        <v>0</v>
      </c>
      <c r="AB20" s="110"/>
      <c r="AC20" s="111"/>
      <c r="AD20" s="485">
        <f t="shared" si="8"/>
        <v>1003.34</v>
      </c>
    </row>
    <row r="21" spans="1:30" x14ac:dyDescent="0.25">
      <c r="A21" s="7"/>
      <c r="B21" s="261">
        <v>4.54</v>
      </c>
      <c r="C21" s="20">
        <v>5</v>
      </c>
      <c r="D21" s="678">
        <f t="shared" si="0"/>
        <v>22.7</v>
      </c>
      <c r="E21" s="679">
        <v>43426</v>
      </c>
      <c r="F21" s="635">
        <f t="shared" si="1"/>
        <v>22.7</v>
      </c>
      <c r="G21" s="365" t="s">
        <v>193</v>
      </c>
      <c r="H21" s="695">
        <v>52</v>
      </c>
      <c r="I21" s="485">
        <f t="shared" si="6"/>
        <v>295.10000000000019</v>
      </c>
      <c r="K21" s="7"/>
      <c r="L21" s="261">
        <v>4.54</v>
      </c>
      <c r="M21" s="20">
        <v>1</v>
      </c>
      <c r="N21" s="167">
        <f t="shared" si="2"/>
        <v>4.54</v>
      </c>
      <c r="O21" s="529">
        <v>43463</v>
      </c>
      <c r="P21" s="109">
        <f t="shared" si="3"/>
        <v>4.54</v>
      </c>
      <c r="Q21" s="110" t="s">
        <v>668</v>
      </c>
      <c r="R21" s="111">
        <v>52</v>
      </c>
      <c r="S21" s="485">
        <f t="shared" si="7"/>
        <v>331.42000000000036</v>
      </c>
      <c r="V21" s="7"/>
      <c r="W21" s="261">
        <v>4.54</v>
      </c>
      <c r="X21" s="20"/>
      <c r="Y21" s="167">
        <f t="shared" si="4"/>
        <v>0</v>
      </c>
      <c r="Z21" s="529"/>
      <c r="AA21" s="109">
        <f t="shared" si="5"/>
        <v>0</v>
      </c>
      <c r="AB21" s="110"/>
      <c r="AC21" s="111"/>
      <c r="AD21" s="485">
        <f t="shared" si="8"/>
        <v>1003.34</v>
      </c>
    </row>
    <row r="22" spans="1:30" x14ac:dyDescent="0.25">
      <c r="A22" s="7"/>
      <c r="B22" s="261">
        <v>4.54</v>
      </c>
      <c r="C22" s="20">
        <v>20</v>
      </c>
      <c r="D22" s="678">
        <f t="shared" si="0"/>
        <v>90.8</v>
      </c>
      <c r="E22" s="679">
        <v>43427</v>
      </c>
      <c r="F22" s="635">
        <f t="shared" si="1"/>
        <v>90.8</v>
      </c>
      <c r="G22" s="365" t="s">
        <v>195</v>
      </c>
      <c r="H22" s="695">
        <v>52</v>
      </c>
      <c r="I22" s="485">
        <f t="shared" si="6"/>
        <v>204.30000000000018</v>
      </c>
      <c r="K22" s="7"/>
      <c r="L22" s="261">
        <v>4.54</v>
      </c>
      <c r="M22" s="20">
        <v>30</v>
      </c>
      <c r="N22" s="167">
        <f t="shared" si="2"/>
        <v>136.19999999999999</v>
      </c>
      <c r="O22" s="529">
        <v>43465</v>
      </c>
      <c r="P22" s="109">
        <f t="shared" si="3"/>
        <v>136.19999999999999</v>
      </c>
      <c r="Q22" s="110" t="s">
        <v>678</v>
      </c>
      <c r="R22" s="111">
        <v>52</v>
      </c>
      <c r="S22" s="485">
        <f t="shared" si="7"/>
        <v>195.22000000000037</v>
      </c>
      <c r="V22" s="7"/>
      <c r="W22" s="261">
        <v>4.54</v>
      </c>
      <c r="X22" s="20"/>
      <c r="Y22" s="167">
        <f t="shared" si="4"/>
        <v>0</v>
      </c>
      <c r="Z22" s="529"/>
      <c r="AA22" s="109">
        <f t="shared" si="5"/>
        <v>0</v>
      </c>
      <c r="AB22" s="110"/>
      <c r="AC22" s="111"/>
      <c r="AD22" s="485">
        <f t="shared" si="8"/>
        <v>1003.34</v>
      </c>
    </row>
    <row r="23" spans="1:30" x14ac:dyDescent="0.25">
      <c r="A23" s="7"/>
      <c r="B23" s="261">
        <v>4.54</v>
      </c>
      <c r="C23" s="20">
        <v>40</v>
      </c>
      <c r="D23" s="678">
        <f t="shared" si="0"/>
        <v>181.6</v>
      </c>
      <c r="E23" s="679">
        <v>43430</v>
      </c>
      <c r="F23" s="635">
        <f t="shared" si="1"/>
        <v>181.6</v>
      </c>
      <c r="G23" s="365" t="s">
        <v>198</v>
      </c>
      <c r="H23" s="695">
        <v>52</v>
      </c>
      <c r="I23" s="485">
        <f t="shared" si="6"/>
        <v>22.700000000000188</v>
      </c>
      <c r="K23" s="7"/>
      <c r="L23" s="261">
        <v>4.54</v>
      </c>
      <c r="M23" s="20">
        <v>20</v>
      </c>
      <c r="N23" s="167">
        <f t="shared" si="2"/>
        <v>90.8</v>
      </c>
      <c r="O23" s="529">
        <v>43442</v>
      </c>
      <c r="P23" s="109">
        <f t="shared" si="3"/>
        <v>90.8</v>
      </c>
      <c r="Q23" s="110" t="s">
        <v>522</v>
      </c>
      <c r="R23" s="111">
        <v>52</v>
      </c>
      <c r="S23" s="485">
        <f t="shared" si="7"/>
        <v>104.42000000000037</v>
      </c>
      <c r="V23" s="7"/>
      <c r="W23" s="261">
        <v>4.54</v>
      </c>
      <c r="X23" s="20"/>
      <c r="Y23" s="167">
        <f t="shared" si="4"/>
        <v>0</v>
      </c>
      <c r="Z23" s="529"/>
      <c r="AA23" s="109">
        <f t="shared" si="5"/>
        <v>0</v>
      </c>
      <c r="AB23" s="110"/>
      <c r="AC23" s="111"/>
      <c r="AD23" s="485">
        <f t="shared" si="8"/>
        <v>1003.34</v>
      </c>
    </row>
    <row r="24" spans="1:30" x14ac:dyDescent="0.25">
      <c r="A24" s="7"/>
      <c r="B24" s="261">
        <v>4.54</v>
      </c>
      <c r="C24" s="20"/>
      <c r="D24" s="678">
        <f t="shared" si="0"/>
        <v>0</v>
      </c>
      <c r="E24" s="679"/>
      <c r="F24" s="635">
        <f t="shared" si="1"/>
        <v>0</v>
      </c>
      <c r="G24" s="783"/>
      <c r="H24" s="784"/>
      <c r="I24" s="485">
        <f t="shared" si="6"/>
        <v>22.700000000000188</v>
      </c>
      <c r="K24" s="7"/>
      <c r="L24" s="261">
        <v>4.54</v>
      </c>
      <c r="M24" s="20"/>
      <c r="N24" s="167">
        <f t="shared" si="2"/>
        <v>0</v>
      </c>
      <c r="O24" s="529"/>
      <c r="P24" s="109">
        <f t="shared" si="3"/>
        <v>0</v>
      </c>
      <c r="Q24" s="110"/>
      <c r="R24" s="111"/>
      <c r="S24" s="485">
        <f t="shared" si="7"/>
        <v>104.42000000000037</v>
      </c>
      <c r="V24" s="7"/>
      <c r="W24" s="261">
        <v>4.54</v>
      </c>
      <c r="X24" s="20"/>
      <c r="Y24" s="167">
        <f t="shared" si="4"/>
        <v>0</v>
      </c>
      <c r="Z24" s="529"/>
      <c r="AA24" s="109">
        <f t="shared" si="5"/>
        <v>0</v>
      </c>
      <c r="AB24" s="110"/>
      <c r="AC24" s="111"/>
      <c r="AD24" s="485">
        <f t="shared" si="8"/>
        <v>1003.34</v>
      </c>
    </row>
    <row r="25" spans="1:30" x14ac:dyDescent="0.25">
      <c r="A25" s="7"/>
      <c r="B25" s="261">
        <v>4.54</v>
      </c>
      <c r="C25" s="20"/>
      <c r="D25" s="678">
        <f t="shared" si="0"/>
        <v>0</v>
      </c>
      <c r="E25" s="679"/>
      <c r="F25" s="635">
        <f t="shared" si="1"/>
        <v>0</v>
      </c>
      <c r="G25" s="783"/>
      <c r="H25" s="784"/>
      <c r="I25" s="485">
        <f t="shared" si="6"/>
        <v>22.700000000000188</v>
      </c>
      <c r="K25" s="7"/>
      <c r="L25" s="261">
        <v>4.54</v>
      </c>
      <c r="M25" s="20"/>
      <c r="N25" s="167">
        <f t="shared" si="2"/>
        <v>0</v>
      </c>
      <c r="O25" s="529"/>
      <c r="P25" s="109">
        <f t="shared" si="3"/>
        <v>0</v>
      </c>
      <c r="Q25" s="110"/>
      <c r="R25" s="111"/>
      <c r="S25" s="485">
        <f t="shared" si="7"/>
        <v>104.42000000000037</v>
      </c>
      <c r="V25" s="7"/>
      <c r="W25" s="261">
        <v>4.54</v>
      </c>
      <c r="X25" s="20"/>
      <c r="Y25" s="167">
        <f t="shared" si="4"/>
        <v>0</v>
      </c>
      <c r="Z25" s="529"/>
      <c r="AA25" s="109">
        <f t="shared" si="5"/>
        <v>0</v>
      </c>
      <c r="AB25" s="110"/>
      <c r="AC25" s="111"/>
      <c r="AD25" s="485">
        <f t="shared" si="8"/>
        <v>1003.34</v>
      </c>
    </row>
    <row r="26" spans="1:30" x14ac:dyDescent="0.25">
      <c r="A26" s="7"/>
      <c r="B26" s="261">
        <v>4.54</v>
      </c>
      <c r="C26" s="20">
        <v>5</v>
      </c>
      <c r="D26" s="167">
        <f t="shared" si="0"/>
        <v>22.7</v>
      </c>
      <c r="E26" s="529"/>
      <c r="F26" s="109">
        <f t="shared" si="1"/>
        <v>22.7</v>
      </c>
      <c r="G26" s="785"/>
      <c r="H26" s="786"/>
      <c r="I26" s="485">
        <f t="shared" si="6"/>
        <v>1.8829382497642655E-13</v>
      </c>
      <c r="K26" s="7"/>
      <c r="L26" s="261">
        <v>4.54</v>
      </c>
      <c r="M26" s="20"/>
      <c r="N26" s="167">
        <f t="shared" si="2"/>
        <v>0</v>
      </c>
      <c r="O26" s="529"/>
      <c r="P26" s="109">
        <f t="shared" si="3"/>
        <v>0</v>
      </c>
      <c r="Q26" s="110"/>
      <c r="R26" s="111"/>
      <c r="S26" s="485">
        <f t="shared" si="7"/>
        <v>104.42000000000037</v>
      </c>
      <c r="V26" s="7"/>
      <c r="W26" s="261">
        <v>4.54</v>
      </c>
      <c r="X26" s="20"/>
      <c r="Y26" s="167">
        <f t="shared" si="4"/>
        <v>0</v>
      </c>
      <c r="Z26" s="529"/>
      <c r="AA26" s="109">
        <f t="shared" si="5"/>
        <v>0</v>
      </c>
      <c r="AB26" s="110"/>
      <c r="AC26" s="111"/>
      <c r="AD26" s="485">
        <f t="shared" si="8"/>
        <v>1003.34</v>
      </c>
    </row>
    <row r="27" spans="1:30" x14ac:dyDescent="0.25">
      <c r="A27" s="7"/>
      <c r="B27" s="261">
        <v>4.54</v>
      </c>
      <c r="C27" s="20"/>
      <c r="D27" s="167">
        <f t="shared" si="0"/>
        <v>0</v>
      </c>
      <c r="E27" s="529"/>
      <c r="F27" s="109">
        <f t="shared" si="1"/>
        <v>0</v>
      </c>
      <c r="G27" s="785"/>
      <c r="H27" s="786"/>
      <c r="I27" s="485">
        <f t="shared" si="6"/>
        <v>1.8829382497642655E-13</v>
      </c>
      <c r="K27" s="7"/>
      <c r="L27" s="261">
        <v>4.54</v>
      </c>
      <c r="M27" s="20"/>
      <c r="N27" s="167">
        <f t="shared" si="2"/>
        <v>0</v>
      </c>
      <c r="O27" s="529"/>
      <c r="P27" s="109">
        <f t="shared" si="3"/>
        <v>0</v>
      </c>
      <c r="Q27" s="110"/>
      <c r="R27" s="111"/>
      <c r="S27" s="485">
        <f t="shared" si="7"/>
        <v>104.42000000000037</v>
      </c>
      <c r="V27" s="7"/>
      <c r="W27" s="261">
        <v>4.54</v>
      </c>
      <c r="X27" s="20"/>
      <c r="Y27" s="167">
        <f t="shared" si="4"/>
        <v>0</v>
      </c>
      <c r="Z27" s="529"/>
      <c r="AA27" s="109">
        <f t="shared" si="5"/>
        <v>0</v>
      </c>
      <c r="AB27" s="110"/>
      <c r="AC27" s="111"/>
      <c r="AD27" s="485">
        <f t="shared" si="8"/>
        <v>1003.34</v>
      </c>
    </row>
    <row r="28" spans="1:30" x14ac:dyDescent="0.25">
      <c r="A28" s="7"/>
      <c r="B28" s="261">
        <v>4.54</v>
      </c>
      <c r="C28" s="20"/>
      <c r="D28" s="167">
        <f t="shared" si="0"/>
        <v>0</v>
      </c>
      <c r="E28" s="529"/>
      <c r="F28" s="109">
        <f t="shared" si="1"/>
        <v>0</v>
      </c>
      <c r="G28" s="785"/>
      <c r="H28" s="786"/>
      <c r="I28" s="485">
        <f t="shared" si="6"/>
        <v>1.8829382497642655E-13</v>
      </c>
      <c r="K28" s="7"/>
      <c r="L28" s="261">
        <v>4.54</v>
      </c>
      <c r="M28" s="20"/>
      <c r="N28" s="167">
        <f t="shared" si="2"/>
        <v>0</v>
      </c>
      <c r="O28" s="529"/>
      <c r="P28" s="109">
        <f t="shared" si="3"/>
        <v>0</v>
      </c>
      <c r="Q28" s="110"/>
      <c r="R28" s="111"/>
      <c r="S28" s="485">
        <f t="shared" si="7"/>
        <v>104.42000000000037</v>
      </c>
      <c r="V28" s="7"/>
      <c r="W28" s="261">
        <v>4.54</v>
      </c>
      <c r="X28" s="20"/>
      <c r="Y28" s="167">
        <f t="shared" si="4"/>
        <v>0</v>
      </c>
      <c r="Z28" s="529"/>
      <c r="AA28" s="109">
        <f t="shared" si="5"/>
        <v>0</v>
      </c>
      <c r="AB28" s="110"/>
      <c r="AC28" s="111"/>
      <c r="AD28" s="485">
        <f t="shared" si="8"/>
        <v>1003.34</v>
      </c>
    </row>
    <row r="29" spans="1:30" x14ac:dyDescent="0.25">
      <c r="A29" s="7"/>
      <c r="B29" s="261">
        <v>4.54</v>
      </c>
      <c r="C29" s="20"/>
      <c r="D29" s="167">
        <f t="shared" si="0"/>
        <v>0</v>
      </c>
      <c r="E29" s="529"/>
      <c r="F29" s="109">
        <f t="shared" si="1"/>
        <v>0</v>
      </c>
      <c r="G29" s="785"/>
      <c r="H29" s="786"/>
      <c r="I29" s="485">
        <f t="shared" si="6"/>
        <v>1.8829382497642655E-13</v>
      </c>
      <c r="K29" s="7"/>
      <c r="L29" s="261">
        <v>4.54</v>
      </c>
      <c r="M29" s="20"/>
      <c r="N29" s="167">
        <f t="shared" si="2"/>
        <v>0</v>
      </c>
      <c r="O29" s="529"/>
      <c r="P29" s="109">
        <f t="shared" si="3"/>
        <v>0</v>
      </c>
      <c r="Q29" s="110"/>
      <c r="R29" s="111"/>
      <c r="S29" s="485">
        <f t="shared" si="7"/>
        <v>104.42000000000037</v>
      </c>
      <c r="V29" s="7"/>
      <c r="W29" s="261">
        <v>4.54</v>
      </c>
      <c r="X29" s="20"/>
      <c r="Y29" s="167">
        <f t="shared" si="4"/>
        <v>0</v>
      </c>
      <c r="Z29" s="529"/>
      <c r="AA29" s="109">
        <f t="shared" si="5"/>
        <v>0</v>
      </c>
      <c r="AB29" s="110"/>
      <c r="AC29" s="111"/>
      <c r="AD29" s="485">
        <f t="shared" si="8"/>
        <v>1003.34</v>
      </c>
    </row>
    <row r="30" spans="1:30" x14ac:dyDescent="0.25">
      <c r="A30" s="7"/>
      <c r="B30" s="261">
        <v>4.54</v>
      </c>
      <c r="C30" s="20"/>
      <c r="D30" s="167">
        <f t="shared" si="0"/>
        <v>0</v>
      </c>
      <c r="E30" s="529"/>
      <c r="F30" s="109">
        <f t="shared" si="1"/>
        <v>0</v>
      </c>
      <c r="G30" s="785"/>
      <c r="H30" s="786"/>
      <c r="I30" s="485">
        <f t="shared" si="6"/>
        <v>1.8829382497642655E-13</v>
      </c>
      <c r="K30" s="7"/>
      <c r="L30" s="261">
        <v>4.54</v>
      </c>
      <c r="M30" s="20"/>
      <c r="N30" s="167">
        <f t="shared" si="2"/>
        <v>0</v>
      </c>
      <c r="O30" s="529"/>
      <c r="P30" s="109">
        <f t="shared" si="3"/>
        <v>0</v>
      </c>
      <c r="Q30" s="110"/>
      <c r="R30" s="111"/>
      <c r="S30" s="485">
        <f t="shared" si="7"/>
        <v>104.42000000000037</v>
      </c>
      <c r="V30" s="7"/>
      <c r="W30" s="261">
        <v>4.54</v>
      </c>
      <c r="X30" s="20"/>
      <c r="Y30" s="167">
        <f t="shared" si="4"/>
        <v>0</v>
      </c>
      <c r="Z30" s="529"/>
      <c r="AA30" s="109">
        <f t="shared" si="5"/>
        <v>0</v>
      </c>
      <c r="AB30" s="110"/>
      <c r="AC30" s="111"/>
      <c r="AD30" s="485">
        <f t="shared" si="8"/>
        <v>1003.34</v>
      </c>
    </row>
    <row r="31" spans="1:30" x14ac:dyDescent="0.25">
      <c r="A31" s="7"/>
      <c r="B31" s="261">
        <v>4.54</v>
      </c>
      <c r="C31" s="20"/>
      <c r="D31" s="167">
        <f t="shared" si="0"/>
        <v>0</v>
      </c>
      <c r="E31" s="529"/>
      <c r="F31" s="109">
        <f t="shared" si="1"/>
        <v>0</v>
      </c>
      <c r="G31" s="785"/>
      <c r="H31" s="786"/>
      <c r="I31" s="485">
        <f t="shared" si="6"/>
        <v>1.8829382497642655E-13</v>
      </c>
      <c r="K31" s="7"/>
      <c r="L31" s="261">
        <v>4.54</v>
      </c>
      <c r="M31" s="20"/>
      <c r="N31" s="167">
        <f t="shared" si="2"/>
        <v>0</v>
      </c>
      <c r="O31" s="529"/>
      <c r="P31" s="109">
        <f t="shared" si="3"/>
        <v>0</v>
      </c>
      <c r="Q31" s="110"/>
      <c r="R31" s="111"/>
      <c r="S31" s="485">
        <f t="shared" si="7"/>
        <v>104.42000000000037</v>
      </c>
      <c r="V31" s="7"/>
      <c r="W31" s="261">
        <v>4.54</v>
      </c>
      <c r="X31" s="20"/>
      <c r="Y31" s="167">
        <f t="shared" si="4"/>
        <v>0</v>
      </c>
      <c r="Z31" s="529"/>
      <c r="AA31" s="109">
        <f t="shared" si="5"/>
        <v>0</v>
      </c>
      <c r="AB31" s="110"/>
      <c r="AC31" s="111"/>
      <c r="AD31" s="485">
        <f t="shared" si="8"/>
        <v>1003.34</v>
      </c>
    </row>
    <row r="32" spans="1:30" x14ac:dyDescent="0.25">
      <c r="A32" s="7"/>
      <c r="B32" s="261">
        <v>4.54</v>
      </c>
      <c r="C32" s="20"/>
      <c r="D32" s="167">
        <f t="shared" si="0"/>
        <v>0</v>
      </c>
      <c r="E32" s="529"/>
      <c r="F32" s="109">
        <f t="shared" si="1"/>
        <v>0</v>
      </c>
      <c r="G32" s="110"/>
      <c r="H32" s="111"/>
      <c r="I32" s="485">
        <f t="shared" si="6"/>
        <v>1.8829382497642655E-13</v>
      </c>
      <c r="K32" s="7"/>
      <c r="L32" s="261">
        <v>4.54</v>
      </c>
      <c r="M32" s="20"/>
      <c r="N32" s="167">
        <f t="shared" si="2"/>
        <v>0</v>
      </c>
      <c r="O32" s="529"/>
      <c r="P32" s="109">
        <f t="shared" si="3"/>
        <v>0</v>
      </c>
      <c r="Q32" s="110"/>
      <c r="R32" s="111"/>
      <c r="S32" s="485">
        <f t="shared" si="7"/>
        <v>104.42000000000037</v>
      </c>
      <c r="V32" s="7"/>
      <c r="W32" s="261">
        <v>4.54</v>
      </c>
      <c r="X32" s="20"/>
      <c r="Y32" s="167">
        <f t="shared" si="4"/>
        <v>0</v>
      </c>
      <c r="Z32" s="529"/>
      <c r="AA32" s="109">
        <f t="shared" si="5"/>
        <v>0</v>
      </c>
      <c r="AB32" s="110"/>
      <c r="AC32" s="111"/>
      <c r="AD32" s="485">
        <f t="shared" si="8"/>
        <v>1003.34</v>
      </c>
    </row>
    <row r="33" spans="1:30" x14ac:dyDescent="0.25">
      <c r="A33" s="7"/>
      <c r="B33" s="261">
        <v>4.54</v>
      </c>
      <c r="C33" s="20"/>
      <c r="D33" s="167">
        <f t="shared" si="0"/>
        <v>0</v>
      </c>
      <c r="E33" s="530"/>
      <c r="F33" s="109">
        <f t="shared" si="1"/>
        <v>0</v>
      </c>
      <c r="G33" s="110"/>
      <c r="H33" s="198"/>
      <c r="I33" s="485">
        <f t="shared" si="6"/>
        <v>1.8829382497642655E-13</v>
      </c>
      <c r="K33" s="7"/>
      <c r="L33" s="261">
        <v>4.54</v>
      </c>
      <c r="M33" s="20"/>
      <c r="N33" s="167">
        <f t="shared" si="2"/>
        <v>0</v>
      </c>
      <c r="O33" s="530"/>
      <c r="P33" s="109">
        <f t="shared" si="3"/>
        <v>0</v>
      </c>
      <c r="Q33" s="110"/>
      <c r="R33" s="198"/>
      <c r="S33" s="485">
        <f t="shared" si="7"/>
        <v>104.42000000000037</v>
      </c>
      <c r="V33" s="7"/>
      <c r="W33" s="261">
        <v>4.54</v>
      </c>
      <c r="X33" s="20"/>
      <c r="Y33" s="167">
        <f t="shared" si="4"/>
        <v>0</v>
      </c>
      <c r="Z33" s="530"/>
      <c r="AA33" s="109">
        <f t="shared" si="5"/>
        <v>0</v>
      </c>
      <c r="AB33" s="110"/>
      <c r="AC33" s="198"/>
      <c r="AD33" s="485">
        <f t="shared" si="8"/>
        <v>1003.34</v>
      </c>
    </row>
    <row r="34" spans="1:30" x14ac:dyDescent="0.25">
      <c r="A34" s="7"/>
      <c r="B34" s="261">
        <v>4.54</v>
      </c>
      <c r="C34" s="20"/>
      <c r="D34" s="167">
        <f t="shared" si="0"/>
        <v>0</v>
      </c>
      <c r="E34" s="530"/>
      <c r="F34" s="109">
        <f t="shared" si="1"/>
        <v>0</v>
      </c>
      <c r="G34" s="110"/>
      <c r="H34" s="198"/>
      <c r="I34" s="485">
        <f t="shared" si="6"/>
        <v>1.8829382497642655E-13</v>
      </c>
      <c r="K34" s="7"/>
      <c r="L34" s="261">
        <v>4.54</v>
      </c>
      <c r="M34" s="20"/>
      <c r="N34" s="167">
        <f t="shared" si="2"/>
        <v>0</v>
      </c>
      <c r="O34" s="530"/>
      <c r="P34" s="109">
        <f t="shared" si="3"/>
        <v>0</v>
      </c>
      <c r="Q34" s="110"/>
      <c r="R34" s="198"/>
      <c r="S34" s="485">
        <f t="shared" si="7"/>
        <v>104.42000000000037</v>
      </c>
      <c r="V34" s="7"/>
      <c r="W34" s="261">
        <v>4.54</v>
      </c>
      <c r="X34" s="20"/>
      <c r="Y34" s="167">
        <f t="shared" si="4"/>
        <v>0</v>
      </c>
      <c r="Z34" s="530"/>
      <c r="AA34" s="109">
        <f t="shared" si="5"/>
        <v>0</v>
      </c>
      <c r="AB34" s="110"/>
      <c r="AC34" s="198"/>
      <c r="AD34" s="485">
        <f t="shared" si="8"/>
        <v>1003.34</v>
      </c>
    </row>
    <row r="35" spans="1:30" x14ac:dyDescent="0.25">
      <c r="A35" s="7"/>
      <c r="B35" s="261">
        <v>4.54</v>
      </c>
      <c r="C35" s="20"/>
      <c r="D35" s="167">
        <f t="shared" si="0"/>
        <v>0</v>
      </c>
      <c r="E35" s="530"/>
      <c r="F35" s="109">
        <f t="shared" si="1"/>
        <v>0</v>
      </c>
      <c r="G35" s="110"/>
      <c r="H35" s="198"/>
      <c r="I35" s="485">
        <f t="shared" si="6"/>
        <v>1.8829382497642655E-13</v>
      </c>
      <c r="K35" s="7"/>
      <c r="L35" s="261">
        <v>4.54</v>
      </c>
      <c r="M35" s="20"/>
      <c r="N35" s="167">
        <f t="shared" si="2"/>
        <v>0</v>
      </c>
      <c r="O35" s="530"/>
      <c r="P35" s="109">
        <f t="shared" si="3"/>
        <v>0</v>
      </c>
      <c r="Q35" s="110"/>
      <c r="R35" s="198"/>
      <c r="S35" s="485">
        <f t="shared" si="7"/>
        <v>104.42000000000037</v>
      </c>
      <c r="V35" s="7"/>
      <c r="W35" s="261">
        <v>4.54</v>
      </c>
      <c r="X35" s="20"/>
      <c r="Y35" s="167">
        <f t="shared" si="4"/>
        <v>0</v>
      </c>
      <c r="Z35" s="530"/>
      <c r="AA35" s="109">
        <f t="shared" si="5"/>
        <v>0</v>
      </c>
      <c r="AB35" s="110"/>
      <c r="AC35" s="198"/>
      <c r="AD35" s="485">
        <f t="shared" si="8"/>
        <v>1003.34</v>
      </c>
    </row>
    <row r="36" spans="1:30" x14ac:dyDescent="0.25">
      <c r="A36" s="129"/>
      <c r="B36" s="261">
        <v>4.54</v>
      </c>
      <c r="C36" s="20"/>
      <c r="D36" s="167">
        <f t="shared" si="0"/>
        <v>0</v>
      </c>
      <c r="E36" s="530"/>
      <c r="F36" s="109">
        <f t="shared" si="1"/>
        <v>0</v>
      </c>
      <c r="G36" s="110"/>
      <c r="H36" s="198"/>
      <c r="I36" s="485">
        <f t="shared" si="6"/>
        <v>1.8829382497642655E-13</v>
      </c>
      <c r="K36" s="129"/>
      <c r="L36" s="261">
        <v>4.54</v>
      </c>
      <c r="M36" s="20"/>
      <c r="N36" s="167">
        <f t="shared" si="2"/>
        <v>0</v>
      </c>
      <c r="O36" s="530"/>
      <c r="P36" s="109">
        <f t="shared" si="3"/>
        <v>0</v>
      </c>
      <c r="Q36" s="110"/>
      <c r="R36" s="198"/>
      <c r="S36" s="485">
        <f t="shared" si="7"/>
        <v>104.42000000000037</v>
      </c>
      <c r="V36" s="129"/>
      <c r="W36" s="261">
        <v>4.54</v>
      </c>
      <c r="X36" s="20"/>
      <c r="Y36" s="167">
        <f t="shared" si="4"/>
        <v>0</v>
      </c>
      <c r="Z36" s="530"/>
      <c r="AA36" s="109">
        <f t="shared" si="5"/>
        <v>0</v>
      </c>
      <c r="AB36" s="110"/>
      <c r="AC36" s="198"/>
      <c r="AD36" s="485">
        <f t="shared" si="8"/>
        <v>1003.34</v>
      </c>
    </row>
    <row r="37" spans="1:30" x14ac:dyDescent="0.25">
      <c r="A37" s="7"/>
      <c r="B37" s="261">
        <v>4.54</v>
      </c>
      <c r="C37" s="20"/>
      <c r="D37" s="167">
        <f t="shared" si="0"/>
        <v>0</v>
      </c>
      <c r="E37" s="530"/>
      <c r="F37" s="109">
        <f t="shared" si="1"/>
        <v>0</v>
      </c>
      <c r="G37" s="110"/>
      <c r="H37" s="198"/>
      <c r="I37" s="485">
        <f t="shared" si="6"/>
        <v>1.8829382497642655E-13</v>
      </c>
      <c r="K37" s="7"/>
      <c r="L37" s="261">
        <v>4.54</v>
      </c>
      <c r="M37" s="20"/>
      <c r="N37" s="167">
        <f t="shared" si="2"/>
        <v>0</v>
      </c>
      <c r="O37" s="530"/>
      <c r="P37" s="109">
        <f t="shared" si="3"/>
        <v>0</v>
      </c>
      <c r="Q37" s="110"/>
      <c r="R37" s="198"/>
      <c r="S37" s="485">
        <f t="shared" si="7"/>
        <v>104.42000000000037</v>
      </c>
      <c r="V37" s="7"/>
      <c r="W37" s="261">
        <v>4.54</v>
      </c>
      <c r="X37" s="20"/>
      <c r="Y37" s="167">
        <f t="shared" si="4"/>
        <v>0</v>
      </c>
      <c r="Z37" s="530"/>
      <c r="AA37" s="109">
        <f t="shared" si="5"/>
        <v>0</v>
      </c>
      <c r="AB37" s="110"/>
      <c r="AC37" s="198"/>
      <c r="AD37" s="485">
        <f t="shared" si="8"/>
        <v>1003.34</v>
      </c>
    </row>
    <row r="38" spans="1:30" x14ac:dyDescent="0.25">
      <c r="A38" s="7"/>
      <c r="B38" s="261">
        <v>4.54</v>
      </c>
      <c r="C38" s="20"/>
      <c r="D38" s="109">
        <f t="shared" si="0"/>
        <v>0</v>
      </c>
      <c r="E38" s="529"/>
      <c r="F38" s="109">
        <f t="shared" si="1"/>
        <v>0</v>
      </c>
      <c r="G38" s="110"/>
      <c r="H38" s="198"/>
      <c r="I38" s="485">
        <f t="shared" si="6"/>
        <v>1.8829382497642655E-13</v>
      </c>
      <c r="K38" s="7"/>
      <c r="L38" s="261">
        <v>4.54</v>
      </c>
      <c r="M38" s="20"/>
      <c r="N38" s="109">
        <f t="shared" si="2"/>
        <v>0</v>
      </c>
      <c r="O38" s="529"/>
      <c r="P38" s="109">
        <f t="shared" si="3"/>
        <v>0</v>
      </c>
      <c r="Q38" s="110"/>
      <c r="R38" s="198"/>
      <c r="S38" s="485">
        <f t="shared" si="7"/>
        <v>104.42000000000037</v>
      </c>
      <c r="V38" s="7"/>
      <c r="W38" s="261">
        <v>4.54</v>
      </c>
      <c r="X38" s="20"/>
      <c r="Y38" s="109">
        <f t="shared" si="4"/>
        <v>0</v>
      </c>
      <c r="Z38" s="529"/>
      <c r="AA38" s="109">
        <f t="shared" si="5"/>
        <v>0</v>
      </c>
      <c r="AB38" s="110"/>
      <c r="AC38" s="198"/>
      <c r="AD38" s="485">
        <f t="shared" si="8"/>
        <v>1003.34</v>
      </c>
    </row>
    <row r="39" spans="1:30" x14ac:dyDescent="0.25">
      <c r="A39" s="7"/>
      <c r="B39" s="261">
        <v>4.54</v>
      </c>
      <c r="C39" s="20"/>
      <c r="D39" s="109">
        <f t="shared" si="0"/>
        <v>0</v>
      </c>
      <c r="E39" s="529"/>
      <c r="F39" s="109">
        <f t="shared" si="1"/>
        <v>0</v>
      </c>
      <c r="G39" s="110"/>
      <c r="H39" s="198"/>
      <c r="I39" s="485">
        <f t="shared" si="6"/>
        <v>1.8829382497642655E-13</v>
      </c>
      <c r="K39" s="7"/>
      <c r="L39" s="261">
        <v>4.54</v>
      </c>
      <c r="M39" s="20"/>
      <c r="N39" s="109">
        <f t="shared" si="2"/>
        <v>0</v>
      </c>
      <c r="O39" s="529"/>
      <c r="P39" s="109">
        <f t="shared" si="3"/>
        <v>0</v>
      </c>
      <c r="Q39" s="110"/>
      <c r="R39" s="198"/>
      <c r="S39" s="485">
        <f t="shared" si="7"/>
        <v>104.42000000000037</v>
      </c>
      <c r="V39" s="7"/>
      <c r="W39" s="261">
        <v>4.54</v>
      </c>
      <c r="X39" s="20"/>
      <c r="Y39" s="109">
        <f t="shared" si="4"/>
        <v>0</v>
      </c>
      <c r="Z39" s="529"/>
      <c r="AA39" s="109">
        <f t="shared" si="5"/>
        <v>0</v>
      </c>
      <c r="AB39" s="110"/>
      <c r="AC39" s="198"/>
      <c r="AD39" s="485">
        <f t="shared" si="8"/>
        <v>1003.34</v>
      </c>
    </row>
    <row r="40" spans="1:30" x14ac:dyDescent="0.25">
      <c r="A40" s="7"/>
      <c r="B40" s="261">
        <v>4.54</v>
      </c>
      <c r="C40" s="20"/>
      <c r="D40" s="109">
        <f t="shared" si="0"/>
        <v>0</v>
      </c>
      <c r="E40" s="529"/>
      <c r="F40" s="109">
        <f t="shared" si="1"/>
        <v>0</v>
      </c>
      <c r="G40" s="110"/>
      <c r="H40" s="198"/>
      <c r="I40" s="485">
        <f t="shared" si="6"/>
        <v>1.8829382497642655E-13</v>
      </c>
      <c r="K40" s="7"/>
      <c r="L40" s="261">
        <v>4.54</v>
      </c>
      <c r="M40" s="20"/>
      <c r="N40" s="109">
        <f t="shared" si="2"/>
        <v>0</v>
      </c>
      <c r="O40" s="529"/>
      <c r="P40" s="109">
        <f t="shared" si="3"/>
        <v>0</v>
      </c>
      <c r="Q40" s="110"/>
      <c r="R40" s="198"/>
      <c r="S40" s="485">
        <f t="shared" si="7"/>
        <v>104.42000000000037</v>
      </c>
      <c r="V40" s="7"/>
      <c r="W40" s="261">
        <v>4.54</v>
      </c>
      <c r="X40" s="20"/>
      <c r="Y40" s="109">
        <f t="shared" si="4"/>
        <v>0</v>
      </c>
      <c r="Z40" s="529"/>
      <c r="AA40" s="109">
        <f t="shared" si="5"/>
        <v>0</v>
      </c>
      <c r="AB40" s="110"/>
      <c r="AC40" s="198"/>
      <c r="AD40" s="485">
        <f t="shared" si="8"/>
        <v>1003.34</v>
      </c>
    </row>
    <row r="41" spans="1:30" x14ac:dyDescent="0.25">
      <c r="A41" s="7"/>
      <c r="B41" s="261">
        <v>4.54</v>
      </c>
      <c r="C41" s="20"/>
      <c r="D41" s="109">
        <f t="shared" si="0"/>
        <v>0</v>
      </c>
      <c r="E41" s="529"/>
      <c r="F41" s="109">
        <f t="shared" si="1"/>
        <v>0</v>
      </c>
      <c r="G41" s="110"/>
      <c r="H41" s="198"/>
      <c r="I41" s="485">
        <f t="shared" si="6"/>
        <v>1.8829382497642655E-13</v>
      </c>
      <c r="K41" s="7"/>
      <c r="L41" s="261">
        <v>4.54</v>
      </c>
      <c r="M41" s="20"/>
      <c r="N41" s="109">
        <f t="shared" si="2"/>
        <v>0</v>
      </c>
      <c r="O41" s="529"/>
      <c r="P41" s="109">
        <f t="shared" si="3"/>
        <v>0</v>
      </c>
      <c r="Q41" s="110"/>
      <c r="R41" s="198"/>
      <c r="S41" s="485">
        <f t="shared" si="7"/>
        <v>104.42000000000037</v>
      </c>
      <c r="V41" s="7"/>
      <c r="W41" s="261">
        <v>4.54</v>
      </c>
      <c r="X41" s="20"/>
      <c r="Y41" s="109">
        <f t="shared" si="4"/>
        <v>0</v>
      </c>
      <c r="Z41" s="529"/>
      <c r="AA41" s="109">
        <f t="shared" si="5"/>
        <v>0</v>
      </c>
      <c r="AB41" s="110"/>
      <c r="AC41" s="198"/>
      <c r="AD41" s="485">
        <f t="shared" si="8"/>
        <v>1003.34</v>
      </c>
    </row>
    <row r="42" spans="1:30" x14ac:dyDescent="0.25">
      <c r="A42" s="7"/>
      <c r="B42" s="261">
        <v>4.54</v>
      </c>
      <c r="C42" s="20"/>
      <c r="D42" s="109">
        <f t="shared" si="0"/>
        <v>0</v>
      </c>
      <c r="E42" s="529"/>
      <c r="F42" s="109">
        <f t="shared" si="1"/>
        <v>0</v>
      </c>
      <c r="G42" s="110"/>
      <c r="H42" s="198"/>
      <c r="I42" s="485">
        <f t="shared" si="6"/>
        <v>1.8829382497642655E-13</v>
      </c>
      <c r="K42" s="7"/>
      <c r="L42" s="261">
        <v>4.54</v>
      </c>
      <c r="M42" s="20"/>
      <c r="N42" s="109">
        <f t="shared" si="2"/>
        <v>0</v>
      </c>
      <c r="O42" s="529"/>
      <c r="P42" s="109">
        <f t="shared" si="3"/>
        <v>0</v>
      </c>
      <c r="Q42" s="110"/>
      <c r="R42" s="198"/>
      <c r="S42" s="485">
        <f t="shared" si="7"/>
        <v>104.42000000000037</v>
      </c>
      <c r="V42" s="7"/>
      <c r="W42" s="261">
        <v>4.54</v>
      </c>
      <c r="X42" s="20"/>
      <c r="Y42" s="109">
        <f t="shared" si="4"/>
        <v>0</v>
      </c>
      <c r="Z42" s="529"/>
      <c r="AA42" s="109">
        <f t="shared" si="5"/>
        <v>0</v>
      </c>
      <c r="AB42" s="110"/>
      <c r="AC42" s="198"/>
      <c r="AD42" s="485">
        <f t="shared" si="8"/>
        <v>1003.34</v>
      </c>
    </row>
    <row r="43" spans="1:30" x14ac:dyDescent="0.25">
      <c r="A43" s="7"/>
      <c r="B43" s="261">
        <v>4.54</v>
      </c>
      <c r="C43" s="20"/>
      <c r="D43" s="109">
        <f t="shared" si="0"/>
        <v>0</v>
      </c>
      <c r="E43" s="529"/>
      <c r="F43" s="109">
        <f t="shared" si="1"/>
        <v>0</v>
      </c>
      <c r="G43" s="110"/>
      <c r="H43" s="198"/>
      <c r="I43" s="485">
        <f t="shared" si="6"/>
        <v>1.8829382497642655E-13</v>
      </c>
      <c r="K43" s="7"/>
      <c r="L43" s="261">
        <v>4.54</v>
      </c>
      <c r="M43" s="20"/>
      <c r="N43" s="109">
        <f t="shared" si="2"/>
        <v>0</v>
      </c>
      <c r="O43" s="529"/>
      <c r="P43" s="109">
        <f t="shared" si="3"/>
        <v>0</v>
      </c>
      <c r="Q43" s="110"/>
      <c r="R43" s="198"/>
      <c r="S43" s="485">
        <f t="shared" si="7"/>
        <v>104.42000000000037</v>
      </c>
      <c r="V43" s="7"/>
      <c r="W43" s="261">
        <v>4.54</v>
      </c>
      <c r="X43" s="20"/>
      <c r="Y43" s="109">
        <f t="shared" si="4"/>
        <v>0</v>
      </c>
      <c r="Z43" s="529"/>
      <c r="AA43" s="109">
        <f t="shared" si="5"/>
        <v>0</v>
      </c>
      <c r="AB43" s="110"/>
      <c r="AC43" s="198"/>
      <c r="AD43" s="485">
        <f t="shared" si="8"/>
        <v>1003.34</v>
      </c>
    </row>
    <row r="44" spans="1:30" x14ac:dyDescent="0.25">
      <c r="A44" s="7"/>
      <c r="B44" s="261">
        <v>4.54</v>
      </c>
      <c r="C44" s="20"/>
      <c r="D44" s="109">
        <f t="shared" si="0"/>
        <v>0</v>
      </c>
      <c r="E44" s="529"/>
      <c r="F44" s="109">
        <f t="shared" si="1"/>
        <v>0</v>
      </c>
      <c r="G44" s="110"/>
      <c r="H44" s="198"/>
      <c r="I44" s="485">
        <f t="shared" si="6"/>
        <v>1.8829382497642655E-13</v>
      </c>
      <c r="K44" s="7"/>
      <c r="L44" s="261">
        <v>4.54</v>
      </c>
      <c r="M44" s="20"/>
      <c r="N44" s="109">
        <f t="shared" si="2"/>
        <v>0</v>
      </c>
      <c r="O44" s="529"/>
      <c r="P44" s="109">
        <f t="shared" si="3"/>
        <v>0</v>
      </c>
      <c r="Q44" s="110"/>
      <c r="R44" s="198"/>
      <c r="S44" s="485">
        <f t="shared" si="7"/>
        <v>104.42000000000037</v>
      </c>
      <c r="V44" s="7"/>
      <c r="W44" s="261">
        <v>4.54</v>
      </c>
      <c r="X44" s="20"/>
      <c r="Y44" s="109">
        <f t="shared" si="4"/>
        <v>0</v>
      </c>
      <c r="Z44" s="529"/>
      <c r="AA44" s="109">
        <f t="shared" si="5"/>
        <v>0</v>
      </c>
      <c r="AB44" s="110"/>
      <c r="AC44" s="198"/>
      <c r="AD44" s="485">
        <f t="shared" si="8"/>
        <v>1003.34</v>
      </c>
    </row>
    <row r="45" spans="1:30" x14ac:dyDescent="0.25">
      <c r="A45" s="7"/>
      <c r="B45" s="261">
        <v>4.54</v>
      </c>
      <c r="C45" s="20"/>
      <c r="D45" s="109">
        <f t="shared" si="0"/>
        <v>0</v>
      </c>
      <c r="E45" s="529"/>
      <c r="F45" s="109">
        <f t="shared" si="1"/>
        <v>0</v>
      </c>
      <c r="G45" s="110"/>
      <c r="H45" s="198"/>
      <c r="I45" s="485">
        <f t="shared" si="6"/>
        <v>1.8829382497642655E-13</v>
      </c>
      <c r="K45" s="7"/>
      <c r="L45" s="261">
        <v>4.54</v>
      </c>
      <c r="M45" s="20"/>
      <c r="N45" s="109">
        <f t="shared" si="2"/>
        <v>0</v>
      </c>
      <c r="O45" s="529"/>
      <c r="P45" s="109">
        <f t="shared" si="3"/>
        <v>0</v>
      </c>
      <c r="Q45" s="110"/>
      <c r="R45" s="198"/>
      <c r="S45" s="485">
        <f t="shared" si="7"/>
        <v>104.42000000000037</v>
      </c>
      <c r="V45" s="7"/>
      <c r="W45" s="261">
        <v>4.54</v>
      </c>
      <c r="X45" s="20"/>
      <c r="Y45" s="109">
        <f t="shared" si="4"/>
        <v>0</v>
      </c>
      <c r="Z45" s="529"/>
      <c r="AA45" s="109">
        <f t="shared" si="5"/>
        <v>0</v>
      </c>
      <c r="AB45" s="110"/>
      <c r="AC45" s="198"/>
      <c r="AD45" s="485">
        <f t="shared" si="8"/>
        <v>1003.34</v>
      </c>
    </row>
    <row r="46" spans="1:30" x14ac:dyDescent="0.25">
      <c r="A46" s="7"/>
      <c r="B46" s="261">
        <v>4.54</v>
      </c>
      <c r="C46" s="20"/>
      <c r="D46" s="109">
        <f t="shared" si="0"/>
        <v>0</v>
      </c>
      <c r="E46" s="529"/>
      <c r="F46" s="109">
        <f t="shared" si="1"/>
        <v>0</v>
      </c>
      <c r="G46" s="110"/>
      <c r="H46" s="198"/>
      <c r="I46" s="485">
        <f t="shared" si="6"/>
        <v>1.8829382497642655E-13</v>
      </c>
      <c r="K46" s="7"/>
      <c r="L46" s="261">
        <v>4.54</v>
      </c>
      <c r="M46" s="20"/>
      <c r="N46" s="109">
        <f t="shared" si="2"/>
        <v>0</v>
      </c>
      <c r="O46" s="529"/>
      <c r="P46" s="109">
        <f t="shared" si="3"/>
        <v>0</v>
      </c>
      <c r="Q46" s="110"/>
      <c r="R46" s="198"/>
      <c r="S46" s="485">
        <f t="shared" si="7"/>
        <v>104.42000000000037</v>
      </c>
      <c r="V46" s="7"/>
      <c r="W46" s="261">
        <v>4.54</v>
      </c>
      <c r="X46" s="20"/>
      <c r="Y46" s="109">
        <f t="shared" si="4"/>
        <v>0</v>
      </c>
      <c r="Z46" s="529"/>
      <c r="AA46" s="109">
        <f t="shared" si="5"/>
        <v>0</v>
      </c>
      <c r="AB46" s="110"/>
      <c r="AC46" s="198"/>
      <c r="AD46" s="485">
        <f t="shared" si="8"/>
        <v>1003.34</v>
      </c>
    </row>
    <row r="47" spans="1:30" x14ac:dyDescent="0.25">
      <c r="A47" s="7"/>
      <c r="B47" s="261">
        <v>4.54</v>
      </c>
      <c r="C47" s="20"/>
      <c r="D47" s="109">
        <f t="shared" si="0"/>
        <v>0</v>
      </c>
      <c r="E47" s="529"/>
      <c r="F47" s="109">
        <f t="shared" si="1"/>
        <v>0</v>
      </c>
      <c r="G47" s="110"/>
      <c r="H47" s="198"/>
      <c r="I47" s="485">
        <f t="shared" si="6"/>
        <v>1.8829382497642655E-13</v>
      </c>
      <c r="K47" s="7"/>
      <c r="L47" s="261">
        <v>4.54</v>
      </c>
      <c r="M47" s="20"/>
      <c r="N47" s="109">
        <f t="shared" si="2"/>
        <v>0</v>
      </c>
      <c r="O47" s="529"/>
      <c r="P47" s="109">
        <f t="shared" si="3"/>
        <v>0</v>
      </c>
      <c r="Q47" s="110"/>
      <c r="R47" s="198"/>
      <c r="S47" s="485">
        <f t="shared" si="7"/>
        <v>104.42000000000037</v>
      </c>
      <c r="V47" s="7"/>
      <c r="W47" s="261">
        <v>4.54</v>
      </c>
      <c r="X47" s="20"/>
      <c r="Y47" s="109">
        <f t="shared" si="4"/>
        <v>0</v>
      </c>
      <c r="Z47" s="529"/>
      <c r="AA47" s="109">
        <f t="shared" si="5"/>
        <v>0</v>
      </c>
      <c r="AB47" s="110"/>
      <c r="AC47" s="198"/>
      <c r="AD47" s="485">
        <f t="shared" si="8"/>
        <v>1003.34</v>
      </c>
    </row>
    <row r="48" spans="1:30" x14ac:dyDescent="0.25">
      <c r="A48" s="7"/>
      <c r="B48" s="261">
        <v>4.54</v>
      </c>
      <c r="C48" s="20"/>
      <c r="D48" s="109">
        <f t="shared" si="0"/>
        <v>0</v>
      </c>
      <c r="E48" s="529"/>
      <c r="F48" s="109">
        <f t="shared" si="1"/>
        <v>0</v>
      </c>
      <c r="G48" s="110"/>
      <c r="H48" s="198"/>
      <c r="I48" s="485">
        <f t="shared" si="6"/>
        <v>1.8829382497642655E-13</v>
      </c>
      <c r="K48" s="7"/>
      <c r="L48" s="261">
        <v>4.54</v>
      </c>
      <c r="M48" s="20"/>
      <c r="N48" s="109">
        <f t="shared" si="2"/>
        <v>0</v>
      </c>
      <c r="O48" s="529"/>
      <c r="P48" s="109">
        <f t="shared" si="3"/>
        <v>0</v>
      </c>
      <c r="Q48" s="110"/>
      <c r="R48" s="198"/>
      <c r="S48" s="485">
        <f t="shared" si="7"/>
        <v>104.42000000000037</v>
      </c>
      <c r="V48" s="7"/>
      <c r="W48" s="261">
        <v>4.54</v>
      </c>
      <c r="X48" s="20"/>
      <c r="Y48" s="109">
        <f t="shared" si="4"/>
        <v>0</v>
      </c>
      <c r="Z48" s="529"/>
      <c r="AA48" s="109">
        <f t="shared" si="5"/>
        <v>0</v>
      </c>
      <c r="AB48" s="110"/>
      <c r="AC48" s="198"/>
      <c r="AD48" s="485">
        <f t="shared" si="8"/>
        <v>1003.34</v>
      </c>
    </row>
    <row r="49" spans="1:30" x14ac:dyDescent="0.25">
      <c r="A49" s="7"/>
      <c r="B49" s="261">
        <v>4.54</v>
      </c>
      <c r="C49" s="20"/>
      <c r="D49" s="109">
        <f t="shared" si="0"/>
        <v>0</v>
      </c>
      <c r="E49" s="529"/>
      <c r="F49" s="109">
        <f t="shared" si="1"/>
        <v>0</v>
      </c>
      <c r="G49" s="110"/>
      <c r="H49" s="198"/>
      <c r="I49" s="485">
        <f t="shared" si="6"/>
        <v>1.8829382497642655E-13</v>
      </c>
      <c r="K49" s="7"/>
      <c r="L49" s="261">
        <v>4.54</v>
      </c>
      <c r="M49" s="20"/>
      <c r="N49" s="109">
        <f t="shared" si="2"/>
        <v>0</v>
      </c>
      <c r="O49" s="529"/>
      <c r="P49" s="109">
        <f t="shared" si="3"/>
        <v>0</v>
      </c>
      <c r="Q49" s="110"/>
      <c r="R49" s="198"/>
      <c r="S49" s="485">
        <f t="shared" si="7"/>
        <v>104.42000000000037</v>
      </c>
      <c r="V49" s="7"/>
      <c r="W49" s="261">
        <v>4.54</v>
      </c>
      <c r="X49" s="20"/>
      <c r="Y49" s="109">
        <f t="shared" si="4"/>
        <v>0</v>
      </c>
      <c r="Z49" s="529"/>
      <c r="AA49" s="109">
        <f t="shared" si="5"/>
        <v>0</v>
      </c>
      <c r="AB49" s="110"/>
      <c r="AC49" s="198"/>
      <c r="AD49" s="485">
        <f t="shared" si="8"/>
        <v>1003.34</v>
      </c>
    </row>
    <row r="50" spans="1:30" x14ac:dyDescent="0.25">
      <c r="A50" s="7"/>
      <c r="B50" s="261">
        <v>4.54</v>
      </c>
      <c r="C50" s="20"/>
      <c r="D50" s="109">
        <f t="shared" si="0"/>
        <v>0</v>
      </c>
      <c r="E50" s="529"/>
      <c r="F50" s="109">
        <f t="shared" si="1"/>
        <v>0</v>
      </c>
      <c r="G50" s="110"/>
      <c r="H50" s="198"/>
      <c r="I50" s="485">
        <f t="shared" si="6"/>
        <v>1.8829382497642655E-13</v>
      </c>
      <c r="K50" s="7"/>
      <c r="L50" s="261">
        <v>4.54</v>
      </c>
      <c r="M50" s="20"/>
      <c r="N50" s="109">
        <f t="shared" si="2"/>
        <v>0</v>
      </c>
      <c r="O50" s="529"/>
      <c r="P50" s="109">
        <f t="shared" si="3"/>
        <v>0</v>
      </c>
      <c r="Q50" s="110"/>
      <c r="R50" s="198"/>
      <c r="S50" s="485">
        <f t="shared" si="7"/>
        <v>104.42000000000037</v>
      </c>
      <c r="V50" s="7"/>
      <c r="W50" s="261">
        <v>4.54</v>
      </c>
      <c r="X50" s="20"/>
      <c r="Y50" s="109">
        <f t="shared" si="4"/>
        <v>0</v>
      </c>
      <c r="Z50" s="529"/>
      <c r="AA50" s="109">
        <f t="shared" si="5"/>
        <v>0</v>
      </c>
      <c r="AB50" s="110"/>
      <c r="AC50" s="198"/>
      <c r="AD50" s="485">
        <f t="shared" si="8"/>
        <v>1003.34</v>
      </c>
    </row>
    <row r="51" spans="1:30" ht="15.75" thickBot="1" x14ac:dyDescent="0.3">
      <c r="B51" s="261">
        <v>4.54</v>
      </c>
      <c r="C51" s="444"/>
      <c r="D51" s="307">
        <f t="shared" si="0"/>
        <v>0</v>
      </c>
      <c r="E51" s="541"/>
      <c r="F51" s="307">
        <f t="shared" si="1"/>
        <v>0</v>
      </c>
      <c r="G51" s="536"/>
      <c r="H51" s="542"/>
      <c r="L51" s="261">
        <v>4.54</v>
      </c>
      <c r="M51" s="444"/>
      <c r="N51" s="307">
        <f t="shared" si="2"/>
        <v>0</v>
      </c>
      <c r="O51" s="541"/>
      <c r="P51" s="307">
        <f t="shared" si="3"/>
        <v>0</v>
      </c>
      <c r="Q51" s="536"/>
      <c r="R51" s="542"/>
      <c r="W51" s="261">
        <v>4.54</v>
      </c>
      <c r="X51" s="444"/>
      <c r="Y51" s="307">
        <f t="shared" si="4"/>
        <v>0</v>
      </c>
      <c r="Z51" s="541"/>
      <c r="AA51" s="307">
        <f t="shared" si="5"/>
        <v>0</v>
      </c>
      <c r="AB51" s="536"/>
      <c r="AC51" s="542"/>
    </row>
    <row r="52" spans="1:30" ht="15.75" thickTop="1" x14ac:dyDescent="0.25">
      <c r="C52" s="20">
        <f>SUM(C9:C51)</f>
        <v>222</v>
      </c>
      <c r="D52" s="8">
        <f>SUM(D9:D51)</f>
        <v>1007.88</v>
      </c>
      <c r="E52" s="40"/>
      <c r="F52" s="8">
        <f>SUM(F9:F51)</f>
        <v>1007.88</v>
      </c>
      <c r="G52" s="39"/>
      <c r="H52" s="197"/>
      <c r="M52" s="20">
        <f>SUM(M9:M51)</f>
        <v>203</v>
      </c>
      <c r="N52" s="8">
        <f>SUM(N9:N51)</f>
        <v>921.61999999999989</v>
      </c>
      <c r="O52" s="40"/>
      <c r="P52" s="8">
        <f>SUM(P9:P51)</f>
        <v>921.61999999999989</v>
      </c>
      <c r="Q52" s="39"/>
      <c r="R52" s="197"/>
      <c r="X52" s="20">
        <f>SUM(X9:X51)</f>
        <v>0</v>
      </c>
      <c r="Y52" s="8">
        <f>SUM(Y9:Y51)</f>
        <v>0</v>
      </c>
      <c r="Z52" s="40"/>
      <c r="AA52" s="8">
        <f>SUM(AA9:AA51)</f>
        <v>0</v>
      </c>
      <c r="AB52" s="39"/>
      <c r="AC52" s="197"/>
    </row>
    <row r="53" spans="1:30" ht="15.75" thickBot="1" x14ac:dyDescent="0.3">
      <c r="C53" s="20"/>
      <c r="D53" s="8"/>
      <c r="E53" s="40"/>
      <c r="F53" s="8"/>
      <c r="G53" s="39"/>
      <c r="H53" s="23"/>
      <c r="M53" s="20"/>
      <c r="N53" s="8"/>
      <c r="O53" s="40"/>
      <c r="P53" s="8"/>
      <c r="Q53" s="39"/>
      <c r="R53" s="23"/>
      <c r="X53" s="20"/>
      <c r="Y53" s="8"/>
      <c r="Z53" s="40"/>
      <c r="AA53" s="8"/>
      <c r="AB53" s="39"/>
      <c r="AC53" s="23"/>
    </row>
    <row r="54" spans="1:30" x14ac:dyDescent="0.25">
      <c r="C54" s="71" t="s">
        <v>4</v>
      </c>
      <c r="D54" s="600">
        <f>F4+F5-C52+F6+F7</f>
        <v>0</v>
      </c>
      <c r="E54" s="53"/>
      <c r="F54" s="8"/>
      <c r="G54" s="39"/>
      <c r="H54" s="23"/>
      <c r="M54" s="71" t="s">
        <v>4</v>
      </c>
      <c r="N54" s="600">
        <f>P4+P5-M52+P6+P7</f>
        <v>23</v>
      </c>
      <c r="O54" s="53"/>
      <c r="P54" s="8"/>
      <c r="Q54" s="39"/>
      <c r="R54" s="23"/>
      <c r="X54" s="71" t="s">
        <v>4</v>
      </c>
      <c r="Y54" s="600">
        <f>AA4+AA5-X52+AA6+AA7</f>
        <v>221</v>
      </c>
      <c r="Z54" s="53"/>
      <c r="AA54" s="8"/>
      <c r="AB54" s="39"/>
      <c r="AC54" s="23"/>
    </row>
    <row r="55" spans="1:30" x14ac:dyDescent="0.25">
      <c r="C55" s="867" t="s">
        <v>19</v>
      </c>
      <c r="D55" s="868"/>
      <c r="E55" s="51">
        <f>E4+E5-F52+E6+E7</f>
        <v>3.6415315207705135E-14</v>
      </c>
      <c r="F55" s="8"/>
      <c r="G55" s="8"/>
      <c r="H55" s="23"/>
      <c r="M55" s="867" t="s">
        <v>19</v>
      </c>
      <c r="N55" s="868"/>
      <c r="O55" s="51">
        <f>O4+O5-P52+O6+O7</f>
        <v>104.42000000000014</v>
      </c>
      <c r="P55" s="8"/>
      <c r="Q55" s="8"/>
      <c r="R55" s="23"/>
      <c r="X55" s="867" t="s">
        <v>19</v>
      </c>
      <c r="Y55" s="868"/>
      <c r="Z55" s="51">
        <f>Z4+Z5-AA52+Z6+Z7</f>
        <v>1003.34</v>
      </c>
      <c r="AA55" s="8"/>
      <c r="AB55" s="8"/>
      <c r="AC55" s="23"/>
    </row>
    <row r="56" spans="1:30" ht="15.75" thickBot="1" x14ac:dyDescent="0.3">
      <c r="C56" s="60"/>
      <c r="D56" s="56"/>
      <c r="E56" s="54"/>
      <c r="F56" s="8"/>
      <c r="G56" s="39"/>
      <c r="H56" s="23"/>
      <c r="M56" s="60"/>
      <c r="N56" s="56"/>
      <c r="O56" s="54"/>
      <c r="P56" s="8"/>
      <c r="Q56" s="39"/>
      <c r="R56" s="23"/>
      <c r="X56" s="60"/>
      <c r="Y56" s="56"/>
      <c r="Z56" s="54"/>
      <c r="AA56" s="8"/>
      <c r="AB56" s="39"/>
      <c r="AC56" s="23"/>
    </row>
    <row r="57" spans="1:30" x14ac:dyDescent="0.25">
      <c r="C57" s="20"/>
      <c r="D57" s="8"/>
      <c r="E57" s="40"/>
      <c r="F57" s="8"/>
      <c r="G57" s="39"/>
      <c r="H57" s="23"/>
      <c r="M57" s="20"/>
      <c r="N57" s="8"/>
      <c r="O57" s="40"/>
      <c r="P57" s="8"/>
      <c r="Q57" s="39"/>
      <c r="R57" s="23"/>
      <c r="X57" s="20"/>
      <c r="Y57" s="8"/>
      <c r="Z57" s="40"/>
      <c r="AA57" s="8"/>
      <c r="AB57" s="39"/>
      <c r="AC57" s="23"/>
    </row>
  </sheetData>
  <mergeCells count="6">
    <mergeCell ref="A1:G1"/>
    <mergeCell ref="C55:D55"/>
    <mergeCell ref="K1:Q1"/>
    <mergeCell ref="M55:N55"/>
    <mergeCell ref="V1:AB1"/>
    <mergeCell ref="X55:Y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6"/>
  <sheetViews>
    <sheetView topLeftCell="B1" workbookViewId="0">
      <pane ySplit="8" topLeftCell="A9" activePane="bottomLeft" state="frozen"/>
      <selection pane="bottomLeft"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</cols>
  <sheetData>
    <row r="1" spans="1:9" ht="40.5" x14ac:dyDescent="0.55000000000000004">
      <c r="A1" s="853" t="s">
        <v>218</v>
      </c>
      <c r="B1" s="853"/>
      <c r="C1" s="853"/>
      <c r="D1" s="853"/>
      <c r="E1" s="853"/>
      <c r="F1" s="853"/>
      <c r="G1" s="85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4"/>
    </row>
    <row r="4" spans="1:9" ht="15.75" thickTop="1" x14ac:dyDescent="0.25">
      <c r="B4" s="15"/>
      <c r="C4" s="242"/>
      <c r="D4" s="306"/>
      <c r="E4" s="6"/>
      <c r="F4" s="277"/>
      <c r="G4" s="119"/>
      <c r="H4" s="16"/>
      <c r="I4" s="485"/>
    </row>
    <row r="5" spans="1:9" x14ac:dyDescent="0.25">
      <c r="A5" s="119" t="s">
        <v>80</v>
      </c>
      <c r="B5" s="564" t="s">
        <v>83</v>
      </c>
      <c r="C5" s="557">
        <v>49</v>
      </c>
      <c r="D5" s="306">
        <v>43372</v>
      </c>
      <c r="E5" s="192">
        <v>1500</v>
      </c>
      <c r="F5" s="119">
        <v>150</v>
      </c>
      <c r="G5" s="18">
        <f>F61</f>
        <v>810</v>
      </c>
      <c r="H5" s="10">
        <f>E4+E5-G5+E6+E7</f>
        <v>750</v>
      </c>
      <c r="I5" s="485"/>
    </row>
    <row r="6" spans="1:9" x14ac:dyDescent="0.25">
      <c r="A6" s="16"/>
      <c r="B6" s="15"/>
      <c r="C6" s="552"/>
      <c r="D6" s="306"/>
      <c r="E6" s="192">
        <v>60</v>
      </c>
      <c r="F6" s="119">
        <v>6</v>
      </c>
      <c r="G6" s="16"/>
      <c r="I6" s="486"/>
    </row>
    <row r="7" spans="1:9" ht="15.75" thickBot="1" x14ac:dyDescent="0.3">
      <c r="A7" s="16"/>
      <c r="B7" s="15"/>
      <c r="C7" s="664"/>
      <c r="D7" s="665"/>
      <c r="E7" s="666"/>
      <c r="F7" s="538"/>
      <c r="G7" s="16"/>
      <c r="I7" s="486"/>
    </row>
    <row r="8" spans="1: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87" t="s">
        <v>11</v>
      </c>
    </row>
    <row r="9" spans="1:9" ht="15.75" thickTop="1" x14ac:dyDescent="0.25">
      <c r="A9" s="363"/>
      <c r="B9" s="261">
        <v>10</v>
      </c>
      <c r="C9" s="20">
        <v>15</v>
      </c>
      <c r="D9" s="721">
        <f t="shared" ref="D9" si="0">C9*B9</f>
        <v>150</v>
      </c>
      <c r="E9" s="722">
        <v>43428</v>
      </c>
      <c r="F9" s="693">
        <f t="shared" ref="F9" si="1">D9</f>
        <v>150</v>
      </c>
      <c r="G9" s="694" t="s">
        <v>197</v>
      </c>
      <c r="H9" s="723">
        <v>53</v>
      </c>
      <c r="I9" s="485">
        <f>E5-F9+E6+E4+E7</f>
        <v>1410</v>
      </c>
    </row>
    <row r="10" spans="1:9" x14ac:dyDescent="0.25">
      <c r="B10" s="261">
        <v>10</v>
      </c>
      <c r="C10" s="20">
        <v>20</v>
      </c>
      <c r="D10" s="167">
        <f t="shared" ref="D10:D60" si="2">C10*B10</f>
        <v>200</v>
      </c>
      <c r="E10" s="529">
        <v>43440</v>
      </c>
      <c r="F10" s="109">
        <f t="shared" ref="F10:F60" si="3">D10</f>
        <v>200</v>
      </c>
      <c r="G10" s="110" t="s">
        <v>509</v>
      </c>
      <c r="H10" s="198">
        <v>53</v>
      </c>
      <c r="I10" s="485">
        <f>I9-F10</f>
        <v>1210</v>
      </c>
    </row>
    <row r="11" spans="1:9" x14ac:dyDescent="0.25">
      <c r="A11" s="89" t="s">
        <v>32</v>
      </c>
      <c r="B11" s="261">
        <f>B10</f>
        <v>10</v>
      </c>
      <c r="C11" s="20">
        <v>10</v>
      </c>
      <c r="D11" s="167">
        <f t="shared" si="2"/>
        <v>100</v>
      </c>
      <c r="E11" s="529">
        <v>43449</v>
      </c>
      <c r="F11" s="109">
        <f t="shared" si="3"/>
        <v>100</v>
      </c>
      <c r="G11" s="110" t="s">
        <v>556</v>
      </c>
      <c r="H11" s="111">
        <v>53</v>
      </c>
      <c r="I11" s="485">
        <f t="shared" ref="I11:I59" si="4">I10-F11</f>
        <v>1110</v>
      </c>
    </row>
    <row r="12" spans="1:9" x14ac:dyDescent="0.25">
      <c r="A12" s="159"/>
      <c r="B12" s="261">
        <f t="shared" ref="B12:B60" si="5">B11</f>
        <v>10</v>
      </c>
      <c r="C12" s="20">
        <v>1</v>
      </c>
      <c r="D12" s="167">
        <f t="shared" si="2"/>
        <v>10</v>
      </c>
      <c r="E12" s="529">
        <v>43452</v>
      </c>
      <c r="F12" s="109">
        <f t="shared" si="3"/>
        <v>10</v>
      </c>
      <c r="G12" s="110" t="s">
        <v>582</v>
      </c>
      <c r="H12" s="111">
        <v>53</v>
      </c>
      <c r="I12" s="485">
        <f t="shared" si="4"/>
        <v>1100</v>
      </c>
    </row>
    <row r="13" spans="1:9" x14ac:dyDescent="0.25">
      <c r="A13" s="16"/>
      <c r="B13" s="261">
        <f t="shared" si="5"/>
        <v>10</v>
      </c>
      <c r="C13" s="20">
        <v>1</v>
      </c>
      <c r="D13" s="167">
        <f t="shared" si="2"/>
        <v>10</v>
      </c>
      <c r="E13" s="530">
        <v>43460</v>
      </c>
      <c r="F13" s="109">
        <f t="shared" si="3"/>
        <v>10</v>
      </c>
      <c r="G13" s="110" t="s">
        <v>636</v>
      </c>
      <c r="H13" s="198">
        <v>53</v>
      </c>
      <c r="I13" s="485">
        <f t="shared" si="4"/>
        <v>1090</v>
      </c>
    </row>
    <row r="14" spans="1:9" x14ac:dyDescent="0.25">
      <c r="A14" s="141" t="s">
        <v>33</v>
      </c>
      <c r="B14" s="261">
        <f t="shared" si="5"/>
        <v>10</v>
      </c>
      <c r="C14" s="20">
        <v>3</v>
      </c>
      <c r="D14" s="167">
        <f t="shared" si="2"/>
        <v>30</v>
      </c>
      <c r="E14" s="530">
        <v>43463</v>
      </c>
      <c r="F14" s="109">
        <f t="shared" si="3"/>
        <v>30</v>
      </c>
      <c r="G14" s="110" t="s">
        <v>652</v>
      </c>
      <c r="H14" s="198">
        <v>53</v>
      </c>
      <c r="I14" s="485">
        <f t="shared" si="4"/>
        <v>1060</v>
      </c>
    </row>
    <row r="15" spans="1:9" x14ac:dyDescent="0.25">
      <c r="A15" s="59"/>
      <c r="B15" s="261">
        <f t="shared" si="5"/>
        <v>10</v>
      </c>
      <c r="C15" s="20">
        <v>1</v>
      </c>
      <c r="D15" s="167">
        <f t="shared" si="2"/>
        <v>10</v>
      </c>
      <c r="E15" s="529">
        <v>43463</v>
      </c>
      <c r="F15" s="109">
        <f t="shared" si="3"/>
        <v>10</v>
      </c>
      <c r="G15" s="110" t="s">
        <v>668</v>
      </c>
      <c r="H15" s="198">
        <v>53</v>
      </c>
      <c r="I15" s="485">
        <f t="shared" si="4"/>
        <v>1050</v>
      </c>
    </row>
    <row r="16" spans="1:9" x14ac:dyDescent="0.25">
      <c r="A16" s="59"/>
      <c r="B16" s="261">
        <f t="shared" si="5"/>
        <v>10</v>
      </c>
      <c r="C16" s="20">
        <v>10</v>
      </c>
      <c r="D16" s="167">
        <f t="shared" si="2"/>
        <v>100</v>
      </c>
      <c r="E16" s="529">
        <v>43465</v>
      </c>
      <c r="F16" s="109">
        <f t="shared" si="3"/>
        <v>100</v>
      </c>
      <c r="G16" s="110" t="s">
        <v>678</v>
      </c>
      <c r="H16" s="198">
        <v>53</v>
      </c>
      <c r="I16" s="485">
        <f t="shared" si="4"/>
        <v>950</v>
      </c>
    </row>
    <row r="17" spans="1:9" x14ac:dyDescent="0.25">
      <c r="A17" s="7"/>
      <c r="B17" s="261">
        <f t="shared" si="5"/>
        <v>10</v>
      </c>
      <c r="C17" s="20">
        <v>20</v>
      </c>
      <c r="D17" s="167">
        <f t="shared" si="2"/>
        <v>200</v>
      </c>
      <c r="E17" s="529">
        <v>43454</v>
      </c>
      <c r="F17" s="109">
        <f t="shared" si="3"/>
        <v>200</v>
      </c>
      <c r="G17" s="110" t="s">
        <v>590</v>
      </c>
      <c r="H17" s="198">
        <v>52</v>
      </c>
      <c r="I17" s="485">
        <f t="shared" si="4"/>
        <v>750</v>
      </c>
    </row>
    <row r="18" spans="1:9" x14ac:dyDescent="0.25">
      <c r="A18" s="7"/>
      <c r="B18" s="261">
        <f t="shared" si="5"/>
        <v>10</v>
      </c>
      <c r="C18" s="20"/>
      <c r="D18" s="167">
        <f t="shared" si="2"/>
        <v>0</v>
      </c>
      <c r="E18" s="529"/>
      <c r="F18" s="109">
        <f t="shared" si="3"/>
        <v>0</v>
      </c>
      <c r="G18" s="110"/>
      <c r="H18" s="581"/>
      <c r="I18" s="485">
        <f t="shared" si="4"/>
        <v>750</v>
      </c>
    </row>
    <row r="19" spans="1:9" x14ac:dyDescent="0.25">
      <c r="A19" s="7"/>
      <c r="B19" s="261">
        <f t="shared" si="5"/>
        <v>10</v>
      </c>
      <c r="C19" s="20"/>
      <c r="D19" s="167">
        <f t="shared" si="2"/>
        <v>0</v>
      </c>
      <c r="E19" s="529"/>
      <c r="F19" s="109">
        <f t="shared" si="3"/>
        <v>0</v>
      </c>
      <c r="G19" s="110"/>
      <c r="H19" s="581"/>
      <c r="I19" s="485">
        <f t="shared" si="4"/>
        <v>750</v>
      </c>
    </row>
    <row r="20" spans="1:9" x14ac:dyDescent="0.25">
      <c r="A20" s="7"/>
      <c r="B20" s="261">
        <f t="shared" si="5"/>
        <v>10</v>
      </c>
      <c r="C20" s="20"/>
      <c r="D20" s="167">
        <f t="shared" si="2"/>
        <v>0</v>
      </c>
      <c r="E20" s="529"/>
      <c r="F20" s="109">
        <f t="shared" si="3"/>
        <v>0</v>
      </c>
      <c r="G20" s="110"/>
      <c r="H20" s="214"/>
      <c r="I20" s="485">
        <f t="shared" si="4"/>
        <v>750</v>
      </c>
    </row>
    <row r="21" spans="1:9" x14ac:dyDescent="0.25">
      <c r="A21" s="7"/>
      <c r="B21" s="261">
        <f t="shared" si="5"/>
        <v>10</v>
      </c>
      <c r="C21" s="20"/>
      <c r="D21" s="167">
        <f t="shared" si="2"/>
        <v>0</v>
      </c>
      <c r="E21" s="529"/>
      <c r="F21" s="109">
        <f t="shared" si="3"/>
        <v>0</v>
      </c>
      <c r="G21" s="110"/>
      <c r="H21" s="214"/>
      <c r="I21" s="485">
        <f t="shared" si="4"/>
        <v>750</v>
      </c>
    </row>
    <row r="22" spans="1:9" x14ac:dyDescent="0.25">
      <c r="A22" s="7"/>
      <c r="B22" s="261">
        <f t="shared" si="5"/>
        <v>10</v>
      </c>
      <c r="C22" s="20"/>
      <c r="D22" s="167">
        <f t="shared" si="2"/>
        <v>0</v>
      </c>
      <c r="E22" s="529"/>
      <c r="F22" s="109">
        <f t="shared" si="3"/>
        <v>0</v>
      </c>
      <c r="G22" s="110"/>
      <c r="H22" s="214"/>
      <c r="I22" s="485">
        <f t="shared" si="4"/>
        <v>750</v>
      </c>
    </row>
    <row r="23" spans="1:9" x14ac:dyDescent="0.25">
      <c r="A23" s="7"/>
      <c r="B23" s="261">
        <f t="shared" si="5"/>
        <v>10</v>
      </c>
      <c r="C23" s="20"/>
      <c r="D23" s="167">
        <f t="shared" si="2"/>
        <v>0</v>
      </c>
      <c r="E23" s="529"/>
      <c r="F23" s="109">
        <f t="shared" si="3"/>
        <v>0</v>
      </c>
      <c r="G23" s="110"/>
      <c r="H23" s="214"/>
      <c r="I23" s="485">
        <f t="shared" si="4"/>
        <v>750</v>
      </c>
    </row>
    <row r="24" spans="1:9" x14ac:dyDescent="0.25">
      <c r="A24" s="7"/>
      <c r="B24" s="261">
        <f t="shared" si="5"/>
        <v>10</v>
      </c>
      <c r="C24" s="20"/>
      <c r="D24" s="167">
        <f t="shared" si="2"/>
        <v>0</v>
      </c>
      <c r="E24" s="529"/>
      <c r="F24" s="109">
        <f t="shared" si="3"/>
        <v>0</v>
      </c>
      <c r="G24" s="110"/>
      <c r="H24" s="214"/>
      <c r="I24" s="485">
        <f t="shared" si="4"/>
        <v>750</v>
      </c>
    </row>
    <row r="25" spans="1:9" x14ac:dyDescent="0.25">
      <c r="A25" s="7"/>
      <c r="B25" s="261">
        <f t="shared" si="5"/>
        <v>10</v>
      </c>
      <c r="C25" s="20"/>
      <c r="D25" s="167">
        <f t="shared" si="2"/>
        <v>0</v>
      </c>
      <c r="E25" s="529"/>
      <c r="F25" s="109">
        <f t="shared" si="3"/>
        <v>0</v>
      </c>
      <c r="G25" s="110"/>
      <c r="H25" s="214"/>
      <c r="I25" s="485">
        <f t="shared" si="4"/>
        <v>750</v>
      </c>
    </row>
    <row r="26" spans="1:9" x14ac:dyDescent="0.25">
      <c r="A26" s="7"/>
      <c r="B26" s="261">
        <f t="shared" si="5"/>
        <v>10</v>
      </c>
      <c r="C26" s="20"/>
      <c r="D26" s="167">
        <f t="shared" si="2"/>
        <v>0</v>
      </c>
      <c r="E26" s="529"/>
      <c r="F26" s="109">
        <f t="shared" si="3"/>
        <v>0</v>
      </c>
      <c r="G26" s="110"/>
      <c r="H26" s="214"/>
      <c r="I26" s="485">
        <f t="shared" si="4"/>
        <v>750</v>
      </c>
    </row>
    <row r="27" spans="1:9" x14ac:dyDescent="0.25">
      <c r="A27" s="7"/>
      <c r="B27" s="261">
        <f t="shared" si="5"/>
        <v>10</v>
      </c>
      <c r="C27" s="20"/>
      <c r="D27" s="167">
        <f t="shared" si="2"/>
        <v>0</v>
      </c>
      <c r="E27" s="529"/>
      <c r="F27" s="109">
        <f t="shared" si="3"/>
        <v>0</v>
      </c>
      <c r="G27" s="110"/>
      <c r="H27" s="214"/>
      <c r="I27" s="485">
        <f t="shared" si="4"/>
        <v>750</v>
      </c>
    </row>
    <row r="28" spans="1:9" x14ac:dyDescent="0.25">
      <c r="A28" s="7"/>
      <c r="B28" s="261">
        <f t="shared" si="5"/>
        <v>10</v>
      </c>
      <c r="C28" s="20"/>
      <c r="D28" s="167">
        <f t="shared" si="2"/>
        <v>0</v>
      </c>
      <c r="E28" s="529"/>
      <c r="F28" s="109">
        <f t="shared" si="3"/>
        <v>0</v>
      </c>
      <c r="G28" s="110"/>
      <c r="H28" s="214"/>
      <c r="I28" s="485">
        <f t="shared" si="4"/>
        <v>750</v>
      </c>
    </row>
    <row r="29" spans="1:9" x14ac:dyDescent="0.25">
      <c r="A29" s="7"/>
      <c r="B29" s="261">
        <f t="shared" si="5"/>
        <v>10</v>
      </c>
      <c r="C29" s="20"/>
      <c r="D29" s="167">
        <f t="shared" si="2"/>
        <v>0</v>
      </c>
      <c r="E29" s="529"/>
      <c r="F29" s="109">
        <f t="shared" si="3"/>
        <v>0</v>
      </c>
      <c r="G29" s="110"/>
      <c r="H29" s="214"/>
      <c r="I29" s="485">
        <f t="shared" si="4"/>
        <v>750</v>
      </c>
    </row>
    <row r="30" spans="1:9" x14ac:dyDescent="0.25">
      <c r="A30" s="7"/>
      <c r="B30" s="261">
        <f t="shared" si="5"/>
        <v>10</v>
      </c>
      <c r="C30" s="20"/>
      <c r="D30" s="167">
        <f t="shared" si="2"/>
        <v>0</v>
      </c>
      <c r="E30" s="529"/>
      <c r="F30" s="109">
        <f t="shared" si="3"/>
        <v>0</v>
      </c>
      <c r="G30" s="110"/>
      <c r="H30" s="214"/>
      <c r="I30" s="485">
        <f t="shared" si="4"/>
        <v>750</v>
      </c>
    </row>
    <row r="31" spans="1:9" x14ac:dyDescent="0.25">
      <c r="A31" s="7"/>
      <c r="B31" s="261">
        <f t="shared" si="5"/>
        <v>10</v>
      </c>
      <c r="C31" s="20"/>
      <c r="D31" s="167">
        <f t="shared" si="2"/>
        <v>0</v>
      </c>
      <c r="E31" s="529"/>
      <c r="F31" s="109">
        <f t="shared" si="3"/>
        <v>0</v>
      </c>
      <c r="G31" s="110"/>
      <c r="H31" s="214"/>
      <c r="I31" s="485">
        <f t="shared" si="4"/>
        <v>750</v>
      </c>
    </row>
    <row r="32" spans="1:9" x14ac:dyDescent="0.25">
      <c r="A32" s="7"/>
      <c r="B32" s="261">
        <f t="shared" si="5"/>
        <v>10</v>
      </c>
      <c r="C32" s="20"/>
      <c r="D32" s="678">
        <f t="shared" si="2"/>
        <v>0</v>
      </c>
      <c r="E32" s="679"/>
      <c r="F32" s="635">
        <f t="shared" si="3"/>
        <v>0</v>
      </c>
      <c r="G32" s="365"/>
      <c r="H32" s="214"/>
      <c r="I32" s="485">
        <f t="shared" si="4"/>
        <v>750</v>
      </c>
    </row>
    <row r="33" spans="1:9" x14ac:dyDescent="0.25">
      <c r="A33" s="7"/>
      <c r="B33" s="261">
        <f t="shared" si="5"/>
        <v>10</v>
      </c>
      <c r="C33" s="20"/>
      <c r="D33" s="678">
        <f t="shared" si="2"/>
        <v>0</v>
      </c>
      <c r="E33" s="680"/>
      <c r="F33" s="635">
        <f t="shared" si="3"/>
        <v>0</v>
      </c>
      <c r="G33" s="365"/>
      <c r="H33" s="681"/>
      <c r="I33" s="485">
        <f t="shared" si="4"/>
        <v>750</v>
      </c>
    </row>
    <row r="34" spans="1:9" x14ac:dyDescent="0.25">
      <c r="A34" s="7"/>
      <c r="B34" s="261">
        <f t="shared" si="5"/>
        <v>10</v>
      </c>
      <c r="C34" s="20"/>
      <c r="D34" s="678">
        <f t="shared" si="2"/>
        <v>0</v>
      </c>
      <c r="E34" s="680"/>
      <c r="F34" s="635">
        <f t="shared" si="3"/>
        <v>0</v>
      </c>
      <c r="G34" s="365"/>
      <c r="H34" s="681"/>
      <c r="I34" s="485">
        <f t="shared" si="4"/>
        <v>750</v>
      </c>
    </row>
    <row r="35" spans="1:9" x14ac:dyDescent="0.25">
      <c r="A35" s="7"/>
      <c r="B35" s="261">
        <f t="shared" si="5"/>
        <v>10</v>
      </c>
      <c r="C35" s="20"/>
      <c r="D35" s="678">
        <f t="shared" si="2"/>
        <v>0</v>
      </c>
      <c r="E35" s="680"/>
      <c r="F35" s="635">
        <f t="shared" si="3"/>
        <v>0</v>
      </c>
      <c r="G35" s="365"/>
      <c r="H35" s="681"/>
      <c r="I35" s="485">
        <f t="shared" si="4"/>
        <v>750</v>
      </c>
    </row>
    <row r="36" spans="1:9" x14ac:dyDescent="0.25">
      <c r="A36" s="129"/>
      <c r="B36" s="261">
        <f t="shared" si="5"/>
        <v>10</v>
      </c>
      <c r="C36" s="20"/>
      <c r="D36" s="678">
        <f t="shared" si="2"/>
        <v>0</v>
      </c>
      <c r="E36" s="680"/>
      <c r="F36" s="635">
        <f t="shared" si="3"/>
        <v>0</v>
      </c>
      <c r="G36" s="365"/>
      <c r="H36" s="681"/>
      <c r="I36" s="485">
        <f t="shared" si="4"/>
        <v>750</v>
      </c>
    </row>
    <row r="37" spans="1:9" x14ac:dyDescent="0.25">
      <c r="A37" s="7"/>
      <c r="B37" s="261">
        <f t="shared" si="5"/>
        <v>10</v>
      </c>
      <c r="C37" s="20"/>
      <c r="D37" s="678">
        <f t="shared" si="2"/>
        <v>0</v>
      </c>
      <c r="E37" s="680"/>
      <c r="F37" s="635">
        <f t="shared" si="3"/>
        <v>0</v>
      </c>
      <c r="G37" s="365"/>
      <c r="H37" s="681"/>
      <c r="I37" s="485">
        <f t="shared" si="4"/>
        <v>750</v>
      </c>
    </row>
    <row r="38" spans="1:9" x14ac:dyDescent="0.25">
      <c r="A38" s="7"/>
      <c r="B38" s="261">
        <f t="shared" si="5"/>
        <v>10</v>
      </c>
      <c r="C38" s="20"/>
      <c r="D38" s="678">
        <f t="shared" si="2"/>
        <v>0</v>
      </c>
      <c r="E38" s="679"/>
      <c r="F38" s="635">
        <f t="shared" si="3"/>
        <v>0</v>
      </c>
      <c r="G38" s="365"/>
      <c r="H38" s="681"/>
      <c r="I38" s="485">
        <f t="shared" si="4"/>
        <v>750</v>
      </c>
    </row>
    <row r="39" spans="1:9" x14ac:dyDescent="0.25">
      <c r="A39" s="7"/>
      <c r="B39" s="261">
        <f t="shared" si="5"/>
        <v>10</v>
      </c>
      <c r="C39" s="20"/>
      <c r="D39" s="678">
        <f t="shared" si="2"/>
        <v>0</v>
      </c>
      <c r="E39" s="679"/>
      <c r="F39" s="635">
        <f t="shared" si="3"/>
        <v>0</v>
      </c>
      <c r="G39" s="365"/>
      <c r="H39" s="681"/>
      <c r="I39" s="485">
        <f t="shared" si="4"/>
        <v>750</v>
      </c>
    </row>
    <row r="40" spans="1:9" x14ac:dyDescent="0.25">
      <c r="A40" s="7"/>
      <c r="B40" s="261">
        <f t="shared" si="5"/>
        <v>10</v>
      </c>
      <c r="C40" s="20"/>
      <c r="D40" s="678">
        <f t="shared" si="2"/>
        <v>0</v>
      </c>
      <c r="E40" s="679"/>
      <c r="F40" s="635">
        <f t="shared" si="3"/>
        <v>0</v>
      </c>
      <c r="G40" s="365"/>
      <c r="H40" s="681"/>
      <c r="I40" s="485">
        <f t="shared" si="4"/>
        <v>750</v>
      </c>
    </row>
    <row r="41" spans="1:9" x14ac:dyDescent="0.25">
      <c r="A41" s="7"/>
      <c r="B41" s="261">
        <f t="shared" si="5"/>
        <v>10</v>
      </c>
      <c r="C41" s="20"/>
      <c r="D41" s="678">
        <f t="shared" si="2"/>
        <v>0</v>
      </c>
      <c r="E41" s="679"/>
      <c r="F41" s="635">
        <f t="shared" si="3"/>
        <v>0</v>
      </c>
      <c r="G41" s="365"/>
      <c r="H41" s="681"/>
      <c r="I41" s="485">
        <f t="shared" si="4"/>
        <v>750</v>
      </c>
    </row>
    <row r="42" spans="1:9" x14ac:dyDescent="0.25">
      <c r="A42" s="7"/>
      <c r="B42" s="261">
        <f t="shared" si="5"/>
        <v>10</v>
      </c>
      <c r="C42" s="20"/>
      <c r="D42" s="678">
        <f t="shared" si="2"/>
        <v>0</v>
      </c>
      <c r="E42" s="679"/>
      <c r="F42" s="635">
        <f t="shared" si="3"/>
        <v>0</v>
      </c>
      <c r="G42" s="365"/>
      <c r="H42" s="681"/>
      <c r="I42" s="485">
        <f t="shared" si="4"/>
        <v>750</v>
      </c>
    </row>
    <row r="43" spans="1:9" x14ac:dyDescent="0.25">
      <c r="A43" s="7"/>
      <c r="B43" s="261">
        <f t="shared" si="5"/>
        <v>10</v>
      </c>
      <c r="C43" s="20"/>
      <c r="D43" s="678">
        <f t="shared" si="2"/>
        <v>0</v>
      </c>
      <c r="E43" s="679"/>
      <c r="F43" s="635">
        <f t="shared" si="3"/>
        <v>0</v>
      </c>
      <c r="G43" s="365"/>
      <c r="H43" s="681"/>
      <c r="I43" s="485">
        <f t="shared" si="4"/>
        <v>750</v>
      </c>
    </row>
    <row r="44" spans="1:9" x14ac:dyDescent="0.25">
      <c r="A44" s="7"/>
      <c r="B44" s="261">
        <f t="shared" si="5"/>
        <v>10</v>
      </c>
      <c r="C44" s="20"/>
      <c r="D44" s="678">
        <f t="shared" si="2"/>
        <v>0</v>
      </c>
      <c r="E44" s="679"/>
      <c r="F44" s="635">
        <f t="shared" si="3"/>
        <v>0</v>
      </c>
      <c r="G44" s="365"/>
      <c r="H44" s="681"/>
      <c r="I44" s="485">
        <f t="shared" si="4"/>
        <v>750</v>
      </c>
    </row>
    <row r="45" spans="1:9" x14ac:dyDescent="0.25">
      <c r="A45" s="7"/>
      <c r="B45" s="261">
        <f t="shared" si="5"/>
        <v>10</v>
      </c>
      <c r="C45" s="20"/>
      <c r="D45" s="678">
        <f t="shared" si="2"/>
        <v>0</v>
      </c>
      <c r="E45" s="679"/>
      <c r="F45" s="635">
        <f t="shared" si="3"/>
        <v>0</v>
      </c>
      <c r="G45" s="365"/>
      <c r="H45" s="681"/>
      <c r="I45" s="485">
        <f t="shared" si="4"/>
        <v>750</v>
      </c>
    </row>
    <row r="46" spans="1:9" x14ac:dyDescent="0.25">
      <c r="A46" s="7"/>
      <c r="B46" s="261">
        <f t="shared" si="5"/>
        <v>10</v>
      </c>
      <c r="C46" s="20"/>
      <c r="D46" s="678">
        <f t="shared" si="2"/>
        <v>0</v>
      </c>
      <c r="E46" s="682"/>
      <c r="F46" s="635">
        <f t="shared" si="3"/>
        <v>0</v>
      </c>
      <c r="G46" s="683"/>
      <c r="H46" s="684"/>
      <c r="I46" s="485">
        <f t="shared" si="4"/>
        <v>750</v>
      </c>
    </row>
    <row r="47" spans="1:9" x14ac:dyDescent="0.25">
      <c r="A47" s="7"/>
      <c r="B47" s="261">
        <f t="shared" si="5"/>
        <v>10</v>
      </c>
      <c r="C47" s="20"/>
      <c r="D47" s="678">
        <f t="shared" si="2"/>
        <v>0</v>
      </c>
      <c r="E47" s="682"/>
      <c r="F47" s="635">
        <f t="shared" si="3"/>
        <v>0</v>
      </c>
      <c r="G47" s="683"/>
      <c r="H47" s="684"/>
      <c r="I47" s="485">
        <f t="shared" si="4"/>
        <v>750</v>
      </c>
    </row>
    <row r="48" spans="1:9" x14ac:dyDescent="0.25">
      <c r="A48" s="7"/>
      <c r="B48" s="261">
        <f t="shared" si="5"/>
        <v>10</v>
      </c>
      <c r="C48" s="20"/>
      <c r="D48" s="678">
        <f t="shared" si="2"/>
        <v>0</v>
      </c>
      <c r="E48" s="682"/>
      <c r="F48" s="635">
        <f t="shared" si="3"/>
        <v>0</v>
      </c>
      <c r="G48" s="683"/>
      <c r="H48" s="684"/>
      <c r="I48" s="485">
        <f t="shared" si="4"/>
        <v>750</v>
      </c>
    </row>
    <row r="49" spans="1:9" x14ac:dyDescent="0.25">
      <c r="A49" s="7"/>
      <c r="B49" s="261">
        <f t="shared" si="5"/>
        <v>10</v>
      </c>
      <c r="C49" s="20"/>
      <c r="D49" s="167">
        <f t="shared" si="2"/>
        <v>0</v>
      </c>
      <c r="E49" s="540"/>
      <c r="F49" s="109">
        <f t="shared" si="3"/>
        <v>0</v>
      </c>
      <c r="G49" s="409"/>
      <c r="H49" s="408"/>
      <c r="I49" s="485">
        <f t="shared" si="4"/>
        <v>750</v>
      </c>
    </row>
    <row r="50" spans="1:9" x14ac:dyDescent="0.25">
      <c r="A50" s="7"/>
      <c r="B50" s="261">
        <f t="shared" si="5"/>
        <v>10</v>
      </c>
      <c r="C50" s="20"/>
      <c r="D50" s="167">
        <f t="shared" si="2"/>
        <v>0</v>
      </c>
      <c r="E50" s="540"/>
      <c r="F50" s="109">
        <f t="shared" si="3"/>
        <v>0</v>
      </c>
      <c r="G50" s="409"/>
      <c r="H50" s="408"/>
      <c r="I50" s="485">
        <f t="shared" si="4"/>
        <v>750</v>
      </c>
    </row>
    <row r="51" spans="1:9" x14ac:dyDescent="0.25">
      <c r="A51" s="7"/>
      <c r="B51" s="261">
        <f t="shared" si="5"/>
        <v>10</v>
      </c>
      <c r="C51" s="20"/>
      <c r="D51" s="167">
        <f t="shared" si="2"/>
        <v>0</v>
      </c>
      <c r="E51" s="540"/>
      <c r="F51" s="109">
        <f t="shared" si="3"/>
        <v>0</v>
      </c>
      <c r="G51" s="409"/>
      <c r="H51" s="408"/>
      <c r="I51" s="485">
        <f t="shared" si="4"/>
        <v>750</v>
      </c>
    </row>
    <row r="52" spans="1:9" x14ac:dyDescent="0.25">
      <c r="A52" s="7"/>
      <c r="B52" s="261">
        <f t="shared" si="5"/>
        <v>10</v>
      </c>
      <c r="C52" s="20"/>
      <c r="D52" s="167">
        <f t="shared" si="2"/>
        <v>0</v>
      </c>
      <c r="E52" s="540"/>
      <c r="F52" s="109">
        <f t="shared" si="3"/>
        <v>0</v>
      </c>
      <c r="G52" s="409"/>
      <c r="H52" s="408"/>
      <c r="I52" s="485">
        <f t="shared" si="4"/>
        <v>750</v>
      </c>
    </row>
    <row r="53" spans="1:9" x14ac:dyDescent="0.25">
      <c r="A53" s="7"/>
      <c r="B53" s="261">
        <f t="shared" si="5"/>
        <v>10</v>
      </c>
      <c r="C53" s="20"/>
      <c r="D53" s="167">
        <f t="shared" si="2"/>
        <v>0</v>
      </c>
      <c r="E53" s="540"/>
      <c r="F53" s="109">
        <f t="shared" si="3"/>
        <v>0</v>
      </c>
      <c r="G53" s="409"/>
      <c r="H53" s="408"/>
      <c r="I53" s="485">
        <f t="shared" si="4"/>
        <v>750</v>
      </c>
    </row>
    <row r="54" spans="1:9" x14ac:dyDescent="0.25">
      <c r="A54" s="7"/>
      <c r="B54" s="261">
        <f t="shared" si="5"/>
        <v>10</v>
      </c>
      <c r="C54" s="20"/>
      <c r="D54" s="167">
        <f t="shared" si="2"/>
        <v>0</v>
      </c>
      <c r="E54" s="540"/>
      <c r="F54" s="109">
        <f t="shared" si="3"/>
        <v>0</v>
      </c>
      <c r="G54" s="409"/>
      <c r="H54" s="408"/>
      <c r="I54" s="485">
        <f t="shared" si="4"/>
        <v>750</v>
      </c>
    </row>
    <row r="55" spans="1:9" x14ac:dyDescent="0.25">
      <c r="A55" s="7"/>
      <c r="B55" s="261">
        <f t="shared" si="5"/>
        <v>10</v>
      </c>
      <c r="C55" s="20"/>
      <c r="D55" s="167">
        <f t="shared" si="2"/>
        <v>0</v>
      </c>
      <c r="E55" s="540"/>
      <c r="F55" s="109">
        <f t="shared" si="3"/>
        <v>0</v>
      </c>
      <c r="G55" s="409"/>
      <c r="H55" s="408"/>
      <c r="I55" s="485">
        <f t="shared" si="4"/>
        <v>750</v>
      </c>
    </row>
    <row r="56" spans="1:9" x14ac:dyDescent="0.25">
      <c r="A56" s="7"/>
      <c r="B56" s="261">
        <f t="shared" si="5"/>
        <v>10</v>
      </c>
      <c r="C56" s="20"/>
      <c r="D56" s="167">
        <f t="shared" si="2"/>
        <v>0</v>
      </c>
      <c r="E56" s="540"/>
      <c r="F56" s="109">
        <f t="shared" si="3"/>
        <v>0</v>
      </c>
      <c r="G56" s="409"/>
      <c r="H56" s="408"/>
      <c r="I56" s="485">
        <f t="shared" si="4"/>
        <v>750</v>
      </c>
    </row>
    <row r="57" spans="1:9" x14ac:dyDescent="0.25">
      <c r="A57" s="7"/>
      <c r="B57" s="261">
        <f t="shared" si="5"/>
        <v>10</v>
      </c>
      <c r="C57" s="20"/>
      <c r="D57" s="167">
        <f t="shared" si="2"/>
        <v>0</v>
      </c>
      <c r="E57" s="540"/>
      <c r="F57" s="109">
        <f t="shared" si="3"/>
        <v>0</v>
      </c>
      <c r="G57" s="409"/>
      <c r="H57" s="408"/>
      <c r="I57" s="485">
        <f t="shared" si="4"/>
        <v>750</v>
      </c>
    </row>
    <row r="58" spans="1:9" x14ac:dyDescent="0.25">
      <c r="A58" s="7"/>
      <c r="B58" s="261">
        <f t="shared" si="5"/>
        <v>10</v>
      </c>
      <c r="C58" s="20"/>
      <c r="D58" s="167">
        <f t="shared" si="2"/>
        <v>0</v>
      </c>
      <c r="E58" s="540"/>
      <c r="F58" s="109">
        <f t="shared" si="3"/>
        <v>0</v>
      </c>
      <c r="G58" s="409"/>
      <c r="H58" s="408"/>
      <c r="I58" s="485">
        <f t="shared" si="4"/>
        <v>750</v>
      </c>
    </row>
    <row r="59" spans="1:9" x14ac:dyDescent="0.25">
      <c r="B59" s="261">
        <f t="shared" si="5"/>
        <v>10</v>
      </c>
      <c r="C59" s="20"/>
      <c r="D59" s="167">
        <f t="shared" si="2"/>
        <v>0</v>
      </c>
      <c r="E59" s="540"/>
      <c r="F59" s="109">
        <f t="shared" si="3"/>
        <v>0</v>
      </c>
      <c r="G59" s="409"/>
      <c r="H59" s="408"/>
      <c r="I59" s="485">
        <f t="shared" si="4"/>
        <v>750</v>
      </c>
    </row>
    <row r="60" spans="1:9" ht="15.75" thickBot="1" x14ac:dyDescent="0.3">
      <c r="B60" s="261">
        <f t="shared" si="5"/>
        <v>10</v>
      </c>
      <c r="C60" s="444"/>
      <c r="D60" s="307">
        <f t="shared" si="2"/>
        <v>0</v>
      </c>
      <c r="E60" s="541"/>
      <c r="F60" s="307">
        <f t="shared" si="3"/>
        <v>0</v>
      </c>
      <c r="G60" s="536"/>
      <c r="H60" s="542"/>
    </row>
    <row r="61" spans="1:9" ht="15.75" thickTop="1" x14ac:dyDescent="0.25">
      <c r="C61" s="20">
        <f>SUM(C9:C60)</f>
        <v>81</v>
      </c>
      <c r="D61" s="8">
        <f>SUM(D9:D60)</f>
        <v>810</v>
      </c>
      <c r="E61" s="40"/>
      <c r="F61" s="8">
        <f>SUM(F9:F60)</f>
        <v>810</v>
      </c>
      <c r="G61" s="39"/>
      <c r="H61" s="197"/>
    </row>
    <row r="62" spans="1:9" ht="15.75" thickBot="1" x14ac:dyDescent="0.3">
      <c r="C62" s="20"/>
      <c r="D62" s="8"/>
      <c r="E62" s="40"/>
      <c r="F62" s="8"/>
      <c r="G62" s="39"/>
      <c r="H62" s="23"/>
    </row>
    <row r="63" spans="1:9" x14ac:dyDescent="0.25">
      <c r="C63" s="71" t="s">
        <v>4</v>
      </c>
      <c r="D63" s="55">
        <f>F4+F5-C61+F6+F7</f>
        <v>75</v>
      </c>
      <c r="E63" s="53"/>
      <c r="F63" s="8"/>
      <c r="G63" s="39"/>
      <c r="H63" s="23"/>
    </row>
    <row r="64" spans="1:9" x14ac:dyDescent="0.25">
      <c r="C64" s="867" t="s">
        <v>19</v>
      </c>
      <c r="D64" s="868"/>
      <c r="E64" s="51">
        <f>E4+E5-F61+E6+E7</f>
        <v>750</v>
      </c>
      <c r="F64" s="8"/>
      <c r="G64" s="8"/>
      <c r="H64" s="23"/>
    </row>
    <row r="65" spans="3:8" ht="15.75" thickBot="1" x14ac:dyDescent="0.3">
      <c r="C65" s="60"/>
      <c r="D65" s="56"/>
      <c r="E65" s="54"/>
      <c r="F65" s="8"/>
      <c r="G65" s="39"/>
      <c r="H65" s="23"/>
    </row>
    <row r="66" spans="3:8" x14ac:dyDescent="0.25">
      <c r="C66" s="20"/>
      <c r="D66" s="8"/>
      <c r="E66" s="40"/>
      <c r="F66" s="8"/>
      <c r="G66" s="39"/>
      <c r="H66" s="23"/>
    </row>
  </sheetData>
  <mergeCells count="2">
    <mergeCell ref="A1:G1"/>
    <mergeCell ref="C64:D6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5"/>
  <sheetViews>
    <sheetView topLeftCell="E1" workbookViewId="0">
      <pane ySplit="7" topLeftCell="A8" activePane="bottomLeft" state="frozen"/>
      <selection pane="bottomLeft" activeCell="L70" sqref="L7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1" max="11" width="25.85546875" bestFit="1" customWidth="1"/>
    <col min="12" max="12" width="15.5703125" customWidth="1"/>
  </cols>
  <sheetData>
    <row r="1" spans="1:19" ht="45.75" x14ac:dyDescent="0.65">
      <c r="A1" s="869" t="s">
        <v>219</v>
      </c>
      <c r="B1" s="869"/>
      <c r="C1" s="869"/>
      <c r="D1" s="869"/>
      <c r="E1" s="869"/>
      <c r="F1" s="869"/>
      <c r="G1" s="869"/>
      <c r="H1" s="177">
        <v>1</v>
      </c>
      <c r="K1" s="864" t="s">
        <v>250</v>
      </c>
      <c r="L1" s="864"/>
      <c r="M1" s="864"/>
      <c r="N1" s="864"/>
      <c r="O1" s="864"/>
      <c r="P1" s="864"/>
      <c r="Q1" s="864"/>
      <c r="R1" s="177">
        <v>2</v>
      </c>
    </row>
    <row r="2" spans="1:19" ht="15.75" thickBot="1" x14ac:dyDescent="0.3">
      <c r="D2" s="160"/>
      <c r="F2" s="6"/>
      <c r="N2" s="160"/>
      <c r="P2" s="6"/>
    </row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2" t="s">
        <v>2</v>
      </c>
      <c r="O3" s="12" t="s">
        <v>3</v>
      </c>
      <c r="P3" s="206" t="s">
        <v>4</v>
      </c>
      <c r="Q3" s="67" t="s">
        <v>12</v>
      </c>
      <c r="R3" s="46" t="s">
        <v>11</v>
      </c>
    </row>
    <row r="4" spans="1:19" ht="16.5" thickTop="1" thickBot="1" x14ac:dyDescent="0.3">
      <c r="A4" s="16"/>
      <c r="B4" s="15"/>
      <c r="C4" s="111"/>
      <c r="D4" s="216"/>
      <c r="E4" s="99"/>
      <c r="F4" s="280"/>
      <c r="G4" s="119"/>
      <c r="H4" s="16"/>
      <c r="K4" s="16"/>
      <c r="L4" s="15"/>
      <c r="M4" s="111"/>
      <c r="N4" s="216"/>
      <c r="O4" s="99"/>
      <c r="P4" s="280"/>
      <c r="Q4" s="119"/>
      <c r="R4" s="16"/>
    </row>
    <row r="5" spans="1:19" ht="15.75" customHeight="1" x14ac:dyDescent="0.25">
      <c r="A5" s="415" t="s">
        <v>86</v>
      </c>
      <c r="B5" s="870" t="s">
        <v>158</v>
      </c>
      <c r="C5" s="599">
        <v>27</v>
      </c>
      <c r="D5" s="216">
        <v>43418</v>
      </c>
      <c r="E5" s="91">
        <v>1000</v>
      </c>
      <c r="F5" s="144">
        <v>100</v>
      </c>
      <c r="G5" s="285">
        <f>F62</f>
        <v>1650</v>
      </c>
      <c r="H5" s="94">
        <f>E4+E5+E6-G5</f>
        <v>0</v>
      </c>
      <c r="K5" s="415" t="s">
        <v>86</v>
      </c>
      <c r="L5" s="870" t="s">
        <v>158</v>
      </c>
      <c r="M5" s="599">
        <v>29.5</v>
      </c>
      <c r="N5" s="216">
        <v>43456</v>
      </c>
      <c r="O5" s="91">
        <v>1000</v>
      </c>
      <c r="P5" s="144">
        <v>100</v>
      </c>
      <c r="Q5" s="285">
        <f>P62</f>
        <v>490</v>
      </c>
      <c r="R5" s="94">
        <f>O4+O5+O6-Q5</f>
        <v>780</v>
      </c>
    </row>
    <row r="6" spans="1:19" ht="16.5" thickBot="1" x14ac:dyDescent="0.3">
      <c r="A6" s="16"/>
      <c r="B6" s="871"/>
      <c r="C6" s="599">
        <v>28</v>
      </c>
      <c r="D6" s="216">
        <v>43428</v>
      </c>
      <c r="E6" s="733">
        <v>650</v>
      </c>
      <c r="F6" s="373">
        <v>65</v>
      </c>
      <c r="G6" s="119"/>
      <c r="K6" s="16"/>
      <c r="L6" s="871"/>
      <c r="M6" s="599"/>
      <c r="N6" s="216"/>
      <c r="O6" s="733">
        <v>270</v>
      </c>
      <c r="P6" s="373">
        <v>27</v>
      </c>
      <c r="Q6" s="119"/>
    </row>
    <row r="7" spans="1:1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3" t="s">
        <v>3</v>
      </c>
      <c r="O7" s="28" t="s">
        <v>2</v>
      </c>
      <c r="P7" s="207" t="s">
        <v>9</v>
      </c>
      <c r="Q7" s="29" t="s">
        <v>15</v>
      </c>
      <c r="R7" s="37"/>
    </row>
    <row r="8" spans="1:19" ht="15.75" thickTop="1" x14ac:dyDescent="0.25">
      <c r="A8" s="2"/>
      <c r="B8" s="322">
        <v>10</v>
      </c>
      <c r="C8" s="20">
        <v>8</v>
      </c>
      <c r="D8" s="308">
        <f t="shared" ref="D8:D14" si="0">C8*B8</f>
        <v>80</v>
      </c>
      <c r="E8" s="215">
        <v>43421</v>
      </c>
      <c r="F8" s="109">
        <f t="shared" ref="F8:F14" si="1">D8</f>
        <v>80</v>
      </c>
      <c r="G8" s="110" t="s">
        <v>181</v>
      </c>
      <c r="H8" s="111">
        <v>30</v>
      </c>
      <c r="I8" s="160">
        <f>E4+E5+E6-F8</f>
        <v>1570</v>
      </c>
      <c r="K8" s="2"/>
      <c r="L8" s="322">
        <v>10</v>
      </c>
      <c r="M8" s="20">
        <v>10</v>
      </c>
      <c r="N8" s="308">
        <f t="shared" ref="N8:N12" si="2">M8*L8</f>
        <v>100</v>
      </c>
      <c r="O8" s="215">
        <v>43454</v>
      </c>
      <c r="P8" s="109">
        <f t="shared" ref="P8:P12" si="3">N8</f>
        <v>100</v>
      </c>
      <c r="Q8" s="110" t="s">
        <v>590</v>
      </c>
      <c r="R8" s="111">
        <v>30</v>
      </c>
      <c r="S8" s="160">
        <f>O4+O5+O6-P8</f>
        <v>1170</v>
      </c>
    </row>
    <row r="9" spans="1:19" x14ac:dyDescent="0.25">
      <c r="A9" s="2"/>
      <c r="B9" s="322">
        <v>10</v>
      </c>
      <c r="C9" s="20">
        <v>10</v>
      </c>
      <c r="D9" s="308">
        <f t="shared" si="0"/>
        <v>100</v>
      </c>
      <c r="E9" s="215">
        <v>43424</v>
      </c>
      <c r="F9" s="109">
        <f t="shared" si="1"/>
        <v>100</v>
      </c>
      <c r="G9" s="110" t="s">
        <v>186</v>
      </c>
      <c r="H9" s="111">
        <v>30</v>
      </c>
      <c r="I9" s="160">
        <f>I8-F9</f>
        <v>1470</v>
      </c>
      <c r="K9" s="2"/>
      <c r="L9" s="322">
        <v>10</v>
      </c>
      <c r="M9" s="20">
        <v>17</v>
      </c>
      <c r="N9" s="308">
        <f t="shared" si="2"/>
        <v>170</v>
      </c>
      <c r="O9" s="215">
        <v>43455</v>
      </c>
      <c r="P9" s="109">
        <f t="shared" si="3"/>
        <v>170</v>
      </c>
      <c r="Q9" s="110" t="s">
        <v>606</v>
      </c>
      <c r="R9" s="111">
        <v>30</v>
      </c>
      <c r="S9" s="160">
        <f>S8-P9</f>
        <v>1000</v>
      </c>
    </row>
    <row r="10" spans="1:19" x14ac:dyDescent="0.25">
      <c r="A10" s="151" t="s">
        <v>32</v>
      </c>
      <c r="B10" s="322">
        <v>10</v>
      </c>
      <c r="C10" s="20">
        <v>10</v>
      </c>
      <c r="D10" s="308">
        <f t="shared" si="0"/>
        <v>100</v>
      </c>
      <c r="E10" s="168">
        <v>43425</v>
      </c>
      <c r="F10" s="109">
        <f t="shared" si="1"/>
        <v>100</v>
      </c>
      <c r="G10" s="110" t="s">
        <v>187</v>
      </c>
      <c r="H10" s="111">
        <v>30</v>
      </c>
      <c r="I10" s="160">
        <f t="shared" ref="I10:I51" si="4">I9-F10</f>
        <v>1370</v>
      </c>
      <c r="K10" s="151" t="s">
        <v>32</v>
      </c>
      <c r="L10" s="322">
        <v>10</v>
      </c>
      <c r="M10" s="20">
        <v>2</v>
      </c>
      <c r="N10" s="308">
        <f t="shared" si="2"/>
        <v>20</v>
      </c>
      <c r="O10" s="215">
        <v>43462</v>
      </c>
      <c r="P10" s="109">
        <f t="shared" si="3"/>
        <v>20</v>
      </c>
      <c r="Q10" s="110" t="s">
        <v>661</v>
      </c>
      <c r="R10" s="111">
        <v>30</v>
      </c>
      <c r="S10" s="160">
        <f t="shared" ref="S10:S51" si="5">S9-P10</f>
        <v>980</v>
      </c>
    </row>
    <row r="11" spans="1:19" x14ac:dyDescent="0.25">
      <c r="A11" s="152"/>
      <c r="B11" s="322">
        <v>10</v>
      </c>
      <c r="C11" s="20">
        <v>10</v>
      </c>
      <c r="D11" s="308">
        <f t="shared" si="0"/>
        <v>100</v>
      </c>
      <c r="E11" s="168">
        <v>43427</v>
      </c>
      <c r="F11" s="109">
        <f t="shared" si="1"/>
        <v>100</v>
      </c>
      <c r="G11" s="110" t="s">
        <v>195</v>
      </c>
      <c r="H11" s="111">
        <v>30</v>
      </c>
      <c r="I11" s="160">
        <f t="shared" si="4"/>
        <v>1270</v>
      </c>
      <c r="K11" s="152"/>
      <c r="L11" s="322">
        <v>10</v>
      </c>
      <c r="M11" s="20">
        <v>10</v>
      </c>
      <c r="N11" s="308">
        <f t="shared" si="2"/>
        <v>100</v>
      </c>
      <c r="O11" s="215">
        <v>43463</v>
      </c>
      <c r="P11" s="109">
        <f t="shared" si="3"/>
        <v>100</v>
      </c>
      <c r="Q11" s="110" t="s">
        <v>663</v>
      </c>
      <c r="R11" s="111">
        <v>30</v>
      </c>
      <c r="S11" s="160">
        <f t="shared" si="5"/>
        <v>880</v>
      </c>
    </row>
    <row r="12" spans="1:19" x14ac:dyDescent="0.25">
      <c r="A12" s="156"/>
      <c r="B12" s="322">
        <v>10</v>
      </c>
      <c r="C12" s="20">
        <v>1</v>
      </c>
      <c r="D12" s="308">
        <f t="shared" si="0"/>
        <v>10</v>
      </c>
      <c r="E12" s="168">
        <v>43427</v>
      </c>
      <c r="F12" s="109">
        <f t="shared" si="1"/>
        <v>10</v>
      </c>
      <c r="G12" s="110" t="s">
        <v>196</v>
      </c>
      <c r="H12" s="111">
        <v>30</v>
      </c>
      <c r="I12" s="160">
        <f t="shared" si="4"/>
        <v>1260</v>
      </c>
      <c r="K12" s="156"/>
      <c r="L12" s="322">
        <v>10</v>
      </c>
      <c r="M12" s="20">
        <v>10</v>
      </c>
      <c r="N12" s="308">
        <f t="shared" si="2"/>
        <v>100</v>
      </c>
      <c r="O12" s="215">
        <v>43464</v>
      </c>
      <c r="P12" s="109">
        <f t="shared" si="3"/>
        <v>100</v>
      </c>
      <c r="Q12" s="110" t="s">
        <v>674</v>
      </c>
      <c r="R12" s="111">
        <v>30</v>
      </c>
      <c r="S12" s="160">
        <f t="shared" si="5"/>
        <v>780</v>
      </c>
    </row>
    <row r="13" spans="1:19" x14ac:dyDescent="0.25">
      <c r="A13" s="153" t="s">
        <v>33</v>
      </c>
      <c r="B13" s="322">
        <v>10</v>
      </c>
      <c r="C13" s="20">
        <v>10</v>
      </c>
      <c r="D13" s="308">
        <f t="shared" si="0"/>
        <v>100</v>
      </c>
      <c r="E13" s="168">
        <v>43431</v>
      </c>
      <c r="F13" s="109">
        <f t="shared" si="1"/>
        <v>100</v>
      </c>
      <c r="G13" s="110" t="s">
        <v>202</v>
      </c>
      <c r="H13" s="111">
        <v>30</v>
      </c>
      <c r="I13" s="160">
        <f t="shared" si="4"/>
        <v>1160</v>
      </c>
      <c r="K13" s="153" t="s">
        <v>33</v>
      </c>
      <c r="L13" s="322">
        <v>10</v>
      </c>
      <c r="M13" s="20"/>
      <c r="N13" s="308">
        <f t="shared" ref="N13:N60" si="6">M13*L13</f>
        <v>0</v>
      </c>
      <c r="O13" s="168"/>
      <c r="P13" s="109">
        <f t="shared" ref="P13:P61" si="7">N13</f>
        <v>0</v>
      </c>
      <c r="Q13" s="110"/>
      <c r="R13" s="111"/>
      <c r="S13" s="160">
        <f t="shared" si="5"/>
        <v>780</v>
      </c>
    </row>
    <row r="14" spans="1:19" x14ac:dyDescent="0.25">
      <c r="A14" s="152"/>
      <c r="B14" s="322">
        <v>10</v>
      </c>
      <c r="C14" s="20">
        <v>2</v>
      </c>
      <c r="D14" s="308">
        <f t="shared" si="0"/>
        <v>20</v>
      </c>
      <c r="E14" s="215">
        <v>43433</v>
      </c>
      <c r="F14" s="109">
        <f t="shared" si="1"/>
        <v>20</v>
      </c>
      <c r="G14" s="110" t="s">
        <v>204</v>
      </c>
      <c r="H14" s="111">
        <v>30</v>
      </c>
      <c r="I14" s="160">
        <f t="shared" si="4"/>
        <v>1140</v>
      </c>
      <c r="K14" s="152"/>
      <c r="L14" s="322">
        <v>10</v>
      </c>
      <c r="M14" s="20"/>
      <c r="N14" s="308">
        <f t="shared" si="6"/>
        <v>0</v>
      </c>
      <c r="O14" s="215"/>
      <c r="P14" s="109">
        <f t="shared" si="7"/>
        <v>0</v>
      </c>
      <c r="Q14" s="110"/>
      <c r="R14" s="111"/>
      <c r="S14" s="160">
        <f t="shared" si="5"/>
        <v>780</v>
      </c>
    </row>
    <row r="15" spans="1:19" x14ac:dyDescent="0.25">
      <c r="A15" s="156"/>
      <c r="B15" s="322">
        <v>10</v>
      </c>
      <c r="C15" s="20">
        <v>12</v>
      </c>
      <c r="D15" s="726">
        <f t="shared" ref="D15:D60" si="8">C15*B15</f>
        <v>120</v>
      </c>
      <c r="E15" s="522">
        <v>43435</v>
      </c>
      <c r="F15" s="635">
        <f t="shared" ref="F15:F61" si="9">D15</f>
        <v>120</v>
      </c>
      <c r="G15" s="365" t="s">
        <v>470</v>
      </c>
      <c r="H15" s="214">
        <v>30</v>
      </c>
      <c r="I15" s="160">
        <f t="shared" si="4"/>
        <v>1020</v>
      </c>
      <c r="K15" s="156"/>
      <c r="L15" s="322">
        <v>10</v>
      </c>
      <c r="M15" s="20"/>
      <c r="N15" s="308">
        <f t="shared" si="6"/>
        <v>0</v>
      </c>
      <c r="O15" s="168"/>
      <c r="P15" s="109">
        <f t="shared" si="7"/>
        <v>0</v>
      </c>
      <c r="Q15" s="110"/>
      <c r="R15" s="111"/>
      <c r="S15" s="160">
        <f t="shared" si="5"/>
        <v>780</v>
      </c>
    </row>
    <row r="16" spans="1:19" x14ac:dyDescent="0.25">
      <c r="A16" s="2"/>
      <c r="B16" s="322">
        <v>10</v>
      </c>
      <c r="C16" s="20">
        <v>10</v>
      </c>
      <c r="D16" s="726">
        <f t="shared" si="8"/>
        <v>100</v>
      </c>
      <c r="E16" s="522">
        <v>43439</v>
      </c>
      <c r="F16" s="635">
        <f t="shared" si="9"/>
        <v>100</v>
      </c>
      <c r="G16" s="686" t="s">
        <v>486</v>
      </c>
      <c r="H16" s="214">
        <v>30</v>
      </c>
      <c r="I16" s="160">
        <f t="shared" si="4"/>
        <v>920</v>
      </c>
      <c r="K16" s="2"/>
      <c r="L16" s="322">
        <v>10</v>
      </c>
      <c r="M16" s="20"/>
      <c r="N16" s="308">
        <f t="shared" si="6"/>
        <v>0</v>
      </c>
      <c r="O16" s="168"/>
      <c r="P16" s="109">
        <f t="shared" si="7"/>
        <v>0</v>
      </c>
      <c r="Q16" s="512"/>
      <c r="R16" s="111"/>
      <c r="S16" s="160">
        <f t="shared" si="5"/>
        <v>780</v>
      </c>
    </row>
    <row r="17" spans="1:19" x14ac:dyDescent="0.25">
      <c r="A17" s="2"/>
      <c r="B17" s="322">
        <v>10</v>
      </c>
      <c r="C17" s="255">
        <v>2</v>
      </c>
      <c r="D17" s="726">
        <f t="shared" si="8"/>
        <v>20</v>
      </c>
      <c r="E17" s="522">
        <v>43442</v>
      </c>
      <c r="F17" s="635">
        <f t="shared" si="9"/>
        <v>20</v>
      </c>
      <c r="G17" s="365" t="s">
        <v>512</v>
      </c>
      <c r="H17" s="214">
        <v>30</v>
      </c>
      <c r="I17" s="160">
        <f t="shared" si="4"/>
        <v>900</v>
      </c>
      <c r="K17" s="2"/>
      <c r="L17" s="322">
        <v>10</v>
      </c>
      <c r="M17" s="255"/>
      <c r="N17" s="308">
        <f t="shared" si="6"/>
        <v>0</v>
      </c>
      <c r="O17" s="168"/>
      <c r="P17" s="109">
        <f t="shared" si="7"/>
        <v>0</v>
      </c>
      <c r="Q17" s="110"/>
      <c r="R17" s="111"/>
      <c r="S17" s="160">
        <f t="shared" si="5"/>
        <v>780</v>
      </c>
    </row>
    <row r="18" spans="1:19" x14ac:dyDescent="0.25">
      <c r="A18" s="2"/>
      <c r="B18" s="322">
        <v>10</v>
      </c>
      <c r="C18" s="20">
        <v>10</v>
      </c>
      <c r="D18" s="726">
        <f t="shared" si="8"/>
        <v>100</v>
      </c>
      <c r="E18" s="687">
        <v>43443</v>
      </c>
      <c r="F18" s="635">
        <f t="shared" si="9"/>
        <v>100</v>
      </c>
      <c r="G18" s="365" t="s">
        <v>525</v>
      </c>
      <c r="H18" s="214">
        <v>30</v>
      </c>
      <c r="I18" s="160">
        <f t="shared" si="4"/>
        <v>800</v>
      </c>
      <c r="K18" s="2"/>
      <c r="L18" s="322">
        <v>10</v>
      </c>
      <c r="M18" s="20"/>
      <c r="N18" s="308">
        <f t="shared" si="6"/>
        <v>0</v>
      </c>
      <c r="O18" s="215"/>
      <c r="P18" s="109">
        <f t="shared" si="7"/>
        <v>0</v>
      </c>
      <c r="Q18" s="110"/>
      <c r="R18" s="111"/>
      <c r="S18" s="160">
        <f t="shared" si="5"/>
        <v>780</v>
      </c>
    </row>
    <row r="19" spans="1:19" x14ac:dyDescent="0.25">
      <c r="A19" s="2"/>
      <c r="B19" s="322">
        <v>10</v>
      </c>
      <c r="C19" s="20">
        <v>10</v>
      </c>
      <c r="D19" s="726">
        <f t="shared" si="8"/>
        <v>100</v>
      </c>
      <c r="E19" s="687">
        <v>43445</v>
      </c>
      <c r="F19" s="635">
        <f t="shared" si="9"/>
        <v>100</v>
      </c>
      <c r="G19" s="365" t="s">
        <v>526</v>
      </c>
      <c r="H19" s="214">
        <v>30</v>
      </c>
      <c r="I19" s="160">
        <f t="shared" si="4"/>
        <v>700</v>
      </c>
      <c r="K19" s="2"/>
      <c r="L19" s="322">
        <v>10</v>
      </c>
      <c r="M19" s="20"/>
      <c r="N19" s="308">
        <f t="shared" si="6"/>
        <v>0</v>
      </c>
      <c r="O19" s="215"/>
      <c r="P19" s="109">
        <f t="shared" si="7"/>
        <v>0</v>
      </c>
      <c r="Q19" s="110"/>
      <c r="R19" s="111"/>
      <c r="S19" s="160">
        <f t="shared" si="5"/>
        <v>780</v>
      </c>
    </row>
    <row r="20" spans="1:19" x14ac:dyDescent="0.25">
      <c r="A20" s="2"/>
      <c r="B20" s="322">
        <v>10</v>
      </c>
      <c r="C20" s="20">
        <v>3</v>
      </c>
      <c r="D20" s="726">
        <f t="shared" si="8"/>
        <v>30</v>
      </c>
      <c r="E20" s="687">
        <v>43447</v>
      </c>
      <c r="F20" s="635">
        <f t="shared" si="9"/>
        <v>30</v>
      </c>
      <c r="G20" s="365" t="s">
        <v>533</v>
      </c>
      <c r="H20" s="214">
        <v>30</v>
      </c>
      <c r="I20" s="160">
        <f t="shared" si="4"/>
        <v>670</v>
      </c>
      <c r="K20" s="2"/>
      <c r="L20" s="322">
        <v>10</v>
      </c>
      <c r="M20" s="20"/>
      <c r="N20" s="308">
        <f t="shared" si="6"/>
        <v>0</v>
      </c>
      <c r="O20" s="215"/>
      <c r="P20" s="109">
        <f t="shared" si="7"/>
        <v>0</v>
      </c>
      <c r="Q20" s="110"/>
      <c r="R20" s="111"/>
      <c r="S20" s="160">
        <f t="shared" si="5"/>
        <v>780</v>
      </c>
    </row>
    <row r="21" spans="1:19" x14ac:dyDescent="0.25">
      <c r="A21" s="2"/>
      <c r="B21" s="322">
        <v>10</v>
      </c>
      <c r="C21" s="20">
        <v>10</v>
      </c>
      <c r="D21" s="726">
        <f t="shared" si="8"/>
        <v>100</v>
      </c>
      <c r="E21" s="522">
        <v>43448</v>
      </c>
      <c r="F21" s="635">
        <f t="shared" si="9"/>
        <v>100</v>
      </c>
      <c r="G21" s="365" t="s">
        <v>548</v>
      </c>
      <c r="H21" s="214">
        <v>30</v>
      </c>
      <c r="I21" s="160">
        <f t="shared" si="4"/>
        <v>570</v>
      </c>
      <c r="K21" s="2"/>
      <c r="L21" s="322">
        <v>10</v>
      </c>
      <c r="M21" s="20"/>
      <c r="N21" s="308">
        <f t="shared" si="6"/>
        <v>0</v>
      </c>
      <c r="O21" s="168"/>
      <c r="P21" s="109">
        <f t="shared" si="7"/>
        <v>0</v>
      </c>
      <c r="Q21" s="110"/>
      <c r="R21" s="111"/>
      <c r="S21" s="160">
        <f t="shared" si="5"/>
        <v>780</v>
      </c>
    </row>
    <row r="22" spans="1:19" x14ac:dyDescent="0.25">
      <c r="A22" s="2"/>
      <c r="B22" s="322">
        <v>10</v>
      </c>
      <c r="C22" s="20">
        <v>10</v>
      </c>
      <c r="D22" s="726">
        <f t="shared" si="8"/>
        <v>100</v>
      </c>
      <c r="E22" s="522">
        <v>43449</v>
      </c>
      <c r="F22" s="635">
        <f t="shared" si="9"/>
        <v>100</v>
      </c>
      <c r="G22" s="365" t="s">
        <v>556</v>
      </c>
      <c r="H22" s="214">
        <v>30</v>
      </c>
      <c r="I22" s="160">
        <f t="shared" si="4"/>
        <v>470</v>
      </c>
      <c r="K22" s="2"/>
      <c r="L22" s="322">
        <v>10</v>
      </c>
      <c r="M22" s="20"/>
      <c r="N22" s="308">
        <f t="shared" si="6"/>
        <v>0</v>
      </c>
      <c r="O22" s="168"/>
      <c r="P22" s="109">
        <f t="shared" si="7"/>
        <v>0</v>
      </c>
      <c r="Q22" s="110"/>
      <c r="R22" s="111"/>
      <c r="S22" s="160">
        <f t="shared" si="5"/>
        <v>780</v>
      </c>
    </row>
    <row r="23" spans="1:19" x14ac:dyDescent="0.25">
      <c r="A23" s="2"/>
      <c r="B23" s="322">
        <v>10</v>
      </c>
      <c r="C23" s="20">
        <v>10</v>
      </c>
      <c r="D23" s="726">
        <f t="shared" si="8"/>
        <v>100</v>
      </c>
      <c r="E23" s="522">
        <v>43452</v>
      </c>
      <c r="F23" s="635">
        <f t="shared" si="9"/>
        <v>100</v>
      </c>
      <c r="G23" s="365" t="s">
        <v>572</v>
      </c>
      <c r="H23" s="214">
        <v>30</v>
      </c>
      <c r="I23" s="160">
        <f t="shared" si="4"/>
        <v>370</v>
      </c>
      <c r="K23" s="2"/>
      <c r="L23" s="322">
        <v>10</v>
      </c>
      <c r="M23" s="20"/>
      <c r="N23" s="308">
        <f t="shared" si="6"/>
        <v>0</v>
      </c>
      <c r="O23" s="168"/>
      <c r="P23" s="109">
        <f t="shared" si="7"/>
        <v>0</v>
      </c>
      <c r="Q23" s="110"/>
      <c r="R23" s="111"/>
      <c r="S23" s="160">
        <f t="shared" si="5"/>
        <v>780</v>
      </c>
    </row>
    <row r="24" spans="1:19" x14ac:dyDescent="0.25">
      <c r="A24" s="2"/>
      <c r="B24" s="322">
        <v>10</v>
      </c>
      <c r="C24" s="20">
        <v>10</v>
      </c>
      <c r="D24" s="726">
        <f t="shared" si="8"/>
        <v>100</v>
      </c>
      <c r="E24" s="522">
        <v>43453</v>
      </c>
      <c r="F24" s="635">
        <f t="shared" si="9"/>
        <v>100</v>
      </c>
      <c r="G24" s="365" t="s">
        <v>585</v>
      </c>
      <c r="H24" s="214">
        <v>30</v>
      </c>
      <c r="I24" s="160">
        <f t="shared" si="4"/>
        <v>270</v>
      </c>
      <c r="K24" s="2"/>
      <c r="L24" s="322">
        <v>10</v>
      </c>
      <c r="M24" s="20"/>
      <c r="N24" s="308">
        <f t="shared" si="6"/>
        <v>0</v>
      </c>
      <c r="O24" s="168"/>
      <c r="P24" s="109">
        <f t="shared" si="7"/>
        <v>0</v>
      </c>
      <c r="Q24" s="110"/>
      <c r="R24" s="111"/>
      <c r="S24" s="160">
        <f t="shared" si="5"/>
        <v>780</v>
      </c>
    </row>
    <row r="25" spans="1:19" x14ac:dyDescent="0.25">
      <c r="A25" s="2"/>
      <c r="B25" s="322">
        <v>10</v>
      </c>
      <c r="C25" s="20"/>
      <c r="D25" s="726">
        <f t="shared" si="8"/>
        <v>0</v>
      </c>
      <c r="E25" s="687"/>
      <c r="F25" s="635">
        <f t="shared" si="9"/>
        <v>0</v>
      </c>
      <c r="G25" s="783"/>
      <c r="H25" s="784"/>
      <c r="I25" s="160">
        <f t="shared" si="4"/>
        <v>270</v>
      </c>
      <c r="K25" s="2"/>
      <c r="L25" s="322">
        <v>10</v>
      </c>
      <c r="M25" s="20"/>
      <c r="N25" s="308">
        <f t="shared" si="6"/>
        <v>0</v>
      </c>
      <c r="O25" s="215"/>
      <c r="P25" s="109">
        <f t="shared" si="7"/>
        <v>0</v>
      </c>
      <c r="Q25" s="110"/>
      <c r="R25" s="111"/>
      <c r="S25" s="160">
        <f t="shared" si="5"/>
        <v>780</v>
      </c>
    </row>
    <row r="26" spans="1:19" x14ac:dyDescent="0.25">
      <c r="A26" s="2"/>
      <c r="B26" s="322">
        <v>10</v>
      </c>
      <c r="C26" s="20"/>
      <c r="D26" s="726">
        <f t="shared" si="8"/>
        <v>0</v>
      </c>
      <c r="E26" s="687"/>
      <c r="F26" s="635">
        <f t="shared" si="9"/>
        <v>0</v>
      </c>
      <c r="G26" s="783"/>
      <c r="H26" s="784"/>
      <c r="I26" s="160">
        <f t="shared" si="4"/>
        <v>270</v>
      </c>
      <c r="K26" s="2"/>
      <c r="L26" s="322">
        <v>10</v>
      </c>
      <c r="M26" s="20"/>
      <c r="N26" s="308">
        <f t="shared" si="6"/>
        <v>0</v>
      </c>
      <c r="O26" s="215"/>
      <c r="P26" s="109">
        <f t="shared" si="7"/>
        <v>0</v>
      </c>
      <c r="Q26" s="110"/>
      <c r="R26" s="111"/>
      <c r="S26" s="160">
        <f t="shared" si="5"/>
        <v>780</v>
      </c>
    </row>
    <row r="27" spans="1:19" x14ac:dyDescent="0.25">
      <c r="A27" s="2"/>
      <c r="B27" s="322">
        <v>10</v>
      </c>
      <c r="C27" s="20"/>
      <c r="D27" s="726">
        <f t="shared" si="8"/>
        <v>0</v>
      </c>
      <c r="E27" s="687"/>
      <c r="F27" s="635">
        <f t="shared" si="9"/>
        <v>0</v>
      </c>
      <c r="G27" s="783"/>
      <c r="H27" s="784"/>
      <c r="I27" s="160">
        <f t="shared" si="4"/>
        <v>270</v>
      </c>
      <c r="K27" s="2"/>
      <c r="L27" s="322">
        <v>10</v>
      </c>
      <c r="M27" s="20"/>
      <c r="N27" s="308">
        <f t="shared" si="6"/>
        <v>0</v>
      </c>
      <c r="O27" s="215"/>
      <c r="P27" s="109">
        <f t="shared" si="7"/>
        <v>0</v>
      </c>
      <c r="Q27" s="110"/>
      <c r="R27" s="111"/>
      <c r="S27" s="160">
        <f t="shared" si="5"/>
        <v>780</v>
      </c>
    </row>
    <row r="28" spans="1:19" x14ac:dyDescent="0.25">
      <c r="A28" s="2"/>
      <c r="B28" s="322">
        <v>10</v>
      </c>
      <c r="C28" s="20">
        <v>27</v>
      </c>
      <c r="D28" s="726">
        <f t="shared" si="8"/>
        <v>270</v>
      </c>
      <c r="E28" s="687"/>
      <c r="F28" s="635">
        <f t="shared" si="9"/>
        <v>270</v>
      </c>
      <c r="G28" s="783"/>
      <c r="H28" s="784"/>
      <c r="I28" s="160">
        <f t="shared" si="4"/>
        <v>0</v>
      </c>
      <c r="K28" s="2"/>
      <c r="L28" s="322">
        <v>10</v>
      </c>
      <c r="M28" s="20"/>
      <c r="N28" s="308">
        <f t="shared" si="6"/>
        <v>0</v>
      </c>
      <c r="O28" s="215"/>
      <c r="P28" s="109">
        <f t="shared" si="7"/>
        <v>0</v>
      </c>
      <c r="Q28" s="110"/>
      <c r="R28" s="111"/>
      <c r="S28" s="160">
        <f t="shared" si="5"/>
        <v>780</v>
      </c>
    </row>
    <row r="29" spans="1:19" x14ac:dyDescent="0.25">
      <c r="A29" s="2"/>
      <c r="B29" s="322">
        <v>10</v>
      </c>
      <c r="C29" s="20"/>
      <c r="D29" s="726">
        <f t="shared" si="8"/>
        <v>0</v>
      </c>
      <c r="E29" s="687"/>
      <c r="F29" s="635">
        <f t="shared" si="9"/>
        <v>0</v>
      </c>
      <c r="G29" s="783"/>
      <c r="H29" s="784"/>
      <c r="I29" s="160">
        <f t="shared" si="4"/>
        <v>0</v>
      </c>
      <c r="K29" s="2"/>
      <c r="L29" s="322">
        <v>10</v>
      </c>
      <c r="M29" s="20"/>
      <c r="N29" s="308">
        <f t="shared" si="6"/>
        <v>0</v>
      </c>
      <c r="O29" s="215"/>
      <c r="P29" s="109">
        <f t="shared" si="7"/>
        <v>0</v>
      </c>
      <c r="Q29" s="110"/>
      <c r="R29" s="111"/>
      <c r="S29" s="160">
        <f t="shared" si="5"/>
        <v>780</v>
      </c>
    </row>
    <row r="30" spans="1:19" x14ac:dyDescent="0.25">
      <c r="A30" s="2"/>
      <c r="B30" s="322">
        <v>10</v>
      </c>
      <c r="C30" s="20"/>
      <c r="D30" s="726">
        <f t="shared" si="8"/>
        <v>0</v>
      </c>
      <c r="E30" s="687"/>
      <c r="F30" s="635">
        <f t="shared" si="9"/>
        <v>0</v>
      </c>
      <c r="G30" s="783"/>
      <c r="H30" s="784"/>
      <c r="I30" s="160">
        <f t="shared" si="4"/>
        <v>0</v>
      </c>
      <c r="K30" s="2"/>
      <c r="L30" s="322">
        <v>10</v>
      </c>
      <c r="M30" s="20"/>
      <c r="N30" s="308">
        <f t="shared" si="6"/>
        <v>0</v>
      </c>
      <c r="O30" s="215"/>
      <c r="P30" s="109">
        <f t="shared" si="7"/>
        <v>0</v>
      </c>
      <c r="Q30" s="110"/>
      <c r="R30" s="111"/>
      <c r="S30" s="160">
        <f t="shared" si="5"/>
        <v>780</v>
      </c>
    </row>
    <row r="31" spans="1:19" x14ac:dyDescent="0.25">
      <c r="A31" s="2"/>
      <c r="B31" s="322">
        <v>10</v>
      </c>
      <c r="C31" s="20"/>
      <c r="D31" s="726">
        <f t="shared" si="8"/>
        <v>0</v>
      </c>
      <c r="E31" s="687"/>
      <c r="F31" s="635">
        <f t="shared" si="9"/>
        <v>0</v>
      </c>
      <c r="G31" s="365"/>
      <c r="H31" s="214"/>
      <c r="I31" s="160">
        <f t="shared" si="4"/>
        <v>0</v>
      </c>
      <c r="K31" s="2"/>
      <c r="L31" s="322">
        <v>10</v>
      </c>
      <c r="M31" s="20"/>
      <c r="N31" s="308">
        <f t="shared" si="6"/>
        <v>0</v>
      </c>
      <c r="O31" s="215"/>
      <c r="P31" s="109">
        <f t="shared" si="7"/>
        <v>0</v>
      </c>
      <c r="Q31" s="110"/>
      <c r="R31" s="111"/>
      <c r="S31" s="160">
        <f t="shared" si="5"/>
        <v>780</v>
      </c>
    </row>
    <row r="32" spans="1:19" x14ac:dyDescent="0.25">
      <c r="A32" s="2"/>
      <c r="B32" s="322">
        <v>10</v>
      </c>
      <c r="C32" s="20"/>
      <c r="D32" s="726">
        <f t="shared" si="8"/>
        <v>0</v>
      </c>
      <c r="E32" s="720"/>
      <c r="F32" s="635">
        <f t="shared" si="9"/>
        <v>0</v>
      </c>
      <c r="G32" s="365"/>
      <c r="H32" s="214"/>
      <c r="I32" s="160">
        <f t="shared" si="4"/>
        <v>0</v>
      </c>
      <c r="K32" s="2"/>
      <c r="L32" s="322">
        <v>10</v>
      </c>
      <c r="M32" s="20"/>
      <c r="N32" s="308">
        <f t="shared" si="6"/>
        <v>0</v>
      </c>
      <c r="O32" s="158"/>
      <c r="P32" s="109">
        <f t="shared" si="7"/>
        <v>0</v>
      </c>
      <c r="Q32" s="110"/>
      <c r="R32" s="111"/>
      <c r="S32" s="160">
        <f t="shared" si="5"/>
        <v>780</v>
      </c>
    </row>
    <row r="33" spans="1:19" x14ac:dyDescent="0.25">
      <c r="A33" s="2"/>
      <c r="B33" s="322">
        <v>10</v>
      </c>
      <c r="C33" s="20"/>
      <c r="D33" s="308">
        <f t="shared" si="8"/>
        <v>0</v>
      </c>
      <c r="E33" s="158"/>
      <c r="F33" s="109">
        <f t="shared" si="9"/>
        <v>0</v>
      </c>
      <c r="G33" s="110"/>
      <c r="H33" s="111"/>
      <c r="I33" s="160">
        <f t="shared" si="4"/>
        <v>0</v>
      </c>
      <c r="K33" s="2"/>
      <c r="L33" s="322">
        <v>10</v>
      </c>
      <c r="M33" s="20"/>
      <c r="N33" s="308">
        <f t="shared" si="6"/>
        <v>0</v>
      </c>
      <c r="O33" s="158"/>
      <c r="P33" s="109">
        <f t="shared" si="7"/>
        <v>0</v>
      </c>
      <c r="Q33" s="110"/>
      <c r="R33" s="111"/>
      <c r="S33" s="160">
        <f t="shared" si="5"/>
        <v>780</v>
      </c>
    </row>
    <row r="34" spans="1:19" x14ac:dyDescent="0.25">
      <c r="A34" s="2"/>
      <c r="B34" s="322">
        <v>10</v>
      </c>
      <c r="C34" s="20"/>
      <c r="D34" s="308">
        <f t="shared" si="8"/>
        <v>0</v>
      </c>
      <c r="E34" s="158"/>
      <c r="F34" s="109">
        <f t="shared" si="9"/>
        <v>0</v>
      </c>
      <c r="G34" s="110"/>
      <c r="H34" s="111"/>
      <c r="I34" s="160">
        <f t="shared" si="4"/>
        <v>0</v>
      </c>
      <c r="K34" s="2"/>
      <c r="L34" s="322">
        <v>10</v>
      </c>
      <c r="M34" s="20"/>
      <c r="N34" s="308">
        <f t="shared" si="6"/>
        <v>0</v>
      </c>
      <c r="O34" s="158"/>
      <c r="P34" s="109">
        <f t="shared" si="7"/>
        <v>0</v>
      </c>
      <c r="Q34" s="110"/>
      <c r="R34" s="111"/>
      <c r="S34" s="160">
        <f t="shared" si="5"/>
        <v>780</v>
      </c>
    </row>
    <row r="35" spans="1:19" x14ac:dyDescent="0.25">
      <c r="A35" s="2"/>
      <c r="B35" s="322">
        <v>10</v>
      </c>
      <c r="C35" s="20"/>
      <c r="D35" s="308">
        <f t="shared" si="8"/>
        <v>0</v>
      </c>
      <c r="E35" s="158"/>
      <c r="F35" s="109">
        <f t="shared" si="9"/>
        <v>0</v>
      </c>
      <c r="G35" s="110"/>
      <c r="H35" s="111"/>
      <c r="I35" s="160">
        <f t="shared" si="4"/>
        <v>0</v>
      </c>
      <c r="K35" s="2"/>
      <c r="L35" s="322">
        <v>10</v>
      </c>
      <c r="M35" s="20"/>
      <c r="N35" s="308">
        <f t="shared" si="6"/>
        <v>0</v>
      </c>
      <c r="O35" s="158"/>
      <c r="P35" s="109">
        <f t="shared" si="7"/>
        <v>0</v>
      </c>
      <c r="Q35" s="110"/>
      <c r="R35" s="111"/>
      <c r="S35" s="160">
        <f t="shared" si="5"/>
        <v>780</v>
      </c>
    </row>
    <row r="36" spans="1:19" x14ac:dyDescent="0.25">
      <c r="A36" s="2"/>
      <c r="B36" s="322">
        <v>10</v>
      </c>
      <c r="C36" s="20"/>
      <c r="D36" s="308">
        <f t="shared" si="8"/>
        <v>0</v>
      </c>
      <c r="E36" s="158"/>
      <c r="F36" s="109">
        <f t="shared" si="9"/>
        <v>0</v>
      </c>
      <c r="G36" s="110"/>
      <c r="H36" s="111"/>
      <c r="I36" s="160">
        <f t="shared" si="4"/>
        <v>0</v>
      </c>
      <c r="K36" s="2"/>
      <c r="L36" s="322">
        <v>10</v>
      </c>
      <c r="M36" s="20"/>
      <c r="N36" s="308">
        <f t="shared" si="6"/>
        <v>0</v>
      </c>
      <c r="O36" s="158"/>
      <c r="P36" s="109">
        <f t="shared" si="7"/>
        <v>0</v>
      </c>
      <c r="Q36" s="110"/>
      <c r="R36" s="111"/>
      <c r="S36" s="160">
        <f t="shared" si="5"/>
        <v>780</v>
      </c>
    </row>
    <row r="37" spans="1:19" x14ac:dyDescent="0.25">
      <c r="A37" s="2"/>
      <c r="B37" s="322">
        <v>10</v>
      </c>
      <c r="C37" s="20"/>
      <c r="D37" s="308">
        <f t="shared" si="8"/>
        <v>0</v>
      </c>
      <c r="E37" s="158"/>
      <c r="F37" s="109">
        <f t="shared" si="9"/>
        <v>0</v>
      </c>
      <c r="G37" s="110"/>
      <c r="H37" s="111"/>
      <c r="I37" s="160">
        <f t="shared" si="4"/>
        <v>0</v>
      </c>
      <c r="K37" s="2"/>
      <c r="L37" s="322">
        <v>10</v>
      </c>
      <c r="M37" s="20"/>
      <c r="N37" s="308">
        <f t="shared" si="6"/>
        <v>0</v>
      </c>
      <c r="O37" s="158"/>
      <c r="P37" s="109">
        <f t="shared" si="7"/>
        <v>0</v>
      </c>
      <c r="Q37" s="110"/>
      <c r="R37" s="111"/>
      <c r="S37" s="160">
        <f t="shared" si="5"/>
        <v>780</v>
      </c>
    </row>
    <row r="38" spans="1:19" x14ac:dyDescent="0.25">
      <c r="A38" s="2"/>
      <c r="B38" s="322">
        <v>10</v>
      </c>
      <c r="C38" s="20"/>
      <c r="D38" s="308">
        <f t="shared" si="8"/>
        <v>0</v>
      </c>
      <c r="E38" s="158"/>
      <c r="F38" s="109">
        <f t="shared" si="9"/>
        <v>0</v>
      </c>
      <c r="G38" s="110"/>
      <c r="H38" s="111"/>
      <c r="I38" s="160">
        <f t="shared" si="4"/>
        <v>0</v>
      </c>
      <c r="K38" s="2"/>
      <c r="L38" s="322">
        <v>10</v>
      </c>
      <c r="M38" s="20"/>
      <c r="N38" s="308">
        <f t="shared" si="6"/>
        <v>0</v>
      </c>
      <c r="O38" s="158"/>
      <c r="P38" s="109">
        <f t="shared" si="7"/>
        <v>0</v>
      </c>
      <c r="Q38" s="110"/>
      <c r="R38" s="111"/>
      <c r="S38" s="160">
        <f t="shared" si="5"/>
        <v>780</v>
      </c>
    </row>
    <row r="39" spans="1:19" x14ac:dyDescent="0.25">
      <c r="A39" s="2"/>
      <c r="B39" s="322">
        <v>10</v>
      </c>
      <c r="C39" s="20"/>
      <c r="D39" s="308">
        <f t="shared" si="8"/>
        <v>0</v>
      </c>
      <c r="E39" s="158"/>
      <c r="F39" s="109">
        <f t="shared" si="9"/>
        <v>0</v>
      </c>
      <c r="G39" s="110"/>
      <c r="H39" s="111"/>
      <c r="I39" s="160">
        <f t="shared" si="4"/>
        <v>0</v>
      </c>
      <c r="K39" s="2"/>
      <c r="L39" s="322">
        <v>10</v>
      </c>
      <c r="M39" s="20"/>
      <c r="N39" s="308">
        <f t="shared" si="6"/>
        <v>0</v>
      </c>
      <c r="O39" s="158"/>
      <c r="P39" s="109">
        <f t="shared" si="7"/>
        <v>0</v>
      </c>
      <c r="Q39" s="110"/>
      <c r="R39" s="111"/>
      <c r="S39" s="160">
        <f t="shared" si="5"/>
        <v>780</v>
      </c>
    </row>
    <row r="40" spans="1:19" x14ac:dyDescent="0.25">
      <c r="A40" s="2"/>
      <c r="B40" s="322">
        <v>10</v>
      </c>
      <c r="C40" s="20"/>
      <c r="D40" s="308">
        <f t="shared" si="8"/>
        <v>0</v>
      </c>
      <c r="E40" s="158"/>
      <c r="F40" s="109">
        <f t="shared" si="9"/>
        <v>0</v>
      </c>
      <c r="G40" s="110"/>
      <c r="H40" s="111"/>
      <c r="I40" s="160">
        <f t="shared" si="4"/>
        <v>0</v>
      </c>
      <c r="K40" s="2"/>
      <c r="L40" s="322">
        <v>10</v>
      </c>
      <c r="M40" s="20"/>
      <c r="N40" s="308">
        <f t="shared" si="6"/>
        <v>0</v>
      </c>
      <c r="O40" s="158"/>
      <c r="P40" s="109">
        <f t="shared" si="7"/>
        <v>0</v>
      </c>
      <c r="Q40" s="110"/>
      <c r="R40" s="111"/>
      <c r="S40" s="160">
        <f t="shared" si="5"/>
        <v>780</v>
      </c>
    </row>
    <row r="41" spans="1:19" x14ac:dyDescent="0.25">
      <c r="A41" s="2"/>
      <c r="B41" s="322">
        <v>10</v>
      </c>
      <c r="C41" s="20"/>
      <c r="D41" s="308">
        <f t="shared" si="8"/>
        <v>0</v>
      </c>
      <c r="E41" s="158"/>
      <c r="F41" s="109">
        <f t="shared" si="9"/>
        <v>0</v>
      </c>
      <c r="G41" s="110"/>
      <c r="H41" s="111"/>
      <c r="I41" s="160">
        <f t="shared" si="4"/>
        <v>0</v>
      </c>
      <c r="K41" s="2"/>
      <c r="L41" s="322">
        <v>10</v>
      </c>
      <c r="M41" s="20"/>
      <c r="N41" s="308">
        <f t="shared" si="6"/>
        <v>0</v>
      </c>
      <c r="O41" s="158"/>
      <c r="P41" s="109">
        <f t="shared" si="7"/>
        <v>0</v>
      </c>
      <c r="Q41" s="110"/>
      <c r="R41" s="111"/>
      <c r="S41" s="160">
        <f t="shared" si="5"/>
        <v>780</v>
      </c>
    </row>
    <row r="42" spans="1:19" x14ac:dyDescent="0.25">
      <c r="A42" s="2"/>
      <c r="B42" s="322">
        <v>10</v>
      </c>
      <c r="C42" s="20"/>
      <c r="D42" s="308">
        <f t="shared" si="8"/>
        <v>0</v>
      </c>
      <c r="E42" s="158"/>
      <c r="F42" s="109">
        <f t="shared" si="9"/>
        <v>0</v>
      </c>
      <c r="G42" s="110"/>
      <c r="H42" s="111"/>
      <c r="I42" s="160">
        <f t="shared" si="4"/>
        <v>0</v>
      </c>
      <c r="K42" s="2"/>
      <c r="L42" s="322">
        <v>10</v>
      </c>
      <c r="M42" s="20"/>
      <c r="N42" s="308">
        <f t="shared" si="6"/>
        <v>0</v>
      </c>
      <c r="O42" s="158"/>
      <c r="P42" s="109">
        <f t="shared" si="7"/>
        <v>0</v>
      </c>
      <c r="Q42" s="110"/>
      <c r="R42" s="111"/>
      <c r="S42" s="160">
        <f t="shared" si="5"/>
        <v>780</v>
      </c>
    </row>
    <row r="43" spans="1:19" x14ac:dyDescent="0.25">
      <c r="A43" s="2"/>
      <c r="B43" s="322">
        <v>10</v>
      </c>
      <c r="C43" s="20"/>
      <c r="D43" s="308">
        <f t="shared" si="8"/>
        <v>0</v>
      </c>
      <c r="E43" s="158"/>
      <c r="F43" s="109">
        <f t="shared" si="9"/>
        <v>0</v>
      </c>
      <c r="G43" s="110"/>
      <c r="H43" s="111"/>
      <c r="I43" s="160">
        <f t="shared" si="4"/>
        <v>0</v>
      </c>
      <c r="K43" s="2"/>
      <c r="L43" s="322">
        <v>10</v>
      </c>
      <c r="M43" s="20"/>
      <c r="N43" s="308">
        <f t="shared" si="6"/>
        <v>0</v>
      </c>
      <c r="O43" s="158"/>
      <c r="P43" s="109">
        <f t="shared" si="7"/>
        <v>0</v>
      </c>
      <c r="Q43" s="110"/>
      <c r="R43" s="111"/>
      <c r="S43" s="160">
        <f t="shared" si="5"/>
        <v>780</v>
      </c>
    </row>
    <row r="44" spans="1:19" x14ac:dyDescent="0.25">
      <c r="A44" s="2"/>
      <c r="B44" s="322">
        <v>10</v>
      </c>
      <c r="C44" s="20"/>
      <c r="D44" s="308">
        <f t="shared" si="8"/>
        <v>0</v>
      </c>
      <c r="E44" s="158"/>
      <c r="F44" s="109">
        <f t="shared" si="9"/>
        <v>0</v>
      </c>
      <c r="G44" s="110"/>
      <c r="H44" s="111"/>
      <c r="I44" s="160">
        <f t="shared" si="4"/>
        <v>0</v>
      </c>
      <c r="K44" s="2"/>
      <c r="L44" s="322">
        <v>10</v>
      </c>
      <c r="M44" s="20"/>
      <c r="N44" s="308">
        <f t="shared" si="6"/>
        <v>0</v>
      </c>
      <c r="O44" s="158"/>
      <c r="P44" s="109">
        <f t="shared" si="7"/>
        <v>0</v>
      </c>
      <c r="Q44" s="110"/>
      <c r="R44" s="111"/>
      <c r="S44" s="160">
        <f t="shared" si="5"/>
        <v>780</v>
      </c>
    </row>
    <row r="45" spans="1:19" x14ac:dyDescent="0.25">
      <c r="A45" s="2"/>
      <c r="B45" s="322">
        <v>10</v>
      </c>
      <c r="C45" s="20"/>
      <c r="D45" s="308">
        <f t="shared" si="8"/>
        <v>0</v>
      </c>
      <c r="E45" s="158"/>
      <c r="F45" s="109">
        <f t="shared" si="9"/>
        <v>0</v>
      </c>
      <c r="G45" s="110"/>
      <c r="H45" s="111"/>
      <c r="I45" s="160">
        <f t="shared" si="4"/>
        <v>0</v>
      </c>
      <c r="K45" s="2"/>
      <c r="L45" s="322">
        <v>10</v>
      </c>
      <c r="M45" s="20"/>
      <c r="N45" s="308">
        <f t="shared" si="6"/>
        <v>0</v>
      </c>
      <c r="O45" s="158"/>
      <c r="P45" s="109">
        <f t="shared" si="7"/>
        <v>0</v>
      </c>
      <c r="Q45" s="110"/>
      <c r="R45" s="111"/>
      <c r="S45" s="160">
        <f t="shared" si="5"/>
        <v>780</v>
      </c>
    </row>
    <row r="46" spans="1:19" x14ac:dyDescent="0.25">
      <c r="A46" s="2"/>
      <c r="B46" s="322">
        <v>10</v>
      </c>
      <c r="C46" s="20"/>
      <c r="D46" s="308">
        <f t="shared" si="8"/>
        <v>0</v>
      </c>
      <c r="E46" s="158"/>
      <c r="F46" s="109">
        <f t="shared" si="9"/>
        <v>0</v>
      </c>
      <c r="G46" s="110"/>
      <c r="H46" s="111"/>
      <c r="I46" s="160">
        <f t="shared" si="4"/>
        <v>0</v>
      </c>
      <c r="K46" s="2"/>
      <c r="L46" s="322">
        <v>10</v>
      </c>
      <c r="M46" s="20"/>
      <c r="N46" s="308">
        <f t="shared" si="6"/>
        <v>0</v>
      </c>
      <c r="O46" s="158"/>
      <c r="P46" s="109">
        <f t="shared" si="7"/>
        <v>0</v>
      </c>
      <c r="Q46" s="110"/>
      <c r="R46" s="111"/>
      <c r="S46" s="160">
        <f t="shared" si="5"/>
        <v>780</v>
      </c>
    </row>
    <row r="47" spans="1:19" x14ac:dyDescent="0.25">
      <c r="A47" s="2"/>
      <c r="B47" s="322">
        <v>10</v>
      </c>
      <c r="C47" s="20"/>
      <c r="D47" s="308">
        <f t="shared" si="8"/>
        <v>0</v>
      </c>
      <c r="E47" s="158"/>
      <c r="F47" s="109">
        <f t="shared" si="9"/>
        <v>0</v>
      </c>
      <c r="G47" s="110"/>
      <c r="H47" s="111"/>
      <c r="I47" s="160">
        <f t="shared" si="4"/>
        <v>0</v>
      </c>
      <c r="K47" s="2"/>
      <c r="L47" s="322">
        <v>10</v>
      </c>
      <c r="M47" s="20"/>
      <c r="N47" s="308">
        <f t="shared" si="6"/>
        <v>0</v>
      </c>
      <c r="O47" s="158"/>
      <c r="P47" s="109">
        <f t="shared" si="7"/>
        <v>0</v>
      </c>
      <c r="Q47" s="110"/>
      <c r="R47" s="111"/>
      <c r="S47" s="160">
        <f t="shared" si="5"/>
        <v>780</v>
      </c>
    </row>
    <row r="48" spans="1:19" x14ac:dyDescent="0.25">
      <c r="A48" s="2"/>
      <c r="B48" s="322">
        <v>10</v>
      </c>
      <c r="C48" s="20"/>
      <c r="D48" s="308">
        <f t="shared" si="8"/>
        <v>0</v>
      </c>
      <c r="E48" s="158"/>
      <c r="F48" s="109">
        <f t="shared" si="9"/>
        <v>0</v>
      </c>
      <c r="G48" s="110"/>
      <c r="H48" s="111"/>
      <c r="I48" s="160">
        <f t="shared" si="4"/>
        <v>0</v>
      </c>
      <c r="K48" s="2"/>
      <c r="L48" s="322">
        <v>10</v>
      </c>
      <c r="M48" s="20"/>
      <c r="N48" s="308">
        <f t="shared" si="6"/>
        <v>0</v>
      </c>
      <c r="O48" s="158"/>
      <c r="P48" s="109">
        <f t="shared" si="7"/>
        <v>0</v>
      </c>
      <c r="Q48" s="110"/>
      <c r="R48" s="111"/>
      <c r="S48" s="160">
        <f t="shared" si="5"/>
        <v>780</v>
      </c>
    </row>
    <row r="49" spans="1:19" x14ac:dyDescent="0.25">
      <c r="A49" s="2"/>
      <c r="B49" s="322">
        <v>10</v>
      </c>
      <c r="C49" s="20"/>
      <c r="D49" s="308">
        <f t="shared" si="8"/>
        <v>0</v>
      </c>
      <c r="E49" s="158"/>
      <c r="F49" s="109">
        <f t="shared" si="9"/>
        <v>0</v>
      </c>
      <c r="G49" s="110"/>
      <c r="H49" s="111"/>
      <c r="I49" s="160">
        <f t="shared" si="4"/>
        <v>0</v>
      </c>
      <c r="K49" s="2"/>
      <c r="L49" s="322">
        <v>10</v>
      </c>
      <c r="M49" s="20"/>
      <c r="N49" s="308">
        <f t="shared" si="6"/>
        <v>0</v>
      </c>
      <c r="O49" s="158"/>
      <c r="P49" s="109">
        <f t="shared" si="7"/>
        <v>0</v>
      </c>
      <c r="Q49" s="110"/>
      <c r="R49" s="111"/>
      <c r="S49" s="160">
        <f t="shared" si="5"/>
        <v>780</v>
      </c>
    </row>
    <row r="50" spans="1:19" x14ac:dyDescent="0.25">
      <c r="A50" s="2"/>
      <c r="B50" s="322">
        <v>10</v>
      </c>
      <c r="C50" s="20"/>
      <c r="D50" s="308">
        <f t="shared" si="8"/>
        <v>0</v>
      </c>
      <c r="E50" s="158"/>
      <c r="F50" s="109">
        <f t="shared" si="9"/>
        <v>0</v>
      </c>
      <c r="G50" s="110"/>
      <c r="H50" s="111"/>
      <c r="I50" s="160">
        <f t="shared" si="4"/>
        <v>0</v>
      </c>
      <c r="K50" s="2"/>
      <c r="L50" s="322">
        <v>10</v>
      </c>
      <c r="M50" s="20"/>
      <c r="N50" s="308">
        <f t="shared" si="6"/>
        <v>0</v>
      </c>
      <c r="O50" s="158"/>
      <c r="P50" s="109">
        <f t="shared" si="7"/>
        <v>0</v>
      </c>
      <c r="Q50" s="110"/>
      <c r="R50" s="111"/>
      <c r="S50" s="160">
        <f t="shared" si="5"/>
        <v>780</v>
      </c>
    </row>
    <row r="51" spans="1:19" x14ac:dyDescent="0.25">
      <c r="A51" s="2"/>
      <c r="B51" s="322">
        <v>10</v>
      </c>
      <c r="C51" s="20"/>
      <c r="D51" s="308">
        <f t="shared" si="8"/>
        <v>0</v>
      </c>
      <c r="E51" s="158"/>
      <c r="F51" s="109">
        <f t="shared" si="9"/>
        <v>0</v>
      </c>
      <c r="G51" s="110"/>
      <c r="H51" s="111"/>
      <c r="I51" s="160">
        <f t="shared" si="4"/>
        <v>0</v>
      </c>
      <c r="K51" s="2"/>
      <c r="L51" s="322">
        <v>10</v>
      </c>
      <c r="M51" s="20"/>
      <c r="N51" s="308">
        <f t="shared" si="6"/>
        <v>0</v>
      </c>
      <c r="O51" s="158"/>
      <c r="P51" s="109">
        <f t="shared" si="7"/>
        <v>0</v>
      </c>
      <c r="Q51" s="110"/>
      <c r="R51" s="111"/>
      <c r="S51" s="160">
        <f t="shared" si="5"/>
        <v>780</v>
      </c>
    </row>
    <row r="52" spans="1:19" x14ac:dyDescent="0.25">
      <c r="A52" s="2"/>
      <c r="B52" s="322">
        <v>10</v>
      </c>
      <c r="C52" s="20"/>
      <c r="D52" s="308">
        <f t="shared" si="8"/>
        <v>0</v>
      </c>
      <c r="E52" s="158"/>
      <c r="F52" s="109">
        <f t="shared" si="9"/>
        <v>0</v>
      </c>
      <c r="G52" s="110"/>
      <c r="H52" s="111"/>
      <c r="K52" s="2"/>
      <c r="L52" s="322">
        <v>10</v>
      </c>
      <c r="M52" s="20"/>
      <c r="N52" s="308">
        <f t="shared" si="6"/>
        <v>0</v>
      </c>
      <c r="O52" s="158"/>
      <c r="P52" s="109">
        <f t="shared" si="7"/>
        <v>0</v>
      </c>
      <c r="Q52" s="110"/>
      <c r="R52" s="111"/>
    </row>
    <row r="53" spans="1:19" x14ac:dyDescent="0.25">
      <c r="A53" s="2"/>
      <c r="B53" s="322">
        <v>10</v>
      </c>
      <c r="C53" s="20"/>
      <c r="D53" s="308">
        <f t="shared" si="8"/>
        <v>0</v>
      </c>
      <c r="E53" s="158"/>
      <c r="F53" s="109">
        <f t="shared" si="9"/>
        <v>0</v>
      </c>
      <c r="G53" s="110"/>
      <c r="H53" s="111"/>
      <c r="K53" s="2"/>
      <c r="L53" s="322">
        <v>10</v>
      </c>
      <c r="M53" s="20"/>
      <c r="N53" s="308">
        <f t="shared" si="6"/>
        <v>0</v>
      </c>
      <c r="O53" s="158"/>
      <c r="P53" s="109">
        <f t="shared" si="7"/>
        <v>0</v>
      </c>
      <c r="Q53" s="110"/>
      <c r="R53" s="111"/>
    </row>
    <row r="54" spans="1:19" x14ac:dyDescent="0.25">
      <c r="A54" s="2"/>
      <c r="B54" s="322">
        <v>10</v>
      </c>
      <c r="C54" s="20"/>
      <c r="D54" s="308">
        <f t="shared" si="8"/>
        <v>0</v>
      </c>
      <c r="E54" s="158"/>
      <c r="F54" s="109">
        <f t="shared" si="9"/>
        <v>0</v>
      </c>
      <c r="G54" s="110"/>
      <c r="H54" s="111"/>
      <c r="K54" s="2"/>
      <c r="L54" s="322">
        <v>10</v>
      </c>
      <c r="M54" s="20"/>
      <c r="N54" s="308">
        <f t="shared" si="6"/>
        <v>0</v>
      </c>
      <c r="O54" s="158"/>
      <c r="P54" s="109">
        <f t="shared" si="7"/>
        <v>0</v>
      </c>
      <c r="Q54" s="110"/>
      <c r="R54" s="111"/>
    </row>
    <row r="55" spans="1:19" x14ac:dyDescent="0.25">
      <c r="A55" s="2"/>
      <c r="B55" s="322">
        <v>10</v>
      </c>
      <c r="C55" s="20"/>
      <c r="D55" s="308">
        <f t="shared" si="8"/>
        <v>0</v>
      </c>
      <c r="E55" s="158"/>
      <c r="F55" s="109">
        <f t="shared" si="9"/>
        <v>0</v>
      </c>
      <c r="G55" s="110"/>
      <c r="H55" s="111"/>
      <c r="K55" s="2"/>
      <c r="L55" s="322">
        <v>10</v>
      </c>
      <c r="M55" s="20"/>
      <c r="N55" s="308">
        <f t="shared" si="6"/>
        <v>0</v>
      </c>
      <c r="O55" s="158"/>
      <c r="P55" s="109">
        <f t="shared" si="7"/>
        <v>0</v>
      </c>
      <c r="Q55" s="110"/>
      <c r="R55" s="111"/>
    </row>
    <row r="56" spans="1:19" x14ac:dyDescent="0.25">
      <c r="A56" s="2"/>
      <c r="B56" s="322">
        <v>10</v>
      </c>
      <c r="C56" s="20"/>
      <c r="D56" s="308">
        <f t="shared" si="8"/>
        <v>0</v>
      </c>
      <c r="E56" s="158"/>
      <c r="F56" s="109">
        <f t="shared" si="9"/>
        <v>0</v>
      </c>
      <c r="G56" s="110"/>
      <c r="H56" s="111"/>
      <c r="K56" s="2"/>
      <c r="L56" s="322">
        <v>10</v>
      </c>
      <c r="M56" s="20"/>
      <c r="N56" s="308">
        <f t="shared" si="6"/>
        <v>0</v>
      </c>
      <c r="O56" s="158"/>
      <c r="P56" s="109">
        <f t="shared" si="7"/>
        <v>0</v>
      </c>
      <c r="Q56" s="110"/>
      <c r="R56" s="111"/>
    </row>
    <row r="57" spans="1:19" x14ac:dyDescent="0.25">
      <c r="A57" s="2"/>
      <c r="B57" s="322">
        <v>10</v>
      </c>
      <c r="C57" s="20"/>
      <c r="D57" s="308">
        <f t="shared" si="8"/>
        <v>0</v>
      </c>
      <c r="E57" s="158"/>
      <c r="F57" s="109">
        <f t="shared" si="9"/>
        <v>0</v>
      </c>
      <c r="G57" s="110"/>
      <c r="H57" s="111"/>
      <c r="K57" s="2"/>
      <c r="L57" s="322">
        <v>10</v>
      </c>
      <c r="M57" s="20"/>
      <c r="N57" s="308">
        <f t="shared" si="6"/>
        <v>0</v>
      </c>
      <c r="O57" s="158"/>
      <c r="P57" s="109">
        <f t="shared" si="7"/>
        <v>0</v>
      </c>
      <c r="Q57" s="110"/>
      <c r="R57" s="111"/>
    </row>
    <row r="58" spans="1:19" x14ac:dyDescent="0.25">
      <c r="A58" s="2"/>
      <c r="B58" s="322">
        <v>10</v>
      </c>
      <c r="C58" s="20"/>
      <c r="D58" s="308">
        <f t="shared" si="8"/>
        <v>0</v>
      </c>
      <c r="E58" s="158"/>
      <c r="F58" s="109">
        <f t="shared" si="9"/>
        <v>0</v>
      </c>
      <c r="G58" s="110"/>
      <c r="H58" s="111"/>
      <c r="K58" s="2"/>
      <c r="L58" s="322">
        <v>10</v>
      </c>
      <c r="M58" s="20"/>
      <c r="N58" s="308">
        <f t="shared" si="6"/>
        <v>0</v>
      </c>
      <c r="O58" s="158"/>
      <c r="P58" s="109">
        <f t="shared" si="7"/>
        <v>0</v>
      </c>
      <c r="Q58" s="110"/>
      <c r="R58" s="111"/>
    </row>
    <row r="59" spans="1:19" x14ac:dyDescent="0.25">
      <c r="A59" s="2"/>
      <c r="B59" s="322">
        <v>10</v>
      </c>
      <c r="C59" s="20"/>
      <c r="D59" s="308">
        <f t="shared" si="8"/>
        <v>0</v>
      </c>
      <c r="E59" s="158"/>
      <c r="F59" s="109">
        <f t="shared" si="9"/>
        <v>0</v>
      </c>
      <c r="G59" s="110"/>
      <c r="H59" s="111"/>
      <c r="K59" s="2"/>
      <c r="L59" s="322">
        <v>10</v>
      </c>
      <c r="M59" s="20"/>
      <c r="N59" s="308">
        <f t="shared" si="6"/>
        <v>0</v>
      </c>
      <c r="O59" s="158"/>
      <c r="P59" s="109">
        <f t="shared" si="7"/>
        <v>0</v>
      </c>
      <c r="Q59" s="110"/>
      <c r="R59" s="111"/>
    </row>
    <row r="60" spans="1:19" x14ac:dyDescent="0.25">
      <c r="A60" s="2"/>
      <c r="B60" s="322"/>
      <c r="C60" s="20"/>
      <c r="D60" s="308">
        <f t="shared" si="8"/>
        <v>0</v>
      </c>
      <c r="E60" s="158"/>
      <c r="F60" s="109">
        <f t="shared" si="9"/>
        <v>0</v>
      </c>
      <c r="G60" s="110"/>
      <c r="H60" s="111"/>
      <c r="K60" s="2"/>
      <c r="L60" s="322"/>
      <c r="M60" s="20"/>
      <c r="N60" s="308">
        <f t="shared" si="6"/>
        <v>0</v>
      </c>
      <c r="O60" s="158"/>
      <c r="P60" s="109">
        <f t="shared" si="7"/>
        <v>0</v>
      </c>
      <c r="Q60" s="110"/>
      <c r="R60" s="111"/>
    </row>
    <row r="61" spans="1:19" ht="15.75" thickBot="1" x14ac:dyDescent="0.3">
      <c r="A61" s="4"/>
      <c r="B61" s="322"/>
      <c r="C61" s="48"/>
      <c r="D61" s="464">
        <f>C61*B30</f>
        <v>0</v>
      </c>
      <c r="E61" s="321"/>
      <c r="F61" s="307">
        <f t="shared" si="9"/>
        <v>0</v>
      </c>
      <c r="G61" s="269"/>
      <c r="H61" s="111"/>
      <c r="K61" s="4"/>
      <c r="L61" s="322"/>
      <c r="M61" s="48"/>
      <c r="N61" s="464">
        <f>M61*L30</f>
        <v>0</v>
      </c>
      <c r="O61" s="321"/>
      <c r="P61" s="307">
        <f t="shared" si="7"/>
        <v>0</v>
      </c>
      <c r="Q61" s="269"/>
      <c r="R61" s="111"/>
    </row>
    <row r="62" spans="1:19" ht="16.5" thickTop="1" thickBot="1" x14ac:dyDescent="0.3">
      <c r="C62" s="165">
        <f>SUM(C8:C61)</f>
        <v>165</v>
      </c>
      <c r="D62" s="204">
        <f>SUM(D8:D61)</f>
        <v>1650</v>
      </c>
      <c r="E62" s="50"/>
      <c r="F62" s="6">
        <f>SUM(F8:F61)</f>
        <v>1650</v>
      </c>
      <c r="M62" s="165">
        <f>SUM(M8:M61)</f>
        <v>49</v>
      </c>
      <c r="N62" s="204">
        <f>SUM(N8:N61)</f>
        <v>490</v>
      </c>
      <c r="O62" s="50"/>
      <c r="P62" s="6">
        <f>SUM(P8:P61)</f>
        <v>490</v>
      </c>
    </row>
    <row r="63" spans="1:19" ht="15.75" thickBot="1" x14ac:dyDescent="0.3">
      <c r="A63" s="229"/>
      <c r="D63" s="205" t="s">
        <v>4</v>
      </c>
      <c r="E63" s="108">
        <f>F4+F5+F6-+C62</f>
        <v>0</v>
      </c>
      <c r="F63" s="6"/>
      <c r="K63" s="229"/>
      <c r="N63" s="205" t="s">
        <v>4</v>
      </c>
      <c r="O63" s="108">
        <f>P4+P5+P6-+M62</f>
        <v>78</v>
      </c>
      <c r="P63" s="6"/>
    </row>
    <row r="64" spans="1:19" ht="15.75" thickBot="1" x14ac:dyDescent="0.3">
      <c r="A64" s="222"/>
      <c r="D64" s="160"/>
      <c r="F64" s="6"/>
      <c r="K64" s="222"/>
      <c r="N64" s="160"/>
      <c r="P64" s="6"/>
    </row>
    <row r="65" spans="1:16" ht="16.5" thickTop="1" thickBot="1" x14ac:dyDescent="0.3">
      <c r="A65" s="160"/>
      <c r="C65" s="862" t="s">
        <v>11</v>
      </c>
      <c r="D65" s="863"/>
      <c r="E65" s="282">
        <f>E5+E4+E6+-F62</f>
        <v>0</v>
      </c>
      <c r="F65" s="6"/>
      <c r="K65" s="160"/>
      <c r="M65" s="862" t="s">
        <v>11</v>
      </c>
      <c r="N65" s="863"/>
      <c r="O65" s="282">
        <f>O5+O4+O6+-P62</f>
        <v>780</v>
      </c>
      <c r="P65" s="6"/>
    </row>
  </sheetData>
  <mergeCells count="6">
    <mergeCell ref="A1:G1"/>
    <mergeCell ref="B5:B6"/>
    <mergeCell ref="C65:D65"/>
    <mergeCell ref="K1:Q1"/>
    <mergeCell ref="L5:L6"/>
    <mergeCell ref="M65:N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2"/>
  <sheetViews>
    <sheetView topLeftCell="A55" workbookViewId="0">
      <selection activeCell="UN1" sqref="UN1:UT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0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4.28515625" bestFit="1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67" max="67" width="13.5703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2.85546875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6" bestFit="1" customWidth="1"/>
    <col min="192" max="192" width="18.5703125" customWidth="1"/>
    <col min="193" max="193" width="13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8.5703125" bestFit="1" customWidth="1"/>
    <col min="291" max="291" width="16.28515625" bestFit="1" customWidth="1"/>
    <col min="292" max="292" width="12.5703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1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19" max="319" width="13.28515625" bestFit="1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5" max="355" width="13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8.57031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7" t="s">
        <v>35</v>
      </c>
      <c r="C1" s="68"/>
      <c r="D1" s="68"/>
      <c r="E1" s="223"/>
      <c r="F1" s="82"/>
      <c r="G1" s="81"/>
      <c r="H1" s="81"/>
      <c r="I1" s="81"/>
      <c r="K1" s="847" t="s">
        <v>209</v>
      </c>
      <c r="L1" s="847"/>
      <c r="M1" s="847"/>
      <c r="N1" s="847"/>
      <c r="O1" s="847"/>
      <c r="P1" s="847"/>
      <c r="Q1" s="847"/>
      <c r="R1" s="14">
        <f>I1+1</f>
        <v>1</v>
      </c>
      <c r="T1" s="847" t="str">
        <f>K1</f>
        <v>ENTRADAS DEL MES DE DICIEMBRE 2018</v>
      </c>
      <c r="U1" s="847"/>
      <c r="V1" s="847"/>
      <c r="W1" s="847"/>
      <c r="X1" s="847"/>
      <c r="Y1" s="847"/>
      <c r="Z1" s="847"/>
      <c r="AA1" s="14">
        <f>R1+1</f>
        <v>2</v>
      </c>
      <c r="AC1" s="847" t="str">
        <f>T1</f>
        <v>ENTRADAS DEL MES DE DICIEMBRE 2018</v>
      </c>
      <c r="AD1" s="847"/>
      <c r="AE1" s="847"/>
      <c r="AF1" s="847"/>
      <c r="AG1" s="847"/>
      <c r="AH1" s="847"/>
      <c r="AI1" s="847"/>
      <c r="AJ1" s="14">
        <f>AA1+1</f>
        <v>3</v>
      </c>
      <c r="AL1" s="847" t="str">
        <f>AC1</f>
        <v>ENTRADAS DEL MES DE DICIEMBRE 2018</v>
      </c>
      <c r="AM1" s="847"/>
      <c r="AN1" s="847"/>
      <c r="AO1" s="847"/>
      <c r="AP1" s="847"/>
      <c r="AQ1" s="847"/>
      <c r="AR1" s="847"/>
      <c r="AS1" s="14">
        <f>AJ1+1</f>
        <v>4</v>
      </c>
      <c r="AU1" s="847" t="str">
        <f>AL1</f>
        <v>ENTRADAS DEL MES DE DICIEMBRE 2018</v>
      </c>
      <c r="AV1" s="847"/>
      <c r="AW1" s="847"/>
      <c r="AX1" s="847"/>
      <c r="AY1" s="847"/>
      <c r="AZ1" s="847"/>
      <c r="BA1" s="847"/>
      <c r="BB1" s="14">
        <f>AS1+1</f>
        <v>5</v>
      </c>
      <c r="BD1" s="847" t="str">
        <f>AU1</f>
        <v>ENTRADAS DEL MES DE DICIEMBRE 2018</v>
      </c>
      <c r="BE1" s="847"/>
      <c r="BF1" s="847"/>
      <c r="BG1" s="847"/>
      <c r="BH1" s="847"/>
      <c r="BI1" s="847"/>
      <c r="BJ1" s="847"/>
      <c r="BK1" s="14">
        <f>BB1+1</f>
        <v>6</v>
      </c>
      <c r="BM1" s="847" t="str">
        <f>BD1</f>
        <v>ENTRADAS DEL MES DE DICIEMBRE 2018</v>
      </c>
      <c r="BN1" s="847"/>
      <c r="BO1" s="847"/>
      <c r="BP1" s="847"/>
      <c r="BQ1" s="847"/>
      <c r="BR1" s="847"/>
      <c r="BS1" s="847"/>
      <c r="BT1" s="14">
        <f>BK1+1</f>
        <v>7</v>
      </c>
      <c r="BV1" s="847" t="str">
        <f>BM1</f>
        <v>ENTRADAS DEL MES DE DICIEMBRE 2018</v>
      </c>
      <c r="BW1" s="847"/>
      <c r="BX1" s="847"/>
      <c r="BY1" s="847"/>
      <c r="BZ1" s="847"/>
      <c r="CA1" s="847"/>
      <c r="CB1" s="847"/>
      <c r="CC1" s="14">
        <f>BT1+1</f>
        <v>8</v>
      </c>
      <c r="CE1" s="847" t="str">
        <f>BV1</f>
        <v>ENTRADAS DEL MES DE DICIEMBRE 2018</v>
      </c>
      <c r="CF1" s="847"/>
      <c r="CG1" s="847"/>
      <c r="CH1" s="847"/>
      <c r="CI1" s="847"/>
      <c r="CJ1" s="847"/>
      <c r="CK1" s="847"/>
      <c r="CL1" s="14">
        <f>CC1+1</f>
        <v>9</v>
      </c>
      <c r="CN1" s="847" t="str">
        <f>CE1</f>
        <v>ENTRADAS DEL MES DE DICIEMBRE 2018</v>
      </c>
      <c r="CO1" s="847"/>
      <c r="CP1" s="847"/>
      <c r="CQ1" s="847"/>
      <c r="CR1" s="847"/>
      <c r="CS1" s="847"/>
      <c r="CT1" s="847"/>
      <c r="CU1" s="14">
        <f>CL1+1</f>
        <v>10</v>
      </c>
      <c r="CW1" s="847" t="str">
        <f>CN1</f>
        <v>ENTRADAS DEL MES DE DICIEMBRE 2018</v>
      </c>
      <c r="CX1" s="847"/>
      <c r="CY1" s="847"/>
      <c r="CZ1" s="847"/>
      <c r="DA1" s="847"/>
      <c r="DB1" s="847"/>
      <c r="DC1" s="847"/>
      <c r="DD1" s="14">
        <f>CU1+1</f>
        <v>11</v>
      </c>
      <c r="DF1" s="847" t="str">
        <f>CW1</f>
        <v>ENTRADAS DEL MES DE DICIEMBRE 2018</v>
      </c>
      <c r="DG1" s="847"/>
      <c r="DH1" s="847"/>
      <c r="DI1" s="847"/>
      <c r="DJ1" s="847"/>
      <c r="DK1" s="847"/>
      <c r="DL1" s="847"/>
      <c r="DM1" s="14">
        <f>DD1+1</f>
        <v>12</v>
      </c>
      <c r="DO1" s="847" t="str">
        <f>DF1</f>
        <v>ENTRADAS DEL MES DE DICIEMBRE 2018</v>
      </c>
      <c r="DP1" s="847"/>
      <c r="DQ1" s="847"/>
      <c r="DR1" s="847"/>
      <c r="DS1" s="847"/>
      <c r="DT1" s="847"/>
      <c r="DU1" s="847"/>
      <c r="DV1" s="14">
        <f>DM1+1</f>
        <v>13</v>
      </c>
      <c r="DX1" s="847" t="str">
        <f>DO1</f>
        <v>ENTRADAS DEL MES DE DICIEMBRE 2018</v>
      </c>
      <c r="DY1" s="847"/>
      <c r="DZ1" s="847"/>
      <c r="EA1" s="847"/>
      <c r="EB1" s="847"/>
      <c r="EC1" s="847"/>
      <c r="ED1" s="847"/>
      <c r="EE1" s="14">
        <f>DV1+1</f>
        <v>14</v>
      </c>
      <c r="EG1" s="847" t="str">
        <f>DX1</f>
        <v>ENTRADAS DEL MES DE DICIEMBRE 2018</v>
      </c>
      <c r="EH1" s="847"/>
      <c r="EI1" s="847"/>
      <c r="EJ1" s="847"/>
      <c r="EK1" s="847"/>
      <c r="EL1" s="847"/>
      <c r="EM1" s="847"/>
      <c r="EN1" s="14">
        <f>EE1+1</f>
        <v>15</v>
      </c>
      <c r="EP1" s="847" t="str">
        <f>EG1</f>
        <v>ENTRADAS DEL MES DE DICIEMBRE 2018</v>
      </c>
      <c r="EQ1" s="847"/>
      <c r="ER1" s="847"/>
      <c r="ES1" s="847"/>
      <c r="ET1" s="847"/>
      <c r="EU1" s="847"/>
      <c r="EV1" s="847"/>
      <c r="EW1" s="14">
        <f>EN1+1</f>
        <v>16</v>
      </c>
      <c r="EY1" s="847" t="str">
        <f>EP1</f>
        <v>ENTRADAS DEL MES DE DICIEMBRE 2018</v>
      </c>
      <c r="EZ1" s="847"/>
      <c r="FA1" s="847"/>
      <c r="FB1" s="847"/>
      <c r="FC1" s="847"/>
      <c r="FD1" s="847"/>
      <c r="FE1" s="847"/>
      <c r="FF1" s="14">
        <f>EW1+1</f>
        <v>17</v>
      </c>
      <c r="FH1" s="847" t="str">
        <f>EY1</f>
        <v>ENTRADAS DEL MES DE DICIEMBRE 2018</v>
      </c>
      <c r="FI1" s="847"/>
      <c r="FJ1" s="847"/>
      <c r="FK1" s="847"/>
      <c r="FL1" s="847"/>
      <c r="FM1" s="847"/>
      <c r="FN1" s="847"/>
      <c r="FO1" s="14">
        <f>FF1+1</f>
        <v>18</v>
      </c>
      <c r="FP1" t="s">
        <v>37</v>
      </c>
      <c r="FQ1" s="847" t="str">
        <f>FH1</f>
        <v>ENTRADAS DEL MES DE DICIEMBRE 2018</v>
      </c>
      <c r="FR1" s="847"/>
      <c r="FS1" s="847"/>
      <c r="FT1" s="847"/>
      <c r="FU1" s="847"/>
      <c r="FV1" s="847"/>
      <c r="FW1" s="847"/>
      <c r="FX1" s="14">
        <f>FO1+1</f>
        <v>19</v>
      </c>
      <c r="FZ1" s="847" t="str">
        <f>FQ1</f>
        <v>ENTRADAS DEL MES DE DICIEMBRE 2018</v>
      </c>
      <c r="GA1" s="847"/>
      <c r="GB1" s="847"/>
      <c r="GC1" s="847"/>
      <c r="GD1" s="847"/>
      <c r="GE1" s="847"/>
      <c r="GF1" s="847"/>
      <c r="GG1" s="14">
        <f>FX1+1</f>
        <v>20</v>
      </c>
      <c r="GI1" s="847" t="str">
        <f>FZ1</f>
        <v>ENTRADAS DEL MES DE DICIEMBRE 2018</v>
      </c>
      <c r="GJ1" s="847"/>
      <c r="GK1" s="847"/>
      <c r="GL1" s="847"/>
      <c r="GM1" s="847"/>
      <c r="GN1" s="847"/>
      <c r="GO1" s="847"/>
      <c r="GP1" s="14">
        <f>GG1+1</f>
        <v>21</v>
      </c>
      <c r="GR1" s="847" t="str">
        <f>GI1</f>
        <v>ENTRADAS DEL MES DE DICIEMBRE 2018</v>
      </c>
      <c r="GS1" s="847"/>
      <c r="GT1" s="847"/>
      <c r="GU1" s="847"/>
      <c r="GV1" s="847"/>
      <c r="GW1" s="847"/>
      <c r="GX1" s="847"/>
      <c r="GY1" s="14">
        <f>GP1+1</f>
        <v>22</v>
      </c>
      <c r="HA1" s="847" t="str">
        <f>GR1</f>
        <v>ENTRADAS DEL MES DE DICIEMBRE 2018</v>
      </c>
      <c r="HB1" s="847"/>
      <c r="HC1" s="847"/>
      <c r="HD1" s="847"/>
      <c r="HE1" s="847"/>
      <c r="HF1" s="847"/>
      <c r="HG1" s="847"/>
      <c r="HH1" s="14">
        <f>GY1+1</f>
        <v>23</v>
      </c>
      <c r="HJ1" s="847" t="str">
        <f>HA1</f>
        <v>ENTRADAS DEL MES DE DICIEMBRE 2018</v>
      </c>
      <c r="HK1" s="847"/>
      <c r="HL1" s="847"/>
      <c r="HM1" s="847"/>
      <c r="HN1" s="847"/>
      <c r="HO1" s="847"/>
      <c r="HP1" s="847"/>
      <c r="HQ1" s="14">
        <f>HH1+1</f>
        <v>24</v>
      </c>
      <c r="HS1" s="847" t="str">
        <f>HJ1</f>
        <v>ENTRADAS DEL MES DE DICIEMBRE 2018</v>
      </c>
      <c r="HT1" s="847"/>
      <c r="HU1" s="847"/>
      <c r="HV1" s="847"/>
      <c r="HW1" s="847"/>
      <c r="HX1" s="847"/>
      <c r="HY1" s="847"/>
      <c r="HZ1" s="14">
        <f>HQ1+1</f>
        <v>25</v>
      </c>
      <c r="IB1" s="847" t="str">
        <f>HS1</f>
        <v>ENTRADAS DEL MES DE DICIEMBRE 2018</v>
      </c>
      <c r="IC1" s="847"/>
      <c r="ID1" s="847"/>
      <c r="IE1" s="847"/>
      <c r="IF1" s="847"/>
      <c r="IG1" s="847"/>
      <c r="IH1" s="847"/>
      <c r="II1" s="14">
        <f>HZ1+1</f>
        <v>26</v>
      </c>
      <c r="IK1" s="847" t="str">
        <f>IB1</f>
        <v>ENTRADAS DEL MES DE DICIEMBRE 2018</v>
      </c>
      <c r="IL1" s="847"/>
      <c r="IM1" s="847"/>
      <c r="IN1" s="847"/>
      <c r="IO1" s="847"/>
      <c r="IP1" s="847"/>
      <c r="IQ1" s="847"/>
      <c r="IR1" s="14">
        <f>II1+1</f>
        <v>27</v>
      </c>
      <c r="IT1" s="847" t="str">
        <f>IK1</f>
        <v>ENTRADAS DEL MES DE DICIEMBRE 2018</v>
      </c>
      <c r="IU1" s="847"/>
      <c r="IV1" s="847"/>
      <c r="IW1" s="847"/>
      <c r="IX1" s="847"/>
      <c r="IY1" s="847"/>
      <c r="IZ1" s="847"/>
      <c r="JA1" s="14">
        <f>IR1+1</f>
        <v>28</v>
      </c>
      <c r="JC1" s="847" t="str">
        <f>IT1</f>
        <v>ENTRADAS DEL MES DE DICIEMBRE 2018</v>
      </c>
      <c r="JD1" s="847"/>
      <c r="JE1" s="847"/>
      <c r="JF1" s="847"/>
      <c r="JG1" s="847"/>
      <c r="JH1" s="847"/>
      <c r="JI1" s="847"/>
      <c r="JJ1" s="14">
        <f>JA1+1</f>
        <v>29</v>
      </c>
      <c r="JL1" s="847" t="str">
        <f>JC1</f>
        <v>ENTRADAS DEL MES DE DICIEMBRE 2018</v>
      </c>
      <c r="JM1" s="847"/>
      <c r="JN1" s="847"/>
      <c r="JO1" s="847"/>
      <c r="JP1" s="847"/>
      <c r="JQ1" s="847"/>
      <c r="JR1" s="847"/>
      <c r="JS1" s="14">
        <f>JJ1+1</f>
        <v>30</v>
      </c>
      <c r="JU1" s="847" t="str">
        <f>JL1</f>
        <v>ENTRADAS DEL MES DE DICIEMBRE 2018</v>
      </c>
      <c r="JV1" s="847"/>
      <c r="JW1" s="847"/>
      <c r="JX1" s="847"/>
      <c r="JY1" s="847"/>
      <c r="JZ1" s="847"/>
      <c r="KA1" s="847"/>
      <c r="KB1" s="14">
        <f>JS1+1</f>
        <v>31</v>
      </c>
      <c r="KD1" s="847" t="str">
        <f>JU1</f>
        <v>ENTRADAS DEL MES DE DICIEMBRE 2018</v>
      </c>
      <c r="KE1" s="847"/>
      <c r="KF1" s="847"/>
      <c r="KG1" s="847"/>
      <c r="KH1" s="847"/>
      <c r="KI1" s="847"/>
      <c r="KJ1" s="847"/>
      <c r="KK1" s="14">
        <f>KB1+1</f>
        <v>32</v>
      </c>
      <c r="KM1" s="847" t="str">
        <f>KD1</f>
        <v>ENTRADAS DEL MES DE DICIEMBRE 2018</v>
      </c>
      <c r="KN1" s="847"/>
      <c r="KO1" s="847"/>
      <c r="KP1" s="847"/>
      <c r="KQ1" s="847"/>
      <c r="KR1" s="847"/>
      <c r="KS1" s="847"/>
      <c r="KT1" s="14">
        <f>KK1+1</f>
        <v>33</v>
      </c>
      <c r="KV1" s="847" t="str">
        <f>KM1</f>
        <v>ENTRADAS DEL MES DE DICIEMBRE 2018</v>
      </c>
      <c r="KW1" s="847"/>
      <c r="KX1" s="847"/>
      <c r="KY1" s="847"/>
      <c r="KZ1" s="847"/>
      <c r="LA1" s="847"/>
      <c r="LB1" s="847"/>
      <c r="LC1" s="14">
        <f>KT1+1</f>
        <v>34</v>
      </c>
      <c r="LE1" s="847" t="str">
        <f>KV1</f>
        <v>ENTRADAS DEL MES DE DICIEMBRE 2018</v>
      </c>
      <c r="LF1" s="847"/>
      <c r="LG1" s="847"/>
      <c r="LH1" s="847"/>
      <c r="LI1" s="847"/>
      <c r="LJ1" s="847"/>
      <c r="LK1" s="847"/>
      <c r="LL1" s="14">
        <f>LC1+1</f>
        <v>35</v>
      </c>
      <c r="LN1" s="847" t="str">
        <f>LE1</f>
        <v>ENTRADAS DEL MES DE DICIEMBRE 2018</v>
      </c>
      <c r="LO1" s="847"/>
      <c r="LP1" s="847"/>
      <c r="LQ1" s="847"/>
      <c r="LR1" s="847"/>
      <c r="LS1" s="847"/>
      <c r="LT1" s="847"/>
      <c r="LU1" s="14">
        <f>LL1+1</f>
        <v>36</v>
      </c>
      <c r="LW1" s="847" t="str">
        <f>LN1</f>
        <v>ENTRADAS DEL MES DE DICIEMBRE 2018</v>
      </c>
      <c r="LX1" s="847"/>
      <c r="LY1" s="847"/>
      <c r="LZ1" s="847"/>
      <c r="MA1" s="847"/>
      <c r="MB1" s="847"/>
      <c r="MC1" s="847"/>
      <c r="MD1" s="14">
        <f>LU1+1</f>
        <v>37</v>
      </c>
      <c r="MF1" s="847" t="str">
        <f>LW1</f>
        <v>ENTRADAS DEL MES DE DICIEMBRE 2018</v>
      </c>
      <c r="MG1" s="847"/>
      <c r="MH1" s="847"/>
      <c r="MI1" s="847"/>
      <c r="MJ1" s="847"/>
      <c r="MK1" s="847"/>
      <c r="ML1" s="847"/>
      <c r="MM1" s="14">
        <f>MD1+1</f>
        <v>38</v>
      </c>
      <c r="MO1" s="847" t="str">
        <f>MF1</f>
        <v>ENTRADAS DEL MES DE DICIEMBRE 2018</v>
      </c>
      <c r="MP1" s="847"/>
      <c r="MQ1" s="847"/>
      <c r="MR1" s="847"/>
      <c r="MS1" s="847"/>
      <c r="MT1" s="847"/>
      <c r="MU1" s="847"/>
      <c r="MV1" s="14">
        <f>MM1+1</f>
        <v>39</v>
      </c>
      <c r="MW1" s="16"/>
      <c r="MX1" s="847" t="str">
        <f>MO1</f>
        <v>ENTRADAS DEL MES DE DICIEMBRE 2018</v>
      </c>
      <c r="MY1" s="847"/>
      <c r="MZ1" s="847"/>
      <c r="NA1" s="847"/>
      <c r="NB1" s="847"/>
      <c r="NC1" s="847"/>
      <c r="ND1" s="847"/>
      <c r="NE1" s="14">
        <f>MV1+1</f>
        <v>40</v>
      </c>
      <c r="NG1" s="847" t="str">
        <f>MX1</f>
        <v>ENTRADAS DEL MES DE DICIEMBRE 2018</v>
      </c>
      <c r="NH1" s="847"/>
      <c r="NI1" s="847"/>
      <c r="NJ1" s="847"/>
      <c r="NK1" s="847"/>
      <c r="NL1" s="847"/>
      <c r="NM1" s="847"/>
      <c r="NN1" s="14">
        <f>NE1+1</f>
        <v>41</v>
      </c>
      <c r="NP1" s="847" t="str">
        <f>NG1</f>
        <v>ENTRADAS DEL MES DE DICIEMBRE 2018</v>
      </c>
      <c r="NQ1" s="847"/>
      <c r="NR1" s="847"/>
      <c r="NS1" s="847"/>
      <c r="NT1" s="847"/>
      <c r="NU1" s="847"/>
      <c r="NV1" s="847"/>
      <c r="NW1" s="14">
        <f>NN1+1</f>
        <v>42</v>
      </c>
      <c r="NY1" s="847" t="str">
        <f>NP1</f>
        <v>ENTRADAS DEL MES DE DICIEMBRE 2018</v>
      </c>
      <c r="NZ1" s="847"/>
      <c r="OA1" s="847"/>
      <c r="OB1" s="847"/>
      <c r="OC1" s="847"/>
      <c r="OD1" s="847"/>
      <c r="OE1" s="847"/>
      <c r="OF1" s="14">
        <f>NW1+1</f>
        <v>43</v>
      </c>
      <c r="OH1" s="847" t="str">
        <f>NY1</f>
        <v>ENTRADAS DEL MES DE DICIEMBRE 2018</v>
      </c>
      <c r="OI1" s="847"/>
      <c r="OJ1" s="847"/>
      <c r="OK1" s="847"/>
      <c r="OL1" s="847"/>
      <c r="OM1" s="847"/>
      <c r="ON1" s="847"/>
      <c r="OO1" s="14">
        <f>OF1+1</f>
        <v>44</v>
      </c>
      <c r="OQ1" s="847" t="str">
        <f>OH1</f>
        <v>ENTRADAS DEL MES DE DICIEMBRE 2018</v>
      </c>
      <c r="OR1" s="847"/>
      <c r="OS1" s="847"/>
      <c r="OT1" s="847"/>
      <c r="OU1" s="847"/>
      <c r="OV1" s="847"/>
      <c r="OW1" s="847"/>
      <c r="OX1" s="14">
        <f>OO1+1</f>
        <v>45</v>
      </c>
      <c r="OZ1" s="847" t="str">
        <f>OQ1</f>
        <v>ENTRADAS DEL MES DE DICIEMBRE 2018</v>
      </c>
      <c r="PA1" s="847"/>
      <c r="PB1" s="847"/>
      <c r="PC1" s="847"/>
      <c r="PD1" s="847"/>
      <c r="PE1" s="847"/>
      <c r="PF1" s="847"/>
      <c r="PG1" s="14">
        <f>OX1+1</f>
        <v>46</v>
      </c>
      <c r="PI1" s="847" t="str">
        <f>OZ1</f>
        <v>ENTRADAS DEL MES DE DICIEMBRE 2018</v>
      </c>
      <c r="PJ1" s="847"/>
      <c r="PK1" s="847"/>
      <c r="PL1" s="847"/>
      <c r="PM1" s="847"/>
      <c r="PN1" s="847"/>
      <c r="PO1" s="847"/>
      <c r="PP1" s="14">
        <f>PG1+1</f>
        <v>47</v>
      </c>
      <c r="PR1" s="847" t="str">
        <f>PI1</f>
        <v>ENTRADAS DEL MES DE DICIEMBRE 2018</v>
      </c>
      <c r="PS1" s="847"/>
      <c r="PT1" s="847"/>
      <c r="PU1" s="847"/>
      <c r="PV1" s="847"/>
      <c r="PW1" s="847"/>
      <c r="PX1" s="847"/>
      <c r="PY1" s="14">
        <f>PP1+1</f>
        <v>48</v>
      </c>
      <c r="QA1" s="847" t="str">
        <f>PR1</f>
        <v>ENTRADAS DEL MES DE DICIEMBRE 2018</v>
      </c>
      <c r="QB1" s="847"/>
      <c r="QC1" s="847"/>
      <c r="QD1" s="847"/>
      <c r="QE1" s="847"/>
      <c r="QF1" s="847"/>
      <c r="QG1" s="847"/>
      <c r="QH1" s="14">
        <f>PY1+1</f>
        <v>49</v>
      </c>
      <c r="QJ1" s="847" t="str">
        <f>QA1</f>
        <v>ENTRADAS DEL MES DE DICIEMBRE 2018</v>
      </c>
      <c r="QK1" s="847"/>
      <c r="QL1" s="847"/>
      <c r="QM1" s="847"/>
      <c r="QN1" s="847"/>
      <c r="QO1" s="847"/>
      <c r="QP1" s="847"/>
      <c r="QQ1" s="14">
        <f>QH1+1</f>
        <v>50</v>
      </c>
      <c r="QS1" s="847" t="str">
        <f>QJ1</f>
        <v>ENTRADAS DEL MES DE DICIEMBRE 2018</v>
      </c>
      <c r="QT1" s="847"/>
      <c r="QU1" s="847"/>
      <c r="QV1" s="847"/>
      <c r="QW1" s="847"/>
      <c r="QX1" s="847"/>
      <c r="QY1" s="847"/>
      <c r="QZ1" s="14">
        <f>QQ1+1</f>
        <v>51</v>
      </c>
      <c r="RB1" s="847" t="str">
        <f>QS1</f>
        <v>ENTRADAS DEL MES DE DICIEMBRE 2018</v>
      </c>
      <c r="RC1" s="847"/>
      <c r="RD1" s="847"/>
      <c r="RE1" s="847"/>
      <c r="RF1" s="847"/>
      <c r="RG1" s="847"/>
      <c r="RH1" s="847"/>
      <c r="RI1" s="14">
        <f>QZ1+1</f>
        <v>52</v>
      </c>
      <c r="RK1" s="847" t="str">
        <f>RB1</f>
        <v>ENTRADAS DEL MES DE DICIEMBRE 2018</v>
      </c>
      <c r="RL1" s="847"/>
      <c r="RM1" s="847"/>
      <c r="RN1" s="847"/>
      <c r="RO1" s="847"/>
      <c r="RP1" s="847"/>
      <c r="RQ1" s="847"/>
      <c r="RR1" s="14">
        <f>RI1+1</f>
        <v>53</v>
      </c>
      <c r="RT1" s="847" t="str">
        <f>RK1</f>
        <v>ENTRADAS DEL MES DE DICIEMBRE 2018</v>
      </c>
      <c r="RU1" s="847"/>
      <c r="RV1" s="847"/>
      <c r="RW1" s="847"/>
      <c r="RX1" s="847"/>
      <c r="RY1" s="847"/>
      <c r="RZ1" s="847"/>
      <c r="SA1" s="14">
        <f>RR1+1</f>
        <v>54</v>
      </c>
      <c r="SC1" s="847" t="str">
        <f>RT1</f>
        <v>ENTRADAS DEL MES DE DICIEMBRE 2018</v>
      </c>
      <c r="SD1" s="847"/>
      <c r="SE1" s="847"/>
      <c r="SF1" s="847"/>
      <c r="SG1" s="847"/>
      <c r="SH1" s="847"/>
      <c r="SI1" s="847"/>
      <c r="SJ1" s="14">
        <f>SA1+1</f>
        <v>55</v>
      </c>
      <c r="SL1" s="847" t="str">
        <f>SC1</f>
        <v>ENTRADAS DEL MES DE DICIEMBRE 2018</v>
      </c>
      <c r="SM1" s="847"/>
      <c r="SN1" s="847"/>
      <c r="SO1" s="847"/>
      <c r="SP1" s="847"/>
      <c r="SQ1" s="847"/>
      <c r="SR1" s="847"/>
      <c r="SS1" s="14">
        <f>SJ1+1</f>
        <v>56</v>
      </c>
      <c r="SU1" s="847" t="str">
        <f>SL1</f>
        <v>ENTRADAS DEL MES DE DICIEMBRE 2018</v>
      </c>
      <c r="SV1" s="847"/>
      <c r="SW1" s="847"/>
      <c r="SX1" s="847"/>
      <c r="SY1" s="847"/>
      <c r="SZ1" s="847"/>
      <c r="TA1" s="847"/>
      <c r="TB1" s="14">
        <f>SS1+1</f>
        <v>57</v>
      </c>
      <c r="TD1" s="847" t="str">
        <f>SU1</f>
        <v>ENTRADAS DEL MES DE DICIEMBRE 2018</v>
      </c>
      <c r="TE1" s="847"/>
      <c r="TF1" s="847"/>
      <c r="TG1" s="847"/>
      <c r="TH1" s="847"/>
      <c r="TI1" s="847"/>
      <c r="TJ1" s="847"/>
      <c r="TK1" s="14">
        <f>TB1+1</f>
        <v>58</v>
      </c>
      <c r="TM1" s="847" t="str">
        <f>TD1</f>
        <v>ENTRADAS DEL MES DE DICIEMBRE 2018</v>
      </c>
      <c r="TN1" s="847"/>
      <c r="TO1" s="847"/>
      <c r="TP1" s="847"/>
      <c r="TQ1" s="847"/>
      <c r="TR1" s="847"/>
      <c r="TS1" s="847"/>
      <c r="TT1" s="14">
        <f>TK1+1</f>
        <v>59</v>
      </c>
      <c r="TV1" s="847" t="str">
        <f>TM1</f>
        <v>ENTRADAS DEL MES DE DICIEMBRE 2018</v>
      </c>
      <c r="TW1" s="847"/>
      <c r="TX1" s="847"/>
      <c r="TY1" s="847"/>
      <c r="TZ1" s="847"/>
      <c r="UA1" s="847"/>
      <c r="UB1" s="847"/>
      <c r="UC1" s="14">
        <f>TT1+1</f>
        <v>60</v>
      </c>
      <c r="UE1" s="847" t="str">
        <f>TV1</f>
        <v>ENTRADAS DEL MES DE DICIEMBRE 2018</v>
      </c>
      <c r="UF1" s="847"/>
      <c r="UG1" s="847"/>
      <c r="UH1" s="847"/>
      <c r="UI1" s="847"/>
      <c r="UJ1" s="847"/>
      <c r="UK1" s="847"/>
      <c r="UL1" s="14">
        <f>UC1+1</f>
        <v>61</v>
      </c>
      <c r="UN1" s="847" t="str">
        <f>UE1</f>
        <v>ENTRADAS DEL MES DE DICIEMBRE 2018</v>
      </c>
      <c r="UO1" s="847"/>
      <c r="UP1" s="847"/>
      <c r="UQ1" s="847"/>
      <c r="UR1" s="847"/>
      <c r="US1" s="847"/>
      <c r="UT1" s="847"/>
      <c r="UU1" s="14">
        <f>UL1+1</f>
        <v>62</v>
      </c>
      <c r="UW1" s="847" t="str">
        <f>UN1</f>
        <v>ENTRADAS DEL MES DE DICIEMBRE 2018</v>
      </c>
      <c r="UX1" s="847"/>
      <c r="UY1" s="847"/>
      <c r="UZ1" s="847"/>
      <c r="VA1" s="847"/>
      <c r="VB1" s="847"/>
      <c r="VC1" s="847"/>
      <c r="VD1" s="14">
        <f>UU1+1</f>
        <v>63</v>
      </c>
      <c r="VF1" s="847" t="str">
        <f>UW1</f>
        <v>ENTRADAS DEL MES DE DICIEMBRE 2018</v>
      </c>
      <c r="VG1" s="847"/>
      <c r="VH1" s="847"/>
      <c r="VI1" s="847"/>
      <c r="VJ1" s="847"/>
      <c r="VK1" s="847"/>
      <c r="VL1" s="847"/>
      <c r="VM1" s="14">
        <f>VD1+1</f>
        <v>64</v>
      </c>
      <c r="VO1" s="847" t="str">
        <f>VF1</f>
        <v>ENTRADAS DEL MES DE DICIEMBRE 2018</v>
      </c>
      <c r="VP1" s="847"/>
      <c r="VQ1" s="847"/>
      <c r="VR1" s="847"/>
      <c r="VS1" s="847"/>
      <c r="VT1" s="847"/>
      <c r="VU1" s="847"/>
      <c r="VV1" s="14">
        <f>VM1+1</f>
        <v>65</v>
      </c>
      <c r="VX1" s="847" t="str">
        <f>VO1</f>
        <v>ENTRADAS DEL MES DE DICIEMBRE 2018</v>
      </c>
      <c r="VY1" s="847"/>
      <c r="VZ1" s="847"/>
      <c r="WA1" s="847"/>
      <c r="WB1" s="847"/>
      <c r="WC1" s="847"/>
      <c r="WD1" s="847"/>
      <c r="WE1" s="14">
        <f>VV1+1</f>
        <v>66</v>
      </c>
      <c r="WG1" s="847" t="str">
        <f>VX1</f>
        <v>ENTRADAS DEL MES DE DICIEMBRE 2018</v>
      </c>
      <c r="WH1" s="847"/>
      <c r="WI1" s="847"/>
      <c r="WJ1" s="847"/>
      <c r="WK1" s="847"/>
      <c r="WL1" s="847"/>
      <c r="WM1" s="847"/>
      <c r="WN1" s="14">
        <f>WE1+1</f>
        <v>67</v>
      </c>
      <c r="WP1" s="847" t="str">
        <f>WG1</f>
        <v>ENTRADAS DEL MES DE DICIEMBRE 2018</v>
      </c>
      <c r="WQ1" s="847"/>
      <c r="WR1" s="847"/>
      <c r="WS1" s="847"/>
      <c r="WT1" s="847"/>
      <c r="WU1" s="847"/>
      <c r="WV1" s="847"/>
      <c r="WW1" s="14">
        <f>WN1+1</f>
        <v>68</v>
      </c>
      <c r="WY1" s="847" t="str">
        <f>WP1</f>
        <v>ENTRADAS DEL MES DE DICIEMBRE 2018</v>
      </c>
      <c r="WZ1" s="847"/>
      <c r="XA1" s="847"/>
      <c r="XB1" s="847"/>
      <c r="XC1" s="847"/>
      <c r="XD1" s="847"/>
      <c r="XE1" s="847"/>
      <c r="XF1" s="14">
        <f>WW1+1</f>
        <v>69</v>
      </c>
      <c r="XH1" s="847" t="str">
        <f>WY1</f>
        <v>ENTRADAS DEL MES DE DICIEMBRE 2018</v>
      </c>
      <c r="XI1" s="847"/>
      <c r="XJ1" s="847"/>
      <c r="XK1" s="847"/>
      <c r="XL1" s="847"/>
      <c r="XM1" s="847"/>
      <c r="XN1" s="847"/>
      <c r="XO1" s="14">
        <f>XF1+1</f>
        <v>70</v>
      </c>
      <c r="XQ1" s="847" t="str">
        <f>XH1</f>
        <v>ENTRADAS DEL MES DE DICIEMBRE 2018</v>
      </c>
      <c r="XR1" s="847"/>
      <c r="XS1" s="847"/>
      <c r="XT1" s="847"/>
      <c r="XU1" s="847"/>
      <c r="XV1" s="847"/>
      <c r="XW1" s="847"/>
      <c r="XX1" s="14">
        <f>XO1+1</f>
        <v>71</v>
      </c>
      <c r="XZ1" s="847" t="str">
        <f>XQ1</f>
        <v>ENTRADAS DEL MES DE DICIEMBRE 2018</v>
      </c>
      <c r="YA1" s="847"/>
      <c r="YB1" s="847"/>
      <c r="YC1" s="847"/>
      <c r="YD1" s="847"/>
      <c r="YE1" s="847"/>
      <c r="YF1" s="847"/>
      <c r="YG1" s="14">
        <f>XX1+1</f>
        <v>72</v>
      </c>
      <c r="YI1" s="847" t="str">
        <f>XZ1</f>
        <v>ENTRADAS DEL MES DE DICIEMBRE 2018</v>
      </c>
      <c r="YJ1" s="847"/>
      <c r="YK1" s="847"/>
      <c r="YL1" s="847"/>
      <c r="YM1" s="847"/>
      <c r="YN1" s="847"/>
      <c r="YO1" s="847"/>
      <c r="YP1" s="14">
        <f>YG1+1</f>
        <v>73</v>
      </c>
      <c r="YR1" s="847" t="str">
        <f>YI1</f>
        <v>ENTRADAS DEL MES DE DICIEMBRE 2018</v>
      </c>
      <c r="YS1" s="847"/>
      <c r="YT1" s="847"/>
      <c r="YU1" s="847"/>
      <c r="YV1" s="847"/>
      <c r="YW1" s="847"/>
      <c r="YX1" s="847"/>
      <c r="YY1" s="14">
        <f>YP1+1</f>
        <v>74</v>
      </c>
      <c r="ZA1" s="847" t="str">
        <f>YR1</f>
        <v>ENTRADAS DEL MES DE DICIEMBRE 2018</v>
      </c>
      <c r="ZB1" s="847"/>
      <c r="ZC1" s="847"/>
      <c r="ZD1" s="847"/>
      <c r="ZE1" s="847"/>
      <c r="ZF1" s="847"/>
      <c r="ZG1" s="847"/>
      <c r="ZH1" s="14">
        <f>YY1+1</f>
        <v>75</v>
      </c>
      <c r="ZJ1" s="847" t="str">
        <f>ZA1</f>
        <v>ENTRADAS DEL MES DE DICIEMBRE 2018</v>
      </c>
      <c r="ZK1" s="847"/>
      <c r="ZL1" s="847"/>
      <c r="ZM1" s="847"/>
      <c r="ZN1" s="847"/>
      <c r="ZO1" s="847"/>
      <c r="ZP1" s="847"/>
      <c r="ZQ1" s="14">
        <f>ZH1+1</f>
        <v>76</v>
      </c>
      <c r="ZS1" s="847" t="str">
        <f>ZJ1</f>
        <v>ENTRADAS DEL MES DE DICIEMBRE 2018</v>
      </c>
      <c r="ZT1" s="847"/>
      <c r="ZU1" s="847"/>
      <c r="ZV1" s="847"/>
      <c r="ZW1" s="847"/>
      <c r="ZX1" s="847"/>
      <c r="ZY1" s="847"/>
      <c r="ZZ1" s="14">
        <f>ZQ1+1</f>
        <v>77</v>
      </c>
      <c r="AAB1" s="847" t="str">
        <f>ZS1</f>
        <v>ENTRADAS DEL MES DE DICIEMBRE 2018</v>
      </c>
      <c r="AAC1" s="847"/>
      <c r="AAD1" s="847"/>
      <c r="AAE1" s="847"/>
      <c r="AAF1" s="847"/>
      <c r="AAG1" s="847"/>
      <c r="AAH1" s="847"/>
      <c r="AAI1" s="14">
        <f>ZZ1+1</f>
        <v>78</v>
      </c>
      <c r="AAK1" s="847" t="str">
        <f>AAB1</f>
        <v>ENTRADAS DEL MES DE DICIEMBRE 2018</v>
      </c>
      <c r="AAL1" s="847"/>
      <c r="AAM1" s="847"/>
      <c r="AAN1" s="847"/>
      <c r="AAO1" s="847"/>
      <c r="AAP1" s="847"/>
      <c r="AAQ1" s="847"/>
      <c r="AAR1" s="14">
        <f>AAI1+1</f>
        <v>79</v>
      </c>
      <c r="AAT1" s="847" t="str">
        <f>AAK1</f>
        <v>ENTRADAS DEL MES DE DICIEMBRE 2018</v>
      </c>
      <c r="AAU1" s="847"/>
      <c r="AAV1" s="847"/>
      <c r="AAW1" s="847"/>
      <c r="AAX1" s="847"/>
      <c r="AAY1" s="847"/>
      <c r="AAZ1" s="847"/>
      <c r="ABA1" s="14">
        <f>AAR1+1</f>
        <v>80</v>
      </c>
      <c r="ABC1" s="847" t="str">
        <f>AAT1</f>
        <v>ENTRADAS DEL MES DE DICIEMBRE 2018</v>
      </c>
      <c r="ABD1" s="847"/>
      <c r="ABE1" s="847"/>
      <c r="ABF1" s="847"/>
      <c r="ABG1" s="847"/>
      <c r="ABH1" s="847"/>
      <c r="ABI1" s="847"/>
      <c r="ABJ1" s="14">
        <f>ABA1+1</f>
        <v>81</v>
      </c>
      <c r="ABL1" s="847" t="str">
        <f>ABC1</f>
        <v>ENTRADAS DEL MES DE DICIEMBRE 2018</v>
      </c>
      <c r="ABM1" s="847"/>
      <c r="ABN1" s="847"/>
      <c r="ABO1" s="847"/>
      <c r="ABP1" s="847"/>
      <c r="ABQ1" s="847"/>
      <c r="ABR1" s="847"/>
      <c r="ABS1" s="14">
        <f>ABJ1+1</f>
        <v>82</v>
      </c>
      <c r="ABU1" s="847" t="str">
        <f>ABL1</f>
        <v>ENTRADAS DEL MES DE DICIEMBRE 2018</v>
      </c>
      <c r="ABV1" s="847"/>
      <c r="ABW1" s="847"/>
      <c r="ABX1" s="847"/>
      <c r="ABY1" s="847"/>
      <c r="ABZ1" s="847"/>
      <c r="ACA1" s="847"/>
      <c r="ACB1" s="14">
        <f>ABS1+1</f>
        <v>83</v>
      </c>
      <c r="ACD1" s="847" t="str">
        <f>ABU1</f>
        <v>ENTRADAS DEL MES DE DICIEMBRE 2018</v>
      </c>
      <c r="ACE1" s="847"/>
      <c r="ACF1" s="847"/>
      <c r="ACG1" s="847"/>
      <c r="ACH1" s="847"/>
      <c r="ACI1" s="847"/>
      <c r="ACJ1" s="847"/>
      <c r="ACK1" s="14">
        <f>ACB1+1</f>
        <v>84</v>
      </c>
      <c r="ACM1" s="847" t="str">
        <f>ACD1</f>
        <v>ENTRADAS DEL MES DE DICIEMBRE 2018</v>
      </c>
      <c r="ACN1" s="847"/>
      <c r="ACO1" s="847"/>
      <c r="ACP1" s="847"/>
      <c r="ACQ1" s="847"/>
      <c r="ACR1" s="847"/>
      <c r="ACS1" s="847"/>
      <c r="ACT1" s="14">
        <f>ACK1+1</f>
        <v>85</v>
      </c>
      <c r="ACV1" s="847" t="str">
        <f>ACM1</f>
        <v>ENTRADAS DEL MES DE DICIEMBRE 2018</v>
      </c>
      <c r="ACW1" s="847"/>
      <c r="ACX1" s="847"/>
      <c r="ACY1" s="847"/>
      <c r="ACZ1" s="847"/>
      <c r="ADA1" s="847"/>
      <c r="ADB1" s="847"/>
      <c r="ADC1" s="14">
        <f>ACT1+1</f>
        <v>86</v>
      </c>
    </row>
    <row r="2" spans="1:783" ht="17.25" thickTop="1" thickBot="1" x14ac:dyDescent="0.3">
      <c r="A2" s="44" t="s">
        <v>14</v>
      </c>
      <c r="B2" s="86" t="s">
        <v>0</v>
      </c>
      <c r="C2" s="45" t="s">
        <v>10</v>
      </c>
      <c r="D2" s="33"/>
      <c r="E2" s="224" t="s">
        <v>25</v>
      </c>
      <c r="F2" s="84" t="s">
        <v>3</v>
      </c>
      <c r="G2" s="83" t="s">
        <v>8</v>
      </c>
      <c r="H2" s="85" t="s">
        <v>5</v>
      </c>
      <c r="I2" s="86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4"/>
      <c r="B3" s="16"/>
      <c r="C3" s="16"/>
      <c r="D3" s="72"/>
      <c r="E3" s="155"/>
      <c r="F3" s="74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7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7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7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7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4">
        <v>1</v>
      </c>
      <c r="B4" s="128" t="str">
        <f>K5</f>
        <v>SEABOARD FOODS</v>
      </c>
      <c r="C4" s="658" t="str">
        <f t="shared" ref="C4:I4" si="0">L5</f>
        <v>Seaboard</v>
      </c>
      <c r="D4" s="659" t="str">
        <f t="shared" si="0"/>
        <v>PED. 31744093</v>
      </c>
      <c r="E4" s="155">
        <f t="shared" si="0"/>
        <v>43435</v>
      </c>
      <c r="F4" s="74">
        <f t="shared" si="0"/>
        <v>19210.91</v>
      </c>
      <c r="G4" s="15">
        <f t="shared" si="0"/>
        <v>21</v>
      </c>
      <c r="H4" s="64">
        <f t="shared" si="0"/>
        <v>19201.400000000001</v>
      </c>
      <c r="I4" s="18">
        <f t="shared" si="0"/>
        <v>9.5099999999983993</v>
      </c>
      <c r="L4" s="16" t="s">
        <v>23</v>
      </c>
      <c r="Q4" s="238"/>
      <c r="U4" s="16" t="s">
        <v>23</v>
      </c>
      <c r="Z4" s="238"/>
      <c r="AD4" s="16" t="s">
        <v>23</v>
      </c>
      <c r="AI4" s="238"/>
      <c r="AM4" s="16" t="s">
        <v>23</v>
      </c>
      <c r="AR4" s="119"/>
      <c r="AV4" s="15" t="s">
        <v>23</v>
      </c>
      <c r="BA4" s="238"/>
      <c r="BE4" s="16" t="s">
        <v>23</v>
      </c>
      <c r="BJ4" s="119"/>
      <c r="BN4" s="16" t="s">
        <v>23</v>
      </c>
      <c r="BS4" s="238"/>
      <c r="BW4" s="16" t="s">
        <v>23</v>
      </c>
      <c r="CB4" s="238"/>
      <c r="CF4" s="16" t="s">
        <v>23</v>
      </c>
      <c r="CK4" s="119"/>
      <c r="CO4" s="16" t="s">
        <v>23</v>
      </c>
      <c r="CT4" s="238"/>
      <c r="CX4" s="16" t="s">
        <v>23</v>
      </c>
      <c r="DC4" s="238"/>
      <c r="DG4" s="16" t="s">
        <v>23</v>
      </c>
      <c r="DL4" s="238"/>
      <c r="DP4" s="16" t="s">
        <v>23</v>
      </c>
      <c r="DU4" s="239"/>
      <c r="DY4" s="16" t="s">
        <v>23</v>
      </c>
      <c r="ED4" s="239"/>
      <c r="EH4" s="16" t="s">
        <v>23</v>
      </c>
      <c r="EM4" s="119"/>
      <c r="EQ4" s="119" t="s">
        <v>23</v>
      </c>
      <c r="ES4" s="128"/>
      <c r="ET4" s="270"/>
      <c r="EU4" s="246"/>
      <c r="EV4" s="238"/>
      <c r="EZ4" s="16" t="s">
        <v>23</v>
      </c>
      <c r="FE4" s="119"/>
      <c r="FI4" s="16" t="s">
        <v>23</v>
      </c>
      <c r="FN4" s="119"/>
      <c r="FO4" s="26"/>
      <c r="FR4" s="16" t="s">
        <v>23</v>
      </c>
      <c r="FW4" s="238"/>
      <c r="GA4" s="16" t="s">
        <v>23</v>
      </c>
      <c r="GF4" s="238"/>
      <c r="GI4" s="128"/>
      <c r="GJ4" s="16" t="s">
        <v>23</v>
      </c>
      <c r="GO4" s="238"/>
      <c r="GP4" s="15"/>
      <c r="GS4" s="16" t="s">
        <v>23</v>
      </c>
      <c r="GX4" s="238"/>
      <c r="HB4" s="16" t="s">
        <v>23</v>
      </c>
      <c r="HG4" s="238"/>
      <c r="HI4" s="16" t="s">
        <v>85</v>
      </c>
      <c r="HJ4" s="16" t="s">
        <v>37</v>
      </c>
      <c r="HK4" s="16" t="s">
        <v>23</v>
      </c>
      <c r="HP4" s="238"/>
      <c r="HT4" s="16" t="s">
        <v>23</v>
      </c>
      <c r="HY4" s="238"/>
      <c r="IC4" s="16" t="s">
        <v>23</v>
      </c>
      <c r="IH4" s="238"/>
      <c r="II4" s="192"/>
      <c r="IL4" s="16" t="s">
        <v>23</v>
      </c>
      <c r="IQ4" s="238"/>
      <c r="IU4" s="16" t="s">
        <v>23</v>
      </c>
      <c r="IX4" s="16" t="s">
        <v>95</v>
      </c>
      <c r="IZ4" s="238"/>
      <c r="JA4" s="26"/>
      <c r="JD4" s="16" t="s">
        <v>23</v>
      </c>
      <c r="JG4" s="128"/>
      <c r="JH4" s="128"/>
      <c r="JI4" s="238"/>
      <c r="JM4" s="16" t="s">
        <v>23</v>
      </c>
      <c r="JQ4" s="128"/>
      <c r="JR4" s="119"/>
      <c r="JS4" s="244"/>
      <c r="JV4" s="16" t="s">
        <v>23</v>
      </c>
      <c r="JX4" s="262"/>
      <c r="JY4" s="128"/>
      <c r="JZ4" s="128"/>
      <c r="KA4" s="483"/>
      <c r="KB4" s="128"/>
      <c r="KE4" s="16" t="s">
        <v>23</v>
      </c>
      <c r="KI4" s="128"/>
      <c r="KJ4" s="238"/>
      <c r="KK4" s="192"/>
      <c r="KN4" s="16" t="s">
        <v>23</v>
      </c>
      <c r="KS4" s="238"/>
      <c r="KT4" s="128"/>
      <c r="KW4" s="16" t="s">
        <v>23</v>
      </c>
      <c r="LB4" s="238"/>
      <c r="LC4" s="128"/>
      <c r="LF4" s="16" t="s">
        <v>23</v>
      </c>
      <c r="LK4" s="238"/>
      <c r="LL4" s="128"/>
      <c r="LO4" s="16" t="s">
        <v>23</v>
      </c>
      <c r="LT4" s="238"/>
      <c r="LX4" s="16" t="s">
        <v>23</v>
      </c>
      <c r="MC4" s="238"/>
      <c r="MG4" s="16" t="s">
        <v>23</v>
      </c>
      <c r="ML4" s="238"/>
      <c r="MP4" s="16" t="s">
        <v>23</v>
      </c>
      <c r="MU4" s="238"/>
      <c r="MY4" s="16" t="s">
        <v>23</v>
      </c>
      <c r="NB4" s="128"/>
      <c r="NC4" s="128"/>
      <c r="ND4" s="483"/>
      <c r="NH4" s="16" t="s">
        <v>23</v>
      </c>
      <c r="NM4" s="238"/>
      <c r="NQ4" s="16" t="s">
        <v>23</v>
      </c>
      <c r="NV4" s="238"/>
      <c r="NZ4" s="16" t="s">
        <v>23</v>
      </c>
      <c r="OE4" s="238"/>
      <c r="OI4" s="16" t="s">
        <v>23</v>
      </c>
      <c r="OK4" s="128"/>
      <c r="OL4" s="128"/>
      <c r="OM4" s="128"/>
      <c r="ON4" s="238"/>
      <c r="OR4" s="16" t="s">
        <v>23</v>
      </c>
      <c r="OW4" s="238"/>
      <c r="PA4" s="16" t="s">
        <v>23</v>
      </c>
      <c r="PF4" s="238"/>
      <c r="PJ4" s="16" t="s">
        <v>23</v>
      </c>
      <c r="PO4" s="238"/>
      <c r="PS4" s="16" t="s">
        <v>23</v>
      </c>
      <c r="PX4" s="238"/>
      <c r="QB4" s="16" t="s">
        <v>23</v>
      </c>
      <c r="QG4" s="238"/>
      <c r="QK4" s="16" t="s">
        <v>23</v>
      </c>
      <c r="QP4" s="238"/>
      <c r="QT4" s="16" t="s">
        <v>23</v>
      </c>
      <c r="QY4" s="238"/>
      <c r="RC4" s="16" t="s">
        <v>23</v>
      </c>
      <c r="RH4" s="238"/>
      <c r="RL4" s="16" t="s">
        <v>23</v>
      </c>
      <c r="RQ4" s="238"/>
      <c r="RU4" s="16" t="s">
        <v>23</v>
      </c>
      <c r="RZ4" s="238"/>
      <c r="SD4" s="16" t="s">
        <v>23</v>
      </c>
      <c r="SI4" s="238"/>
      <c r="SM4" s="16" t="s">
        <v>23</v>
      </c>
      <c r="SR4" s="238"/>
      <c r="SV4" s="16" t="s">
        <v>23</v>
      </c>
      <c r="TA4" s="238"/>
      <c r="TE4" s="16" t="s">
        <v>23</v>
      </c>
      <c r="TJ4" s="238"/>
      <c r="TN4" s="16" t="s">
        <v>23</v>
      </c>
      <c r="TS4" s="238"/>
      <c r="TW4" s="16" t="s">
        <v>23</v>
      </c>
      <c r="UB4" s="238"/>
      <c r="UF4" s="16" t="s">
        <v>23</v>
      </c>
      <c r="UK4" s="238"/>
      <c r="UO4" s="16" t="s">
        <v>23</v>
      </c>
      <c r="UT4" s="238"/>
      <c r="UX4" s="16" t="s">
        <v>23</v>
      </c>
      <c r="VC4" s="238"/>
      <c r="VG4" s="16" t="s">
        <v>23</v>
      </c>
      <c r="VL4" s="238"/>
      <c r="VP4" s="16" t="s">
        <v>23</v>
      </c>
      <c r="VU4" s="238"/>
      <c r="VY4" s="16" t="s">
        <v>23</v>
      </c>
      <c r="WD4" s="238"/>
      <c r="WH4" s="16" t="s">
        <v>23</v>
      </c>
      <c r="WM4" s="238"/>
      <c r="WQ4" s="16" t="s">
        <v>23</v>
      </c>
      <c r="WV4" s="238"/>
      <c r="WZ4" s="16" t="s">
        <v>23</v>
      </c>
      <c r="XE4" s="238"/>
      <c r="XI4" s="16" t="s">
        <v>23</v>
      </c>
      <c r="XN4" s="238"/>
      <c r="XR4" s="16" t="s">
        <v>23</v>
      </c>
      <c r="XW4" s="238"/>
      <c r="YA4" s="16" t="s">
        <v>23</v>
      </c>
      <c r="YF4" s="238"/>
      <c r="YJ4" s="16" t="s">
        <v>23</v>
      </c>
      <c r="YO4" s="238"/>
      <c r="YS4" s="16" t="s">
        <v>23</v>
      </c>
      <c r="YX4" s="238"/>
      <c r="ZB4" s="16" t="s">
        <v>23</v>
      </c>
      <c r="ZG4" s="238"/>
      <c r="ZK4" s="16" t="s">
        <v>23</v>
      </c>
      <c r="ZP4" s="238"/>
      <c r="ZT4" s="16" t="s">
        <v>23</v>
      </c>
      <c r="ZY4" s="238"/>
      <c r="AAC4" s="16" t="s">
        <v>23</v>
      </c>
      <c r="AAH4" s="238"/>
      <c r="AAL4" s="16" t="s">
        <v>23</v>
      </c>
      <c r="AAQ4" s="238"/>
      <c r="AAU4" s="16" t="s">
        <v>23</v>
      </c>
      <c r="AAZ4" s="238"/>
      <c r="ABD4" s="16" t="s">
        <v>23</v>
      </c>
      <c r="ABI4" s="238"/>
      <c r="ABM4" s="16" t="s">
        <v>23</v>
      </c>
      <c r="ABR4" s="238"/>
      <c r="ABV4" s="16" t="s">
        <v>23</v>
      </c>
      <c r="ACA4" s="238"/>
      <c r="ACE4" s="16" t="s">
        <v>23</v>
      </c>
      <c r="ACJ4" s="238"/>
      <c r="ACN4" s="16" t="s">
        <v>23</v>
      </c>
      <c r="ACS4" s="238"/>
      <c r="ACW4" s="16" t="s">
        <v>23</v>
      </c>
      <c r="ADB4" s="238"/>
    </row>
    <row r="5" spans="1:783" s="126" customFormat="1" ht="15.75" customHeight="1" x14ac:dyDescent="0.25">
      <c r="A5" s="267">
        <v>2</v>
      </c>
      <c r="B5" s="128" t="str">
        <f t="shared" ref="B5:I5" si="1">T5</f>
        <v>SEABOARD FOODS</v>
      </c>
      <c r="C5" s="128" t="str">
        <f t="shared" si="1"/>
        <v>Seaboard</v>
      </c>
      <c r="D5" s="185" t="str">
        <f t="shared" si="1"/>
        <v>PED. 31747900</v>
      </c>
      <c r="E5" s="263">
        <f t="shared" si="1"/>
        <v>43435</v>
      </c>
      <c r="F5" s="161">
        <f t="shared" si="1"/>
        <v>18917.59</v>
      </c>
      <c r="G5" s="119">
        <f t="shared" si="1"/>
        <v>21</v>
      </c>
      <c r="H5" s="64">
        <f t="shared" si="1"/>
        <v>18890.2</v>
      </c>
      <c r="I5" s="192">
        <f t="shared" si="1"/>
        <v>27.389999999999418</v>
      </c>
      <c r="K5" s="128" t="s">
        <v>100</v>
      </c>
      <c r="L5" s="747" t="s">
        <v>222</v>
      </c>
      <c r="M5" s="185" t="s">
        <v>223</v>
      </c>
      <c r="N5" s="263">
        <v>43435</v>
      </c>
      <c r="O5" s="161">
        <v>19210.91</v>
      </c>
      <c r="P5" s="119">
        <v>21</v>
      </c>
      <c r="Q5" s="788">
        <v>19201.400000000001</v>
      </c>
      <c r="R5" s="268">
        <f>O5-Q5</f>
        <v>9.5099999999983993</v>
      </c>
      <c r="T5" s="128" t="s">
        <v>100</v>
      </c>
      <c r="U5" s="747" t="s">
        <v>222</v>
      </c>
      <c r="V5" s="185" t="s">
        <v>224</v>
      </c>
      <c r="W5" s="263">
        <v>43435</v>
      </c>
      <c r="X5" s="161">
        <v>18917.59</v>
      </c>
      <c r="Y5" s="119">
        <v>21</v>
      </c>
      <c r="Z5" s="788">
        <v>18890.2</v>
      </c>
      <c r="AA5" s="268">
        <f>X5-Z5</f>
        <v>27.389999999999418</v>
      </c>
      <c r="AC5" s="128" t="s">
        <v>225</v>
      </c>
      <c r="AD5" s="748" t="s">
        <v>226</v>
      </c>
      <c r="AE5" s="185" t="s">
        <v>227</v>
      </c>
      <c r="AF5" s="263">
        <v>43436</v>
      </c>
      <c r="AG5" s="161">
        <v>18844.38</v>
      </c>
      <c r="AH5" s="119">
        <v>20</v>
      </c>
      <c r="AI5" s="788">
        <v>18967.34</v>
      </c>
      <c r="AJ5" s="268">
        <f>AG5-AI5</f>
        <v>-122.95999999999913</v>
      </c>
      <c r="AK5" s="128"/>
      <c r="AL5" s="128" t="s">
        <v>225</v>
      </c>
      <c r="AM5" s="748" t="s">
        <v>226</v>
      </c>
      <c r="AN5" s="185" t="s">
        <v>228</v>
      </c>
      <c r="AO5" s="262">
        <v>43441</v>
      </c>
      <c r="AP5" s="161">
        <v>17700.86</v>
      </c>
      <c r="AQ5" s="119">
        <v>19</v>
      </c>
      <c r="AR5" s="788">
        <v>17775.05</v>
      </c>
      <c r="AS5" s="268">
        <f>AP5-AR5</f>
        <v>-74.18999999999869</v>
      </c>
      <c r="AU5" s="128" t="s">
        <v>100</v>
      </c>
      <c r="AV5" s="749" t="s">
        <v>222</v>
      </c>
      <c r="AW5" s="185" t="s">
        <v>229</v>
      </c>
      <c r="AX5" s="263">
        <v>43441</v>
      </c>
      <c r="AY5" s="161">
        <v>18923.54</v>
      </c>
      <c r="AZ5" s="119">
        <v>21</v>
      </c>
      <c r="BA5" s="788">
        <v>18940.099999999999</v>
      </c>
      <c r="BB5" s="268">
        <f>AY5-BA5</f>
        <v>-16.559999999997672</v>
      </c>
      <c r="BD5" s="128" t="s">
        <v>100</v>
      </c>
      <c r="BE5" s="749" t="s">
        <v>222</v>
      </c>
      <c r="BF5" s="210" t="s">
        <v>230</v>
      </c>
      <c r="BG5" s="262">
        <v>43441</v>
      </c>
      <c r="BH5" s="161">
        <v>19103.48</v>
      </c>
      <c r="BI5" s="119">
        <v>21</v>
      </c>
      <c r="BJ5" s="788">
        <v>19133.900000000001</v>
      </c>
      <c r="BK5" s="268">
        <f>BH5-BJ5</f>
        <v>-30.420000000001892</v>
      </c>
      <c r="BM5" s="128" t="s">
        <v>245</v>
      </c>
      <c r="BN5" s="751" t="s">
        <v>246</v>
      </c>
      <c r="BO5" s="185" t="s">
        <v>247</v>
      </c>
      <c r="BP5" s="262">
        <v>43438</v>
      </c>
      <c r="BQ5" s="161">
        <v>18809.07</v>
      </c>
      <c r="BR5" s="119">
        <v>21</v>
      </c>
      <c r="BS5" s="788">
        <v>18878</v>
      </c>
      <c r="BT5" s="268">
        <f>BQ5-BS5</f>
        <v>-68.930000000000291</v>
      </c>
      <c r="BV5" s="128" t="s">
        <v>248</v>
      </c>
      <c r="BW5" s="751" t="s">
        <v>246</v>
      </c>
      <c r="BX5" s="185" t="s">
        <v>249</v>
      </c>
      <c r="BY5" s="262">
        <v>43438</v>
      </c>
      <c r="BZ5" s="161">
        <v>18831.27</v>
      </c>
      <c r="CA5" s="119">
        <v>21</v>
      </c>
      <c r="CB5" s="788">
        <v>18931</v>
      </c>
      <c r="CC5" s="268">
        <f>BZ5-CB5</f>
        <v>-99.729999999999563</v>
      </c>
      <c r="CE5" s="128" t="s">
        <v>255</v>
      </c>
      <c r="CF5" s="752" t="s">
        <v>256</v>
      </c>
      <c r="CG5" s="185" t="s">
        <v>257</v>
      </c>
      <c r="CH5" s="262">
        <v>43439</v>
      </c>
      <c r="CI5" s="161">
        <v>19006.400000000001</v>
      </c>
      <c r="CJ5" s="119">
        <v>20</v>
      </c>
      <c r="CK5" s="788">
        <v>19116.080000000002</v>
      </c>
      <c r="CL5" s="268">
        <f>CI5-CK5</f>
        <v>-109.68000000000029</v>
      </c>
      <c r="CN5" s="128" t="s">
        <v>258</v>
      </c>
      <c r="CO5" s="538" t="s">
        <v>256</v>
      </c>
      <c r="CP5" s="210" t="s">
        <v>259</v>
      </c>
      <c r="CQ5" s="262">
        <v>43439</v>
      </c>
      <c r="CR5" s="161">
        <v>18308.88</v>
      </c>
      <c r="CS5" s="119">
        <v>20</v>
      </c>
      <c r="CT5" s="788">
        <v>18333.650000000001</v>
      </c>
      <c r="CU5" s="268">
        <f>CR5-CT5</f>
        <v>-24.770000000000437</v>
      </c>
      <c r="CW5" s="128" t="s">
        <v>225</v>
      </c>
      <c r="CX5" s="753" t="s">
        <v>226</v>
      </c>
      <c r="CY5" s="185" t="s">
        <v>260</v>
      </c>
      <c r="CZ5" s="262">
        <v>43439</v>
      </c>
      <c r="DA5" s="161">
        <v>18443.849999999999</v>
      </c>
      <c r="DB5" s="119">
        <v>20</v>
      </c>
      <c r="DC5" s="788">
        <v>18517.46</v>
      </c>
      <c r="DD5" s="268">
        <f>DA5-DC5</f>
        <v>-73.610000000000582</v>
      </c>
      <c r="DF5" s="128" t="s">
        <v>261</v>
      </c>
      <c r="DG5" s="752" t="s">
        <v>256</v>
      </c>
      <c r="DH5" s="210" t="s">
        <v>262</v>
      </c>
      <c r="DI5" s="262">
        <v>43440</v>
      </c>
      <c r="DJ5" s="161">
        <v>18903.46</v>
      </c>
      <c r="DK5" s="119">
        <v>20</v>
      </c>
      <c r="DL5" s="788">
        <v>18992.71</v>
      </c>
      <c r="DM5" s="268">
        <f>DJ5-DL5</f>
        <v>-89.25</v>
      </c>
      <c r="DO5" s="128" t="s">
        <v>225</v>
      </c>
      <c r="DP5" s="748" t="s">
        <v>226</v>
      </c>
      <c r="DQ5" s="210" t="s">
        <v>263</v>
      </c>
      <c r="DR5" s="262">
        <v>43442</v>
      </c>
      <c r="DS5" s="161">
        <v>18057.29</v>
      </c>
      <c r="DT5" s="119">
        <v>19</v>
      </c>
      <c r="DU5" s="788">
        <v>18146.939999999999</v>
      </c>
      <c r="DV5" s="268">
        <f>DS5-DU5</f>
        <v>-89.649999999997817</v>
      </c>
      <c r="DX5" s="128" t="s">
        <v>100</v>
      </c>
      <c r="DY5" s="747" t="s">
        <v>222</v>
      </c>
      <c r="DZ5" s="210" t="s">
        <v>277</v>
      </c>
      <c r="EA5" s="262">
        <v>43444</v>
      </c>
      <c r="EB5" s="161">
        <v>19095.099999999999</v>
      </c>
      <c r="EC5" s="119">
        <v>21</v>
      </c>
      <c r="ED5" s="788">
        <v>19061.099999999999</v>
      </c>
      <c r="EE5" s="268">
        <f>EB5-ED5</f>
        <v>34</v>
      </c>
      <c r="EG5" s="128" t="s">
        <v>100</v>
      </c>
      <c r="EH5" s="747" t="s">
        <v>222</v>
      </c>
      <c r="EI5" s="210" t="s">
        <v>278</v>
      </c>
      <c r="EJ5" s="262">
        <v>43442</v>
      </c>
      <c r="EK5" s="161">
        <v>19034.919999999998</v>
      </c>
      <c r="EL5" s="119">
        <v>21</v>
      </c>
      <c r="EM5" s="793">
        <v>19024.099999999999</v>
      </c>
      <c r="EN5" s="268">
        <f>EK5-EM5</f>
        <v>10.819999999999709</v>
      </c>
      <c r="EP5" s="128" t="s">
        <v>225</v>
      </c>
      <c r="EQ5" s="748" t="s">
        <v>226</v>
      </c>
      <c r="ER5" s="210" t="s">
        <v>279</v>
      </c>
      <c r="ES5" s="262">
        <v>43445</v>
      </c>
      <c r="ET5" s="161">
        <v>19161.5</v>
      </c>
      <c r="EU5" s="119">
        <v>20</v>
      </c>
      <c r="EV5" s="793">
        <v>19337.439999999999</v>
      </c>
      <c r="EW5" s="268">
        <f>ET5-EV5</f>
        <v>-175.93999999999869</v>
      </c>
      <c r="EY5" s="128" t="s">
        <v>280</v>
      </c>
      <c r="EZ5" s="748" t="s">
        <v>226</v>
      </c>
      <c r="FA5" s="210" t="s">
        <v>281</v>
      </c>
      <c r="FB5" s="262">
        <v>43445</v>
      </c>
      <c r="FC5" s="161">
        <v>19131.349999999999</v>
      </c>
      <c r="FD5" s="119">
        <v>20</v>
      </c>
      <c r="FE5" s="788">
        <v>19231.3</v>
      </c>
      <c r="FF5" s="268">
        <f>FC5-FE5</f>
        <v>-99.950000000000728</v>
      </c>
      <c r="FH5" s="128" t="s">
        <v>245</v>
      </c>
      <c r="FI5" s="754" t="s">
        <v>246</v>
      </c>
      <c r="FJ5" s="242" t="s">
        <v>282</v>
      </c>
      <c r="FK5" s="262">
        <v>43445</v>
      </c>
      <c r="FL5" s="161">
        <v>18637.07</v>
      </c>
      <c r="FM5" s="119">
        <v>21</v>
      </c>
      <c r="FN5" s="788">
        <v>18761</v>
      </c>
      <c r="FO5" s="268">
        <f>FL5-FN5</f>
        <v>-123.93000000000029</v>
      </c>
      <c r="FQ5" s="128" t="s">
        <v>261</v>
      </c>
      <c r="FR5" s="538" t="s">
        <v>256</v>
      </c>
      <c r="FS5" s="210" t="s">
        <v>283</v>
      </c>
      <c r="FT5" s="263">
        <v>43445</v>
      </c>
      <c r="FU5" s="161">
        <v>19109.84</v>
      </c>
      <c r="FV5" s="119">
        <v>20</v>
      </c>
      <c r="FW5" s="788">
        <v>19169.169999999998</v>
      </c>
      <c r="FX5" s="268">
        <f>FU5-FW5</f>
        <v>-59.329999999998108</v>
      </c>
      <c r="FZ5" s="128" t="s">
        <v>280</v>
      </c>
      <c r="GA5" s="748" t="s">
        <v>226</v>
      </c>
      <c r="GB5" s="119" t="s">
        <v>284</v>
      </c>
      <c r="GC5" s="263">
        <v>43446</v>
      </c>
      <c r="GD5" s="161">
        <v>18836.439999999999</v>
      </c>
      <c r="GE5" s="119">
        <v>20</v>
      </c>
      <c r="GF5" s="788">
        <v>18963.259999999998</v>
      </c>
      <c r="GG5" s="268">
        <f>GD5-GF5</f>
        <v>-126.81999999999971</v>
      </c>
      <c r="GH5" s="128"/>
      <c r="GI5" s="128" t="s">
        <v>285</v>
      </c>
      <c r="GJ5" s="748" t="s">
        <v>226</v>
      </c>
      <c r="GK5" s="210" t="s">
        <v>286</v>
      </c>
      <c r="GL5" s="263">
        <v>43446</v>
      </c>
      <c r="GM5" s="161">
        <v>19099.68</v>
      </c>
      <c r="GN5" s="119">
        <v>20</v>
      </c>
      <c r="GO5" s="788">
        <v>18806.34</v>
      </c>
      <c r="GP5" s="268">
        <f>GM5-GO5</f>
        <v>293.34000000000015</v>
      </c>
      <c r="GR5" s="128" t="s">
        <v>100</v>
      </c>
      <c r="GS5" s="747" t="s">
        <v>222</v>
      </c>
      <c r="GT5" s="210" t="s">
        <v>305</v>
      </c>
      <c r="GU5" s="262">
        <v>43447</v>
      </c>
      <c r="GV5" s="161">
        <v>19150.75</v>
      </c>
      <c r="GW5" s="119">
        <v>21</v>
      </c>
      <c r="GX5" s="793">
        <v>19170.599999999999</v>
      </c>
      <c r="GY5" s="268">
        <f>GV5-GX5</f>
        <v>-19.849999999998545</v>
      </c>
      <c r="GZ5" s="128"/>
      <c r="HA5" s="380" t="s">
        <v>255</v>
      </c>
      <c r="HB5" s="747" t="s">
        <v>222</v>
      </c>
      <c r="HC5" s="210" t="s">
        <v>311</v>
      </c>
      <c r="HD5" s="262">
        <v>43448</v>
      </c>
      <c r="HE5" s="161">
        <v>16203.52</v>
      </c>
      <c r="HF5" s="119">
        <v>18</v>
      </c>
      <c r="HG5" s="788">
        <v>16247.6</v>
      </c>
      <c r="HH5" s="268">
        <f>HE5-HG5</f>
        <v>-44.079999999999927</v>
      </c>
      <c r="HI5" s="128"/>
      <c r="HJ5" s="741" t="s">
        <v>312</v>
      </c>
      <c r="HK5" s="748" t="s">
        <v>226</v>
      </c>
      <c r="HL5" s="242" t="s">
        <v>313</v>
      </c>
      <c r="HM5" s="263">
        <v>43448</v>
      </c>
      <c r="HN5" s="161">
        <v>18519.490000000002</v>
      </c>
      <c r="HO5" s="119">
        <v>20</v>
      </c>
      <c r="HP5" s="788">
        <v>18953.21</v>
      </c>
      <c r="HQ5" s="268">
        <f>HN5-HP5</f>
        <v>-433.71999999999753</v>
      </c>
      <c r="HS5" s="128" t="s">
        <v>280</v>
      </c>
      <c r="HT5" s="748" t="s">
        <v>226</v>
      </c>
      <c r="HU5" s="732" t="s">
        <v>314</v>
      </c>
      <c r="HV5" s="262">
        <v>43448</v>
      </c>
      <c r="HW5" s="161">
        <v>19022.88</v>
      </c>
      <c r="HX5" s="119">
        <v>20</v>
      </c>
      <c r="HY5" s="788">
        <v>19332.900000000001</v>
      </c>
      <c r="HZ5" s="268">
        <f>HW5-HY5</f>
        <v>-310.02000000000044</v>
      </c>
      <c r="IB5" s="128" t="s">
        <v>100</v>
      </c>
      <c r="IC5" s="747" t="s">
        <v>222</v>
      </c>
      <c r="ID5" s="210" t="s">
        <v>315</v>
      </c>
      <c r="IE5" s="262">
        <v>43449</v>
      </c>
      <c r="IF5" s="161">
        <v>16315.02</v>
      </c>
      <c r="IG5" s="119">
        <v>18</v>
      </c>
      <c r="IH5" s="793">
        <v>16343.8</v>
      </c>
      <c r="II5" s="268">
        <f>IF5-IH5</f>
        <v>-28.779999999998836</v>
      </c>
      <c r="IK5" s="128" t="s">
        <v>225</v>
      </c>
      <c r="IL5" s="748" t="s">
        <v>226</v>
      </c>
      <c r="IM5" s="242" t="s">
        <v>316</v>
      </c>
      <c r="IN5" s="262">
        <v>43449</v>
      </c>
      <c r="IO5" s="161">
        <v>19084.8</v>
      </c>
      <c r="IP5" s="119">
        <v>20</v>
      </c>
      <c r="IQ5" s="788">
        <v>19247.63</v>
      </c>
      <c r="IR5" s="268">
        <f>IO5-IQ5</f>
        <v>-162.83000000000175</v>
      </c>
      <c r="IT5" s="128" t="s">
        <v>100</v>
      </c>
      <c r="IU5" s="747" t="s">
        <v>222</v>
      </c>
      <c r="IV5" s="185" t="s">
        <v>317</v>
      </c>
      <c r="IW5" s="263">
        <v>43450</v>
      </c>
      <c r="IX5" s="161">
        <v>18675.97</v>
      </c>
      <c r="IY5" s="119">
        <v>21</v>
      </c>
      <c r="IZ5" s="788">
        <v>18720.599999999999</v>
      </c>
      <c r="JA5" s="268">
        <f>IX5-IZ5</f>
        <v>-44.629999999997381</v>
      </c>
      <c r="JC5" s="128" t="s">
        <v>100</v>
      </c>
      <c r="JD5" s="747" t="s">
        <v>222</v>
      </c>
      <c r="JE5" s="210" t="s">
        <v>318</v>
      </c>
      <c r="JF5" s="263">
        <v>43450</v>
      </c>
      <c r="JG5" s="161">
        <v>18682.89</v>
      </c>
      <c r="JH5" s="119">
        <v>21</v>
      </c>
      <c r="JI5" s="788">
        <v>18771.099999999999</v>
      </c>
      <c r="JJ5" s="268">
        <f>JG5-JI5</f>
        <v>-88.209999999999127</v>
      </c>
      <c r="JL5" s="848" t="s">
        <v>358</v>
      </c>
      <c r="JM5" s="748" t="s">
        <v>226</v>
      </c>
      <c r="JN5" s="185" t="s">
        <v>359</v>
      </c>
      <c r="JO5" s="263">
        <v>43452</v>
      </c>
      <c r="JP5" s="161">
        <v>18764.29</v>
      </c>
      <c r="JQ5" s="119">
        <v>20</v>
      </c>
      <c r="JR5" s="788">
        <v>18931.53</v>
      </c>
      <c r="JS5" s="268">
        <f>JP5-JR5</f>
        <v>-167.23999999999796</v>
      </c>
      <c r="JU5" s="128" t="s">
        <v>255</v>
      </c>
      <c r="JV5" s="538" t="s">
        <v>256</v>
      </c>
      <c r="JW5" s="210" t="s">
        <v>360</v>
      </c>
      <c r="JX5" s="262">
        <v>43452</v>
      </c>
      <c r="JY5" s="161">
        <v>18691.78</v>
      </c>
      <c r="JZ5" s="119">
        <v>20</v>
      </c>
      <c r="KA5" s="788">
        <v>18638.900000000001</v>
      </c>
      <c r="KB5" s="268">
        <f>JY5-KA5</f>
        <v>52.879999999997381</v>
      </c>
      <c r="KD5" s="128" t="s">
        <v>245</v>
      </c>
      <c r="KE5" s="754" t="s">
        <v>246</v>
      </c>
      <c r="KF5" s="185" t="s">
        <v>361</v>
      </c>
      <c r="KG5" s="262">
        <v>43452</v>
      </c>
      <c r="KH5" s="161">
        <v>18716.27</v>
      </c>
      <c r="KI5" s="119">
        <v>21</v>
      </c>
      <c r="KJ5" s="788">
        <v>18871</v>
      </c>
      <c r="KK5" s="268">
        <f>KH5-KJ5</f>
        <v>-154.72999999999956</v>
      </c>
      <c r="KL5" s="128"/>
      <c r="KM5" s="128" t="s">
        <v>255</v>
      </c>
      <c r="KN5" s="747" t="s">
        <v>222</v>
      </c>
      <c r="KO5" s="185" t="s">
        <v>362</v>
      </c>
      <c r="KP5" s="263">
        <v>43453</v>
      </c>
      <c r="KQ5" s="161">
        <v>19146.5</v>
      </c>
      <c r="KR5" s="119">
        <v>21</v>
      </c>
      <c r="KS5" s="788">
        <v>19191.3</v>
      </c>
      <c r="KT5" s="268">
        <f>KQ5-KS5</f>
        <v>-44.799999999999272</v>
      </c>
      <c r="KV5" s="128" t="s">
        <v>225</v>
      </c>
      <c r="KW5" s="748" t="s">
        <v>226</v>
      </c>
      <c r="KX5" s="185" t="s">
        <v>363</v>
      </c>
      <c r="KY5" s="263">
        <v>43453</v>
      </c>
      <c r="KZ5" s="161">
        <v>18894.86</v>
      </c>
      <c r="LA5" s="119">
        <v>20</v>
      </c>
      <c r="LB5" s="788">
        <v>18872.099999999999</v>
      </c>
      <c r="LC5" s="268">
        <f>KZ5-LB5</f>
        <v>22.760000000002037</v>
      </c>
      <c r="LE5" s="128" t="s">
        <v>225</v>
      </c>
      <c r="LF5" s="748" t="s">
        <v>226</v>
      </c>
      <c r="LG5" s="210" t="s">
        <v>364</v>
      </c>
      <c r="LH5" s="263">
        <v>43453</v>
      </c>
      <c r="LI5" s="161">
        <v>18945.68</v>
      </c>
      <c r="LJ5" s="119">
        <v>20</v>
      </c>
      <c r="LK5" s="788">
        <v>18644.43</v>
      </c>
      <c r="LL5" s="268">
        <f>LI5-LK5</f>
        <v>301.25</v>
      </c>
      <c r="LN5" s="128" t="s">
        <v>225</v>
      </c>
      <c r="LO5" s="748" t="s">
        <v>226</v>
      </c>
      <c r="LP5" s="185" t="s">
        <v>365</v>
      </c>
      <c r="LQ5" s="263">
        <v>43453</v>
      </c>
      <c r="LR5" s="161">
        <v>18561.97</v>
      </c>
      <c r="LS5" s="119">
        <v>20</v>
      </c>
      <c r="LT5" s="788">
        <v>18606.36</v>
      </c>
      <c r="LU5" s="268">
        <f>LR5-LT5</f>
        <v>-44.389999999999418</v>
      </c>
      <c r="LW5" s="128" t="s">
        <v>100</v>
      </c>
      <c r="LX5" s="747" t="s">
        <v>366</v>
      </c>
      <c r="LY5" s="185" t="s">
        <v>367</v>
      </c>
      <c r="LZ5" s="263">
        <v>43454</v>
      </c>
      <c r="MA5" s="161">
        <v>19010.29</v>
      </c>
      <c r="MB5" s="119">
        <v>21</v>
      </c>
      <c r="MC5" s="788">
        <v>19114.8</v>
      </c>
      <c r="MD5" s="268">
        <f>MA5-MC5</f>
        <v>-104.5099999999984</v>
      </c>
      <c r="MF5" s="128" t="s">
        <v>100</v>
      </c>
      <c r="MG5" s="747" t="s">
        <v>222</v>
      </c>
      <c r="MH5" s="185" t="s">
        <v>368</v>
      </c>
      <c r="MI5" s="263">
        <v>43455</v>
      </c>
      <c r="MJ5" s="161">
        <v>18642.97</v>
      </c>
      <c r="MK5" s="119">
        <v>21</v>
      </c>
      <c r="ML5" s="788">
        <v>18699.900000000001</v>
      </c>
      <c r="MM5" s="268">
        <f>MJ5-ML5</f>
        <v>-56.930000000000291</v>
      </c>
      <c r="MO5" s="128" t="s">
        <v>369</v>
      </c>
      <c r="MP5" s="748" t="s">
        <v>226</v>
      </c>
      <c r="MQ5" s="210" t="s">
        <v>370</v>
      </c>
      <c r="MR5" s="263">
        <v>43456</v>
      </c>
      <c r="MS5" s="161">
        <v>17895.66</v>
      </c>
      <c r="MT5" s="119">
        <v>19</v>
      </c>
      <c r="MU5" s="788">
        <v>17995.45</v>
      </c>
      <c r="MV5" s="268">
        <f>MS5-MU5</f>
        <v>-99.790000000000873</v>
      </c>
      <c r="MX5" s="128" t="s">
        <v>100</v>
      </c>
      <c r="MY5" s="747" t="s">
        <v>222</v>
      </c>
      <c r="MZ5" s="185" t="s">
        <v>371</v>
      </c>
      <c r="NA5" s="263">
        <v>43456</v>
      </c>
      <c r="NB5" s="161">
        <v>19111.86</v>
      </c>
      <c r="NC5" s="119">
        <v>21</v>
      </c>
      <c r="ND5" s="788">
        <v>19239.5</v>
      </c>
      <c r="NE5" s="268">
        <f>NB5-ND5</f>
        <v>-127.63999999999942</v>
      </c>
      <c r="NF5" s="128"/>
      <c r="NG5" s="128" t="s">
        <v>100</v>
      </c>
      <c r="NH5" s="747" t="s">
        <v>222</v>
      </c>
      <c r="NI5" s="185" t="s">
        <v>372</v>
      </c>
      <c r="NJ5" s="262">
        <v>43456</v>
      </c>
      <c r="NK5" s="161">
        <v>18674.21</v>
      </c>
      <c r="NL5" s="119">
        <v>21</v>
      </c>
      <c r="NM5" s="788">
        <v>18676.3</v>
      </c>
      <c r="NN5" s="268">
        <f>NK5-NM5</f>
        <v>-2.0900000000001455</v>
      </c>
      <c r="NP5" s="128" t="s">
        <v>100</v>
      </c>
      <c r="NQ5" s="747" t="s">
        <v>222</v>
      </c>
      <c r="NR5" s="210" t="s">
        <v>373</v>
      </c>
      <c r="NS5" s="263">
        <v>43456</v>
      </c>
      <c r="NT5" s="161">
        <v>19485.13</v>
      </c>
      <c r="NU5" s="119">
        <v>214</v>
      </c>
      <c r="NV5" s="788">
        <v>19533.7</v>
      </c>
      <c r="NW5" s="268">
        <f>NT5-NV5</f>
        <v>-48.569999999999709</v>
      </c>
      <c r="NY5" s="128" t="s">
        <v>622</v>
      </c>
      <c r="NZ5" s="748" t="s">
        <v>226</v>
      </c>
      <c r="OA5" s="185" t="s">
        <v>374</v>
      </c>
      <c r="OB5" s="262">
        <v>43456</v>
      </c>
      <c r="OC5" s="161">
        <v>17846.62</v>
      </c>
      <c r="OD5" s="119">
        <v>19</v>
      </c>
      <c r="OE5" s="788">
        <v>17983.21</v>
      </c>
      <c r="OF5" s="268">
        <f>OC5-OE5</f>
        <v>-136.59000000000015</v>
      </c>
      <c r="OH5" s="128" t="s">
        <v>255</v>
      </c>
      <c r="OI5" s="747" t="s">
        <v>222</v>
      </c>
      <c r="OJ5" s="185" t="s">
        <v>375</v>
      </c>
      <c r="OK5" s="263">
        <v>43456</v>
      </c>
      <c r="OL5" s="161">
        <v>18710.03</v>
      </c>
      <c r="OM5" s="119">
        <v>21</v>
      </c>
      <c r="ON5" s="788">
        <v>18844.8</v>
      </c>
      <c r="OO5" s="268">
        <f>OL5-ON5</f>
        <v>-134.77000000000044</v>
      </c>
      <c r="OQ5" s="128" t="s">
        <v>100</v>
      </c>
      <c r="OR5" s="747" t="s">
        <v>380</v>
      </c>
      <c r="OS5" s="185" t="s">
        <v>381</v>
      </c>
      <c r="OT5" s="262">
        <v>43456</v>
      </c>
      <c r="OU5" s="161">
        <v>18844.64</v>
      </c>
      <c r="OV5" s="119">
        <v>21</v>
      </c>
      <c r="OW5" s="788">
        <v>18904.8</v>
      </c>
      <c r="OX5" s="268">
        <f>OU5-OW5</f>
        <v>-60.159999999999854</v>
      </c>
      <c r="OZ5" s="128" t="s">
        <v>225</v>
      </c>
      <c r="PA5" s="748" t="s">
        <v>226</v>
      </c>
      <c r="PB5" s="185" t="s">
        <v>376</v>
      </c>
      <c r="PC5" s="262">
        <v>43457</v>
      </c>
      <c r="PD5" s="161">
        <v>17511.400000000001</v>
      </c>
      <c r="PE5" s="119">
        <v>19</v>
      </c>
      <c r="PF5" s="788">
        <v>17607.7</v>
      </c>
      <c r="PG5" s="268">
        <f>PD5-PF5</f>
        <v>-96.299999999999272</v>
      </c>
      <c r="PI5" s="128" t="s">
        <v>255</v>
      </c>
      <c r="PJ5" s="754" t="s">
        <v>246</v>
      </c>
      <c r="PK5" s="185" t="s">
        <v>377</v>
      </c>
      <c r="PL5" s="262">
        <v>43460</v>
      </c>
      <c r="PM5" s="161">
        <v>18708.07</v>
      </c>
      <c r="PN5" s="119">
        <v>21</v>
      </c>
      <c r="PO5" s="788">
        <v>18884.5</v>
      </c>
      <c r="PP5" s="268">
        <f>PM5-PO5</f>
        <v>-176.43000000000029</v>
      </c>
      <c r="PR5" s="128" t="s">
        <v>261</v>
      </c>
      <c r="PS5" s="538" t="s">
        <v>256</v>
      </c>
      <c r="PT5" s="185" t="s">
        <v>378</v>
      </c>
      <c r="PU5" s="263">
        <v>43460</v>
      </c>
      <c r="PV5" s="161">
        <v>18433.55</v>
      </c>
      <c r="PW5" s="119">
        <v>20</v>
      </c>
      <c r="PX5" s="788">
        <v>18509.169999999998</v>
      </c>
      <c r="PY5" s="268">
        <f>PV5-PX5</f>
        <v>-75.619999999998981</v>
      </c>
      <c r="QA5" s="128" t="s">
        <v>255</v>
      </c>
      <c r="QB5" s="752" t="s">
        <v>256</v>
      </c>
      <c r="QC5" s="185" t="s">
        <v>379</v>
      </c>
      <c r="QD5" s="263">
        <v>43460</v>
      </c>
      <c r="QE5" s="161">
        <v>18799.52</v>
      </c>
      <c r="QF5" s="119">
        <v>20</v>
      </c>
      <c r="QG5" s="788">
        <v>18874.73</v>
      </c>
      <c r="QH5" s="268">
        <f>QE5-QG5</f>
        <v>-75.209999999999127</v>
      </c>
      <c r="QJ5" s="128" t="s">
        <v>404</v>
      </c>
      <c r="QK5" s="749" t="s">
        <v>222</v>
      </c>
      <c r="QL5" s="185" t="s">
        <v>405</v>
      </c>
      <c r="QM5" s="262">
        <v>43461</v>
      </c>
      <c r="QN5" s="161">
        <v>18906.099999999999</v>
      </c>
      <c r="QO5" s="119">
        <v>21</v>
      </c>
      <c r="QP5" s="788">
        <v>18964.8</v>
      </c>
      <c r="QQ5" s="268">
        <f>QN5-QP5</f>
        <v>-58.700000000000728</v>
      </c>
      <c r="QS5" s="245" t="s">
        <v>261</v>
      </c>
      <c r="QT5" s="752" t="s">
        <v>256</v>
      </c>
      <c r="QU5" s="185" t="s">
        <v>406</v>
      </c>
      <c r="QV5" s="262">
        <v>43461</v>
      </c>
      <c r="QW5" s="161">
        <v>18713.64</v>
      </c>
      <c r="QX5" s="119">
        <v>20</v>
      </c>
      <c r="QY5" s="788">
        <v>18782.68</v>
      </c>
      <c r="QZ5" s="268">
        <f>QW5-QY5</f>
        <v>-69.040000000000873</v>
      </c>
      <c r="RB5" s="245"/>
      <c r="RC5" s="407"/>
      <c r="RD5" s="185"/>
      <c r="RE5" s="262"/>
      <c r="RF5" s="161"/>
      <c r="RG5" s="119"/>
      <c r="RH5" s="64"/>
      <c r="RI5" s="268">
        <f>RF5-RH5</f>
        <v>0</v>
      </c>
      <c r="RK5" s="245" t="s">
        <v>225</v>
      </c>
      <c r="RL5" s="753" t="s">
        <v>226</v>
      </c>
      <c r="RM5" s="185" t="s">
        <v>414</v>
      </c>
      <c r="RN5" s="263">
        <v>43462</v>
      </c>
      <c r="RO5" s="161">
        <v>19082.060000000001</v>
      </c>
      <c r="RP5" s="119">
        <v>20</v>
      </c>
      <c r="RQ5" s="788">
        <v>18692.5</v>
      </c>
      <c r="RR5" s="268">
        <f>RO5-RQ5</f>
        <v>389.56000000000131</v>
      </c>
      <c r="RT5" s="128" t="s">
        <v>225</v>
      </c>
      <c r="RU5" s="753" t="s">
        <v>226</v>
      </c>
      <c r="RV5" s="185" t="s">
        <v>442</v>
      </c>
      <c r="RW5" s="262">
        <v>43462</v>
      </c>
      <c r="RX5" s="161">
        <v>19067</v>
      </c>
      <c r="RY5" s="119">
        <v>20</v>
      </c>
      <c r="RZ5" s="64">
        <v>19067</v>
      </c>
      <c r="SA5" s="268">
        <f>RX5-RZ5</f>
        <v>0</v>
      </c>
      <c r="SC5" s="128" t="s">
        <v>280</v>
      </c>
      <c r="SD5" s="770" t="s">
        <v>226</v>
      </c>
      <c r="SE5" s="185" t="s">
        <v>444</v>
      </c>
      <c r="SF5" s="263">
        <v>43463</v>
      </c>
      <c r="SG5" s="161">
        <v>18696.03</v>
      </c>
      <c r="SH5" s="119">
        <v>19</v>
      </c>
      <c r="SI5" s="788">
        <v>17897.509999999998</v>
      </c>
      <c r="SJ5" s="777">
        <f>SG5-SI5</f>
        <v>798.52000000000044</v>
      </c>
      <c r="SL5" s="128" t="s">
        <v>86</v>
      </c>
      <c r="SM5" s="768" t="s">
        <v>415</v>
      </c>
      <c r="SN5" s="185">
        <v>35.5</v>
      </c>
      <c r="SO5" s="262">
        <v>43463</v>
      </c>
      <c r="SP5" s="161">
        <v>8422.99</v>
      </c>
      <c r="SQ5" s="119">
        <v>10</v>
      </c>
      <c r="SR5" s="788">
        <v>8425.61</v>
      </c>
      <c r="SS5" s="268">
        <f>SP5-SR5</f>
        <v>-2.6200000000008004</v>
      </c>
      <c r="SU5" s="128" t="s">
        <v>100</v>
      </c>
      <c r="SV5" s="770" t="s">
        <v>222</v>
      </c>
      <c r="SW5" s="185" t="s">
        <v>416</v>
      </c>
      <c r="SX5" s="263">
        <v>43463</v>
      </c>
      <c r="SY5" s="161">
        <v>19005.07</v>
      </c>
      <c r="SZ5" s="119">
        <v>21</v>
      </c>
      <c r="TA5" s="788">
        <v>19107.599999999999</v>
      </c>
      <c r="TB5" s="268">
        <f>SY5-TA5</f>
        <v>-102.52999999999884</v>
      </c>
      <c r="TD5" s="245" t="s">
        <v>225</v>
      </c>
      <c r="TE5" s="771" t="s">
        <v>226</v>
      </c>
      <c r="TF5" s="185" t="s">
        <v>417</v>
      </c>
      <c r="TG5" s="262">
        <v>43464</v>
      </c>
      <c r="TH5" s="161">
        <v>18948</v>
      </c>
      <c r="TI5" s="119">
        <v>20</v>
      </c>
      <c r="TJ5" s="788">
        <v>18941.939999999999</v>
      </c>
      <c r="TK5" s="268">
        <f>TH5-TJ5</f>
        <v>6.0600000000013097</v>
      </c>
      <c r="TM5" s="128" t="s">
        <v>100</v>
      </c>
      <c r="TN5" s="770" t="s">
        <v>222</v>
      </c>
      <c r="TO5" s="185" t="s">
        <v>418</v>
      </c>
      <c r="TP5" s="262">
        <v>43464</v>
      </c>
      <c r="TQ5" s="161">
        <v>19060.189999999999</v>
      </c>
      <c r="TR5" s="119">
        <v>21</v>
      </c>
      <c r="TS5" s="788">
        <v>19119.900000000001</v>
      </c>
      <c r="TT5" s="268">
        <f>TQ5-TS5</f>
        <v>-59.710000000002765</v>
      </c>
      <c r="TV5" s="128"/>
      <c r="TW5" s="383"/>
      <c r="TX5" s="185"/>
      <c r="TY5" s="262"/>
      <c r="TZ5" s="161"/>
      <c r="UA5" s="119"/>
      <c r="UB5" s="64"/>
      <c r="UC5" s="268">
        <f>TZ5-UB5</f>
        <v>0</v>
      </c>
      <c r="UE5" s="128"/>
      <c r="UF5" s="383"/>
      <c r="UG5" s="185"/>
      <c r="UH5" s="262"/>
      <c r="UI5" s="161"/>
      <c r="UJ5" s="119"/>
      <c r="UK5" s="64"/>
      <c r="UL5" s="268">
        <f>UI5-UK5</f>
        <v>0</v>
      </c>
      <c r="UN5" s="128"/>
      <c r="UO5" s="383"/>
      <c r="UP5" s="185"/>
      <c r="UQ5" s="262"/>
      <c r="UR5" s="161"/>
      <c r="US5" s="119"/>
      <c r="UT5" s="64"/>
      <c r="UU5" s="268">
        <f>UR5-UT5</f>
        <v>0</v>
      </c>
      <c r="UW5" s="128"/>
      <c r="UX5" s="383"/>
      <c r="UY5" s="185"/>
      <c r="UZ5" s="262"/>
      <c r="VA5" s="161"/>
      <c r="VB5" s="119"/>
      <c r="VC5" s="64"/>
      <c r="VD5" s="268">
        <f>VA5-VC5</f>
        <v>0</v>
      </c>
      <c r="VF5" s="245"/>
      <c r="VG5" s="383"/>
      <c r="VH5" s="185"/>
      <c r="VI5" s="262"/>
      <c r="VJ5" s="161"/>
      <c r="VK5" s="119"/>
      <c r="VL5" s="64"/>
      <c r="VM5" s="268">
        <f>VJ5-VL5</f>
        <v>0</v>
      </c>
      <c r="VO5" s="128"/>
      <c r="VP5" s="383"/>
      <c r="VQ5" s="185"/>
      <c r="VR5" s="262"/>
      <c r="VS5" s="161"/>
      <c r="VT5" s="119"/>
      <c r="VU5" s="64"/>
      <c r="VV5" s="268">
        <f>VS5-VU5</f>
        <v>0</v>
      </c>
      <c r="VX5" s="128"/>
      <c r="VY5" s="383"/>
      <c r="VZ5" s="185"/>
      <c r="WA5" s="262"/>
      <c r="WB5" s="161"/>
      <c r="WC5" s="119"/>
      <c r="WD5" s="64"/>
      <c r="WE5" s="268">
        <f>WB5-WD5</f>
        <v>0</v>
      </c>
      <c r="WG5" s="128"/>
      <c r="WH5" s="383"/>
      <c r="WI5" s="185"/>
      <c r="WJ5" s="262"/>
      <c r="WK5" s="161"/>
      <c r="WL5" s="119"/>
      <c r="WM5" s="64"/>
      <c r="WN5" s="268">
        <f>WK5-WM5</f>
        <v>0</v>
      </c>
      <c r="WP5" s="244"/>
      <c r="WQ5" s="407"/>
      <c r="WR5" s="185"/>
      <c r="WS5" s="262"/>
      <c r="WT5" s="161"/>
      <c r="WU5" s="119"/>
      <c r="WV5" s="64"/>
      <c r="WW5" s="268">
        <f>WT5-WV5</f>
        <v>0</v>
      </c>
      <c r="WY5" s="128"/>
      <c r="WZ5" s="383"/>
      <c r="XA5" s="185"/>
      <c r="XB5" s="262"/>
      <c r="XC5" s="161"/>
      <c r="XD5" s="119"/>
      <c r="XE5" s="64"/>
      <c r="XF5" s="268">
        <f>XC5-XE5</f>
        <v>0</v>
      </c>
      <c r="XH5" s="128"/>
      <c r="XI5" s="383"/>
      <c r="XJ5" s="185"/>
      <c r="XK5" s="262"/>
      <c r="XL5" s="161"/>
      <c r="XM5" s="119"/>
      <c r="XN5" s="64"/>
      <c r="XO5" s="268">
        <f>XL5-XN5</f>
        <v>0</v>
      </c>
      <c r="XQ5" s="128"/>
      <c r="XR5" s="383"/>
      <c r="XS5" s="185"/>
      <c r="XT5" s="262"/>
      <c r="XU5" s="161"/>
      <c r="XV5" s="119"/>
      <c r="XW5" s="64"/>
      <c r="XX5" s="268">
        <f>XU5-XW5</f>
        <v>0</v>
      </c>
      <c r="XZ5" s="128"/>
      <c r="YA5" s="383"/>
      <c r="YB5" s="185"/>
      <c r="YC5" s="262"/>
      <c r="YD5" s="161"/>
      <c r="YE5" s="119"/>
      <c r="YF5" s="64"/>
      <c r="YG5" s="268">
        <f>YD5-YF5</f>
        <v>0</v>
      </c>
      <c r="YI5" s="245"/>
      <c r="YJ5" s="383"/>
      <c r="YK5" s="185"/>
      <c r="YL5" s="262"/>
      <c r="YM5" s="161"/>
      <c r="YN5" s="119"/>
      <c r="YO5" s="64"/>
      <c r="YP5" s="268">
        <f>YM5-YO5</f>
        <v>0</v>
      </c>
      <c r="YR5" s="128"/>
      <c r="YS5" s="383"/>
      <c r="YT5" s="185"/>
      <c r="YU5" s="262"/>
      <c r="YV5" s="161"/>
      <c r="YW5" s="119"/>
      <c r="YX5" s="64"/>
      <c r="YY5" s="268">
        <f>YV5-YX5</f>
        <v>0</v>
      </c>
      <c r="ZA5" s="128"/>
      <c r="ZB5" s="383"/>
      <c r="ZC5" s="185"/>
      <c r="ZD5" s="262"/>
      <c r="ZE5" s="161"/>
      <c r="ZF5" s="119"/>
      <c r="ZG5" s="64"/>
      <c r="ZH5" s="268">
        <f>ZE5-ZG5</f>
        <v>0</v>
      </c>
      <c r="ZJ5" s="128"/>
      <c r="ZK5" s="383"/>
      <c r="ZL5" s="185"/>
      <c r="ZM5" s="262"/>
      <c r="ZN5" s="161"/>
      <c r="ZO5" s="119"/>
      <c r="ZP5" s="64"/>
      <c r="ZQ5" s="268">
        <f>ZN5-ZP5</f>
        <v>0</v>
      </c>
      <c r="ZS5" s="128"/>
      <c r="ZT5" s="383"/>
      <c r="ZU5" s="185"/>
      <c r="ZV5" s="262"/>
      <c r="ZW5" s="161"/>
      <c r="ZX5" s="119"/>
      <c r="ZY5" s="64"/>
      <c r="ZZ5" s="268">
        <f>ZW5-ZY5</f>
        <v>0</v>
      </c>
      <c r="AAB5" s="128"/>
      <c r="AAC5" s="383"/>
      <c r="AAD5" s="185"/>
      <c r="AAE5" s="262"/>
      <c r="AAF5" s="161"/>
      <c r="AAG5" s="119"/>
      <c r="AAH5" s="64"/>
      <c r="AAI5" s="268">
        <f>AAF5-AAH5</f>
        <v>0</v>
      </c>
      <c r="AAK5" s="128"/>
      <c r="AAL5" s="383"/>
      <c r="AAM5" s="185"/>
      <c r="AAN5" s="262"/>
      <c r="AAO5" s="161"/>
      <c r="AAP5" s="119"/>
      <c r="AAQ5" s="64"/>
      <c r="AAR5" s="268">
        <f>AAO5-AAQ5</f>
        <v>0</v>
      </c>
      <c r="AAT5" s="128"/>
      <c r="AAU5" s="383"/>
      <c r="AAV5" s="185"/>
      <c r="AAW5" s="262"/>
      <c r="AAX5" s="161"/>
      <c r="AAY5" s="119"/>
      <c r="AAZ5" s="64"/>
      <c r="ABA5" s="268">
        <f>AAX5-AAZ5</f>
        <v>0</v>
      </c>
      <c r="ABC5" s="245"/>
      <c r="ABD5" s="383"/>
      <c r="ABE5" s="185"/>
      <c r="ABF5" s="262"/>
      <c r="ABG5" s="161"/>
      <c r="ABH5" s="119"/>
      <c r="ABI5" s="64"/>
      <c r="ABJ5" s="268">
        <f>ABG5-ABI5</f>
        <v>0</v>
      </c>
      <c r="ABL5" s="245"/>
      <c r="ABM5" s="383"/>
      <c r="ABN5" s="185"/>
      <c r="ABO5" s="262"/>
      <c r="ABP5" s="161"/>
      <c r="ABQ5" s="119"/>
      <c r="ABR5" s="64"/>
      <c r="ABS5" s="268">
        <f>ABP5-ABR5</f>
        <v>0</v>
      </c>
      <c r="ABU5" s="245"/>
      <c r="ABV5" s="383"/>
      <c r="ABW5" s="185"/>
      <c r="ABX5" s="262"/>
      <c r="ABY5" s="161"/>
      <c r="ABZ5" s="119"/>
      <c r="ACA5" s="64"/>
      <c r="ACB5" s="268">
        <f>ABY5-ACA5</f>
        <v>0</v>
      </c>
      <c r="ACD5" s="245"/>
      <c r="ACE5" s="383"/>
      <c r="ACF5" s="185"/>
      <c r="ACG5" s="262"/>
      <c r="ACH5" s="161"/>
      <c r="ACI5" s="119"/>
      <c r="ACJ5" s="64"/>
      <c r="ACK5" s="268">
        <f>ACH5-ACJ5</f>
        <v>0</v>
      </c>
      <c r="ACM5" s="128"/>
      <c r="ACN5" s="383"/>
      <c r="ACO5" s="185"/>
      <c r="ACP5" s="262"/>
      <c r="ACQ5" s="161"/>
      <c r="ACR5" s="119"/>
      <c r="ACS5" s="64"/>
      <c r="ACT5" s="268">
        <f>ACQ5-ACS5</f>
        <v>0</v>
      </c>
      <c r="ACV5" s="128"/>
      <c r="ACW5" s="383"/>
      <c r="ACX5" s="185"/>
      <c r="ACY5" s="262"/>
      <c r="ACZ5" s="161"/>
      <c r="ADA5" s="119"/>
      <c r="ADB5" s="64"/>
      <c r="ADC5" s="268">
        <f>ACZ5-ADB5</f>
        <v>0</v>
      </c>
    </row>
    <row r="6" spans="1:783" ht="16.5" thickBot="1" x14ac:dyDescent="0.3">
      <c r="A6" s="25">
        <v>3</v>
      </c>
      <c r="B6" s="125" t="str">
        <f t="shared" ref="B6:I6" si="2">AC5</f>
        <v>SMITHFIELD FARMLAND</v>
      </c>
      <c r="C6" s="125" t="str">
        <f t="shared" si="2"/>
        <v>Smithfield</v>
      </c>
      <c r="D6" s="72" t="str">
        <f t="shared" si="2"/>
        <v>PED.31743635</v>
      </c>
      <c r="E6" s="225">
        <f t="shared" si="2"/>
        <v>43436</v>
      </c>
      <c r="F6" s="74">
        <f t="shared" si="2"/>
        <v>18844.38</v>
      </c>
      <c r="G6" s="15">
        <f t="shared" si="2"/>
        <v>20</v>
      </c>
      <c r="H6" s="64">
        <f t="shared" si="2"/>
        <v>18967.34</v>
      </c>
      <c r="I6" s="18">
        <f t="shared" si="2"/>
        <v>-122.95999999999913</v>
      </c>
      <c r="K6" s="16"/>
      <c r="L6" s="178"/>
      <c r="M6" s="16"/>
      <c r="N6" s="16"/>
      <c r="O6" s="16"/>
      <c r="P6" s="16"/>
      <c r="Q6" s="119"/>
      <c r="T6" s="16"/>
      <c r="U6" s="178"/>
      <c r="V6" s="16"/>
      <c r="W6" s="16"/>
      <c r="X6" s="16"/>
      <c r="Y6" s="16"/>
      <c r="Z6" s="119"/>
      <c r="AC6" s="16"/>
      <c r="AD6" s="178"/>
      <c r="AE6" s="16"/>
      <c r="AF6" s="16"/>
      <c r="AG6" s="16"/>
      <c r="AH6" s="16"/>
      <c r="AI6" s="119"/>
      <c r="AL6" s="455"/>
      <c r="AM6" s="178"/>
      <c r="AN6" s="16"/>
      <c r="AO6" s="16"/>
      <c r="AP6" s="16"/>
      <c r="AQ6" s="16"/>
      <c r="AR6" s="119"/>
      <c r="AU6" s="499"/>
      <c r="AV6" s="178"/>
      <c r="AW6" s="16"/>
      <c r="AX6" s="16"/>
      <c r="AY6" s="16"/>
      <c r="AZ6" s="16"/>
      <c r="BA6" s="119"/>
      <c r="BD6" s="16"/>
      <c r="BE6" s="178"/>
      <c r="BF6" s="16"/>
      <c r="BG6" s="16"/>
      <c r="BH6" s="16"/>
      <c r="BI6" s="16"/>
      <c r="BJ6" s="119"/>
      <c r="BM6" s="432"/>
      <c r="BN6" s="178"/>
      <c r="BO6" s="16"/>
      <c r="BP6" s="16"/>
      <c r="BQ6" s="16"/>
      <c r="BR6" s="16"/>
      <c r="BS6" s="119"/>
      <c r="BV6" s="16"/>
      <c r="BW6" s="178"/>
      <c r="BX6" s="16"/>
      <c r="BY6" s="16"/>
      <c r="BZ6" s="16"/>
      <c r="CA6" s="16"/>
      <c r="CB6" s="119"/>
      <c r="CE6" s="16"/>
      <c r="CF6" s="178"/>
      <c r="CG6" s="16"/>
      <c r="CH6" s="16"/>
      <c r="CI6" s="16"/>
      <c r="CJ6" s="16"/>
      <c r="CK6" s="119"/>
      <c r="CN6" s="16"/>
      <c r="CO6" s="178"/>
      <c r="CP6" s="16"/>
      <c r="CQ6" s="16"/>
      <c r="CR6" s="16"/>
      <c r="CS6" s="16"/>
      <c r="CT6" s="119"/>
      <c r="CW6" s="99"/>
      <c r="CX6" s="178"/>
      <c r="CY6" s="16"/>
      <c r="CZ6" s="16"/>
      <c r="DA6" s="16"/>
      <c r="DB6" s="16"/>
      <c r="DC6" s="119"/>
      <c r="DF6" s="99"/>
      <c r="DG6" s="178"/>
      <c r="DH6" s="16"/>
      <c r="DI6" s="16"/>
      <c r="DJ6" s="16"/>
      <c r="DK6" s="16"/>
      <c r="DL6" s="119"/>
      <c r="DO6" s="16"/>
      <c r="DP6" s="178"/>
      <c r="DQ6" s="16"/>
      <c r="DR6" s="16"/>
      <c r="DS6" s="16"/>
      <c r="DT6" s="16"/>
      <c r="DU6" s="119"/>
      <c r="DX6" s="16"/>
      <c r="DY6" s="16"/>
      <c r="DZ6" s="16"/>
      <c r="EA6" s="16"/>
      <c r="EB6" s="16"/>
      <c r="EC6" s="16"/>
      <c r="ED6" s="119"/>
      <c r="EG6" s="432"/>
      <c r="EH6" s="178"/>
      <c r="EI6" s="16"/>
      <c r="EJ6" s="16"/>
      <c r="EK6" s="16"/>
      <c r="EL6" s="16"/>
      <c r="EM6" s="119"/>
      <c r="EP6" s="16" t="s">
        <v>41</v>
      </c>
      <c r="EQ6" s="178"/>
      <c r="ER6" s="16"/>
      <c r="ES6" s="16"/>
      <c r="ET6" s="16"/>
      <c r="EU6" s="16"/>
      <c r="EV6" s="119"/>
      <c r="EY6" s="16"/>
      <c r="EZ6" s="549"/>
      <c r="FA6" s="16"/>
      <c r="FB6" s="16"/>
      <c r="FC6" s="16"/>
      <c r="FD6" s="16"/>
      <c r="FE6" s="119"/>
      <c r="FH6" s="16"/>
      <c r="FI6" s="178"/>
      <c r="FJ6" s="16"/>
      <c r="FK6" s="16"/>
      <c r="FL6" s="16"/>
      <c r="FM6" s="16"/>
      <c r="FN6" s="119"/>
      <c r="FQ6" s="16"/>
      <c r="FR6" s="178"/>
      <c r="FS6" s="16"/>
      <c r="FT6" s="16"/>
      <c r="FU6" s="16"/>
      <c r="FV6" s="16"/>
      <c r="FW6" s="119"/>
      <c r="FX6" s="16"/>
      <c r="FZ6" s="128"/>
      <c r="GA6" s="423"/>
      <c r="GB6" s="16"/>
      <c r="GC6" s="16"/>
      <c r="GD6" s="16"/>
      <c r="GE6" s="16"/>
      <c r="GF6" s="119"/>
      <c r="GI6" s="128"/>
      <c r="GJ6" s="549"/>
      <c r="GK6" s="16"/>
      <c r="GL6" s="16"/>
      <c r="GM6" s="16"/>
      <c r="GN6" s="16"/>
      <c r="GO6" s="119"/>
      <c r="GR6" s="432"/>
      <c r="GS6" s="178"/>
      <c r="GT6" s="16"/>
      <c r="GU6" s="16"/>
      <c r="GV6" s="16"/>
      <c r="GW6" s="16"/>
      <c r="GX6" s="119"/>
      <c r="HA6" s="380"/>
      <c r="HB6" s="16"/>
      <c r="HC6" s="16"/>
      <c r="HD6" s="16"/>
      <c r="HE6" s="16"/>
      <c r="HF6" s="16"/>
      <c r="HG6" s="119"/>
      <c r="HJ6" s="627"/>
      <c r="HK6" s="178"/>
      <c r="HL6" s="16"/>
      <c r="HM6" s="16"/>
      <c r="HN6" s="16"/>
      <c r="HO6" s="16"/>
      <c r="HP6" s="119"/>
      <c r="HQ6" s="16"/>
      <c r="HS6" s="16"/>
      <c r="HT6" s="16"/>
      <c r="HU6" s="16"/>
      <c r="HV6" s="16"/>
      <c r="HW6" s="16"/>
      <c r="HX6" s="16"/>
      <c r="HY6" s="119"/>
      <c r="IB6" s="432"/>
      <c r="IC6" s="178"/>
      <c r="ID6" s="16"/>
      <c r="IE6" s="16"/>
      <c r="IF6" s="16"/>
      <c r="IG6" s="16"/>
      <c r="IH6" s="119"/>
      <c r="IK6" s="16"/>
      <c r="IL6" s="178"/>
      <c r="IM6" s="16"/>
      <c r="IN6" s="16"/>
      <c r="IO6" s="16"/>
      <c r="IP6" s="16"/>
      <c r="IQ6" s="119"/>
      <c r="IT6" s="16"/>
      <c r="IU6" s="131"/>
      <c r="IV6" s="16"/>
      <c r="IW6" s="16"/>
      <c r="IX6" s="16"/>
      <c r="IY6" s="16"/>
      <c r="IZ6" s="119"/>
      <c r="JA6" s="16"/>
      <c r="JC6" s="128"/>
      <c r="JD6" s="549"/>
      <c r="JE6" s="16"/>
      <c r="JF6" s="16"/>
      <c r="JG6" s="16"/>
      <c r="JH6" s="16"/>
      <c r="JI6" s="119"/>
      <c r="JL6" s="848"/>
      <c r="JM6" s="131"/>
      <c r="JN6" s="16"/>
      <c r="JO6" s="16"/>
      <c r="JP6" s="16"/>
      <c r="JQ6" s="16"/>
      <c r="JR6" s="119"/>
      <c r="JS6" s="16"/>
      <c r="JU6" s="16"/>
      <c r="JV6" s="178"/>
      <c r="JW6" s="16"/>
      <c r="JX6" s="16"/>
      <c r="JY6" s="16"/>
      <c r="JZ6" s="16"/>
      <c r="KA6" s="119"/>
      <c r="KD6" s="16"/>
      <c r="KE6" s="178"/>
      <c r="KF6" s="16"/>
      <c r="KG6" s="16"/>
      <c r="KH6" s="16"/>
      <c r="KI6" s="16"/>
      <c r="KJ6" s="119"/>
      <c r="KM6" s="16"/>
      <c r="KN6" s="178"/>
      <c r="KO6" s="16"/>
      <c r="KP6" s="16"/>
      <c r="KQ6" s="16"/>
      <c r="KR6" s="16"/>
      <c r="KS6" s="119"/>
      <c r="KV6" s="16"/>
      <c r="KW6" s="178"/>
      <c r="KX6" s="16"/>
      <c r="KY6" s="16"/>
      <c r="KZ6" s="16"/>
      <c r="LA6" s="16"/>
      <c r="LB6" s="119"/>
      <c r="LE6" s="16"/>
      <c r="LF6" s="423"/>
      <c r="LG6" s="16"/>
      <c r="LH6" s="16"/>
      <c r="LI6" s="16"/>
      <c r="LJ6" s="16"/>
      <c r="LK6" s="119"/>
      <c r="LN6" s="16"/>
      <c r="LO6" s="178"/>
      <c r="LP6" s="16"/>
      <c r="LQ6" s="16"/>
      <c r="LR6" s="16"/>
      <c r="LS6" s="16"/>
      <c r="LT6" s="119"/>
      <c r="LW6" s="16"/>
      <c r="LX6" s="16"/>
      <c r="LY6" s="16"/>
      <c r="LZ6" s="16"/>
      <c r="MA6" s="16"/>
      <c r="MB6" s="16"/>
      <c r="MC6" s="119"/>
      <c r="MF6" s="455"/>
      <c r="MG6" s="178"/>
      <c r="MH6" s="16"/>
      <c r="MI6" s="16"/>
      <c r="MJ6" s="16"/>
      <c r="MK6" s="16"/>
      <c r="ML6" s="119"/>
      <c r="MO6" s="16"/>
      <c r="MP6" s="178"/>
      <c r="MQ6" s="16"/>
      <c r="MR6" s="16"/>
      <c r="MS6" s="16"/>
      <c r="MT6" s="16"/>
      <c r="MU6" s="119"/>
      <c r="MX6" s="455"/>
      <c r="MY6" s="178"/>
      <c r="MZ6" s="16"/>
      <c r="NA6" s="16"/>
      <c r="NB6" s="16"/>
      <c r="NC6" s="16"/>
      <c r="ND6" s="119"/>
      <c r="NG6" s="455"/>
      <c r="NH6" s="178"/>
      <c r="NI6" s="16"/>
      <c r="NJ6" s="16"/>
      <c r="NK6" s="16"/>
      <c r="NL6" s="16"/>
      <c r="NM6" s="119"/>
      <c r="NP6" s="16"/>
      <c r="NQ6" s="16"/>
      <c r="NR6" s="16"/>
      <c r="NS6" s="16"/>
      <c r="NT6" s="16"/>
      <c r="NU6" s="16"/>
      <c r="NV6" s="119"/>
      <c r="NY6" s="16"/>
      <c r="NZ6" s="16"/>
      <c r="OA6" s="16"/>
      <c r="OB6" s="16"/>
      <c r="OC6" s="16"/>
      <c r="OD6" s="16"/>
      <c r="OE6" s="16"/>
      <c r="OH6" s="455"/>
      <c r="OI6" s="16"/>
      <c r="OJ6" s="16"/>
      <c r="OK6" s="16"/>
      <c r="OL6" s="16"/>
      <c r="OM6" s="16"/>
      <c r="ON6" s="119"/>
      <c r="OQ6" s="16"/>
      <c r="OR6" s="432"/>
      <c r="OS6" s="16"/>
      <c r="OT6" s="16"/>
      <c r="OU6" s="16"/>
      <c r="OV6" s="16"/>
      <c r="OW6" s="119"/>
      <c r="OZ6" s="16"/>
      <c r="PA6" s="432"/>
      <c r="PB6" s="16"/>
      <c r="PC6" s="16"/>
      <c r="PD6" s="16"/>
      <c r="PE6" s="16"/>
      <c r="PF6" s="119"/>
      <c r="PI6" s="432"/>
      <c r="PJ6" s="16"/>
      <c r="PK6" s="16"/>
      <c r="PL6" s="16"/>
      <c r="PM6" s="16"/>
      <c r="PN6" s="16"/>
      <c r="PO6" s="119"/>
      <c r="PR6" s="16"/>
      <c r="PS6" s="16"/>
      <c r="PT6" s="16"/>
      <c r="PU6" s="16"/>
      <c r="PV6" s="16"/>
      <c r="PW6" s="16"/>
      <c r="PX6" s="119"/>
      <c r="QA6" s="16"/>
      <c r="QB6" s="16"/>
      <c r="QC6" s="16"/>
      <c r="QD6" s="16"/>
      <c r="QE6" s="16"/>
      <c r="QF6" s="16"/>
      <c r="QG6" s="119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RW6" s="776" t="s">
        <v>443</v>
      </c>
      <c r="RX6" s="776"/>
      <c r="SD6" s="16"/>
      <c r="SI6" t="s">
        <v>40</v>
      </c>
      <c r="SJ6" s="507" t="s">
        <v>445</v>
      </c>
      <c r="SM6" s="16"/>
      <c r="SV6" s="16"/>
      <c r="TA6" t="s">
        <v>40</v>
      </c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6" t="str">
        <f>AL5</f>
        <v>SMITHFIELD FARMLAND</v>
      </c>
      <c r="C7" s="125" t="str">
        <f t="shared" ref="C7:I7" si="3">AM5</f>
        <v>Smithfield</v>
      </c>
      <c r="D7" s="72" t="str">
        <f t="shared" si="3"/>
        <v>PED. 31951683</v>
      </c>
      <c r="E7" s="155">
        <f t="shared" si="3"/>
        <v>43441</v>
      </c>
      <c r="F7" s="74">
        <f t="shared" si="3"/>
        <v>17700.86</v>
      </c>
      <c r="G7" s="15">
        <f t="shared" si="3"/>
        <v>19</v>
      </c>
      <c r="H7" s="64">
        <f t="shared" si="3"/>
        <v>17775.05</v>
      </c>
      <c r="I7" s="18">
        <f t="shared" si="3"/>
        <v>-74.18999999999869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43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6" t="s">
        <v>17</v>
      </c>
      <c r="FU7" s="287" t="s">
        <v>2</v>
      </c>
      <c r="FV7" s="97" t="s">
        <v>18</v>
      </c>
      <c r="FW7" s="288" t="s">
        <v>15</v>
      </c>
      <c r="FX7" s="131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43" t="s">
        <v>7</v>
      </c>
      <c r="HC7" s="35" t="s">
        <v>8</v>
      </c>
      <c r="HD7" s="36" t="s">
        <v>17</v>
      </c>
      <c r="HE7" s="31" t="s">
        <v>2</v>
      </c>
      <c r="HF7" s="34" t="s">
        <v>87</v>
      </c>
      <c r="HG7" s="13" t="s">
        <v>15</v>
      </c>
      <c r="HH7" s="32"/>
      <c r="HK7" s="4" t="s">
        <v>7</v>
      </c>
      <c r="HL7" s="35" t="s">
        <v>8</v>
      </c>
      <c r="HM7" s="286" t="s">
        <v>17</v>
      </c>
      <c r="HN7" s="287" t="s">
        <v>2</v>
      </c>
      <c r="HO7" s="97" t="s">
        <v>18</v>
      </c>
      <c r="HP7" s="288" t="s">
        <v>15</v>
      </c>
      <c r="HQ7" s="131"/>
      <c r="HT7" s="543" t="s">
        <v>7</v>
      </c>
      <c r="HU7" s="35" t="s">
        <v>8</v>
      </c>
      <c r="HV7" s="286" t="s">
        <v>17</v>
      </c>
      <c r="HW7" s="31" t="s">
        <v>2</v>
      </c>
      <c r="HX7" s="34" t="s">
        <v>84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6" t="s">
        <v>17</v>
      </c>
      <c r="IX7" s="287" t="s">
        <v>2</v>
      </c>
      <c r="IY7" s="97" t="s">
        <v>18</v>
      </c>
      <c r="IZ7" s="288" t="s">
        <v>15</v>
      </c>
      <c r="JA7" s="131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6" t="s">
        <v>17</v>
      </c>
      <c r="JP7" s="287" t="s">
        <v>2</v>
      </c>
      <c r="JQ7" s="97" t="s">
        <v>18</v>
      </c>
      <c r="JR7" s="288" t="s">
        <v>15</v>
      </c>
      <c r="JS7" s="131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2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2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2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2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2" t="s">
        <v>7</v>
      </c>
      <c r="PB7" s="35" t="s">
        <v>8</v>
      </c>
      <c r="PC7" s="36" t="s">
        <v>17</v>
      </c>
      <c r="PD7" s="31" t="s">
        <v>37</v>
      </c>
      <c r="PE7" s="34" t="s">
        <v>18</v>
      </c>
      <c r="PF7" s="13" t="s">
        <v>15</v>
      </c>
      <c r="PG7" s="32"/>
      <c r="PJ7" s="102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2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2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2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2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2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2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2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2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2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2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2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2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2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2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2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2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2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2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2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2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2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2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2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2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2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2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2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2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2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2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2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2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2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2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2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2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2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2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2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5" t="str">
        <f>AU5</f>
        <v>SEABOARD FOODS</v>
      </c>
      <c r="C8" s="125" t="str">
        <f t="shared" ref="C8:I8" si="4">AV5</f>
        <v>Seaboard</v>
      </c>
      <c r="D8" s="72" t="str">
        <f t="shared" si="4"/>
        <v>PED. 31952207</v>
      </c>
      <c r="E8" s="155">
        <f t="shared" si="4"/>
        <v>43441</v>
      </c>
      <c r="F8" s="74">
        <f t="shared" si="4"/>
        <v>18923.54</v>
      </c>
      <c r="G8" s="15">
        <f t="shared" si="4"/>
        <v>21</v>
      </c>
      <c r="H8" s="64">
        <f t="shared" si="4"/>
        <v>18940.099999999999</v>
      </c>
      <c r="I8" s="18">
        <f t="shared" si="4"/>
        <v>-16.559999999997672</v>
      </c>
      <c r="K8" s="89"/>
      <c r="L8" s="121"/>
      <c r="M8" s="20">
        <v>1</v>
      </c>
      <c r="N8" s="189">
        <v>920.3</v>
      </c>
      <c r="O8" s="105">
        <v>43435</v>
      </c>
      <c r="P8" s="364">
        <v>920.3</v>
      </c>
      <c r="Q8" s="124" t="s">
        <v>471</v>
      </c>
      <c r="R8" s="103">
        <v>37</v>
      </c>
      <c r="S8" s="16"/>
      <c r="T8" s="89"/>
      <c r="U8" s="121"/>
      <c r="V8" s="20">
        <v>1</v>
      </c>
      <c r="W8" s="189">
        <v>918.1</v>
      </c>
      <c r="X8" s="17">
        <v>43435</v>
      </c>
      <c r="Y8" s="189">
        <v>918.1</v>
      </c>
      <c r="Z8" s="70" t="s">
        <v>473</v>
      </c>
      <c r="AA8" s="24">
        <v>37</v>
      </c>
      <c r="AB8" s="16"/>
      <c r="AC8" s="89"/>
      <c r="AD8" s="121"/>
      <c r="AE8" s="20">
        <v>1</v>
      </c>
      <c r="AF8" s="189">
        <v>952.83</v>
      </c>
      <c r="AG8" s="17">
        <v>43436</v>
      </c>
      <c r="AH8" s="189">
        <v>952.83</v>
      </c>
      <c r="AI8" s="70" t="s">
        <v>481</v>
      </c>
      <c r="AJ8" s="24">
        <v>37</v>
      </c>
      <c r="AK8" s="16"/>
      <c r="AL8" s="657"/>
      <c r="AM8" s="121"/>
      <c r="AN8" s="20">
        <v>1</v>
      </c>
      <c r="AO8" s="19">
        <v>914.74</v>
      </c>
      <c r="AP8" s="17">
        <v>43441</v>
      </c>
      <c r="AQ8" s="19">
        <v>914.74</v>
      </c>
      <c r="AR8" s="70" t="s">
        <v>478</v>
      </c>
      <c r="AS8" s="24">
        <v>38</v>
      </c>
      <c r="AT8" s="16"/>
      <c r="AU8" s="657"/>
      <c r="AV8" s="121"/>
      <c r="AW8" s="20">
        <v>1</v>
      </c>
      <c r="AX8" s="19">
        <v>873.2</v>
      </c>
      <c r="AY8" s="105">
        <v>43441</v>
      </c>
      <c r="AZ8" s="19">
        <v>873.2</v>
      </c>
      <c r="BA8" s="124" t="s">
        <v>519</v>
      </c>
      <c r="BB8" s="414">
        <v>38</v>
      </c>
      <c r="BC8" s="16"/>
      <c r="BD8" s="657"/>
      <c r="BE8" s="121"/>
      <c r="BF8" s="20">
        <v>1</v>
      </c>
      <c r="BG8" s="19">
        <v>896.7</v>
      </c>
      <c r="BH8" s="400">
        <v>43441</v>
      </c>
      <c r="BI8" s="19">
        <v>896.7</v>
      </c>
      <c r="BJ8" s="402" t="s">
        <v>516</v>
      </c>
      <c r="BK8" s="403">
        <v>38</v>
      </c>
      <c r="BL8" s="16"/>
      <c r="BM8" s="657"/>
      <c r="BN8" s="121"/>
      <c r="BO8" s="20">
        <v>1</v>
      </c>
      <c r="BP8" s="19">
        <v>900</v>
      </c>
      <c r="BQ8" s="400">
        <v>43439</v>
      </c>
      <c r="BR8" s="19">
        <v>900</v>
      </c>
      <c r="BS8" s="500" t="s">
        <v>507</v>
      </c>
      <c r="BT8" s="403">
        <v>37</v>
      </c>
      <c r="BU8" s="16"/>
      <c r="BV8" s="657"/>
      <c r="BW8" s="121"/>
      <c r="BX8" s="20">
        <v>1</v>
      </c>
      <c r="BY8" s="19">
        <v>900.5</v>
      </c>
      <c r="BZ8" s="400">
        <v>43438</v>
      </c>
      <c r="CA8" s="19">
        <v>900.5</v>
      </c>
      <c r="CB8" s="500" t="s">
        <v>475</v>
      </c>
      <c r="CC8" s="403">
        <v>37</v>
      </c>
      <c r="CD8" s="16"/>
      <c r="CE8" s="657"/>
      <c r="CF8" s="121"/>
      <c r="CG8" s="20">
        <v>1</v>
      </c>
      <c r="CH8" s="19">
        <v>953.9</v>
      </c>
      <c r="CI8" s="17">
        <v>43439</v>
      </c>
      <c r="CJ8" s="19">
        <v>953.9</v>
      </c>
      <c r="CK8" s="70" t="s">
        <v>487</v>
      </c>
      <c r="CL8" s="24">
        <v>37</v>
      </c>
      <c r="CM8" s="16"/>
      <c r="CN8" s="657"/>
      <c r="CO8" s="121"/>
      <c r="CP8" s="20">
        <v>1</v>
      </c>
      <c r="CQ8" s="19">
        <v>915.34</v>
      </c>
      <c r="CR8" s="17">
        <v>43439</v>
      </c>
      <c r="CS8" s="19">
        <v>915.34</v>
      </c>
      <c r="CT8" s="70" t="s">
        <v>495</v>
      </c>
      <c r="CU8" s="24">
        <v>37</v>
      </c>
      <c r="CV8" s="16"/>
      <c r="CW8" s="657"/>
      <c r="CX8" s="121"/>
      <c r="CY8" s="20">
        <v>1</v>
      </c>
      <c r="CZ8" s="19">
        <v>935.15</v>
      </c>
      <c r="DA8" s="400">
        <v>43440</v>
      </c>
      <c r="DB8" s="19">
        <v>935.15</v>
      </c>
      <c r="DC8" s="402" t="s">
        <v>477</v>
      </c>
      <c r="DD8" s="403">
        <v>37</v>
      </c>
      <c r="DE8" s="16"/>
      <c r="DF8" s="657"/>
      <c r="DG8" s="121"/>
      <c r="DH8" s="20">
        <v>1</v>
      </c>
      <c r="DI8" s="19">
        <v>968.87</v>
      </c>
      <c r="DJ8" s="400">
        <v>43440</v>
      </c>
      <c r="DK8" s="19">
        <v>968.87</v>
      </c>
      <c r="DL8" s="402" t="s">
        <v>464</v>
      </c>
      <c r="DM8" s="403">
        <v>37</v>
      </c>
      <c r="DN8" s="16"/>
      <c r="DO8" s="657"/>
      <c r="DP8" s="121"/>
      <c r="DQ8" s="20">
        <v>1</v>
      </c>
      <c r="DR8" s="19">
        <v>965.53</v>
      </c>
      <c r="DS8" s="58">
        <v>43442</v>
      </c>
      <c r="DT8" s="19">
        <v>965.53</v>
      </c>
      <c r="DU8" s="76" t="s">
        <v>497</v>
      </c>
      <c r="DV8" s="24">
        <v>40</v>
      </c>
      <c r="DW8" s="16"/>
      <c r="DX8" s="657"/>
      <c r="DY8" s="121"/>
      <c r="DZ8" s="20">
        <v>1</v>
      </c>
      <c r="EA8" s="19">
        <v>915.3</v>
      </c>
      <c r="EB8" s="58">
        <v>43444</v>
      </c>
      <c r="EC8" s="30">
        <v>915.3</v>
      </c>
      <c r="ED8" s="76" t="s">
        <v>513</v>
      </c>
      <c r="EE8" s="24">
        <v>42</v>
      </c>
      <c r="EF8" s="16"/>
      <c r="EG8" s="657"/>
      <c r="EH8" s="121"/>
      <c r="EI8" s="20">
        <v>1</v>
      </c>
      <c r="EJ8" s="19">
        <v>892.7</v>
      </c>
      <c r="EK8" s="17">
        <v>43442</v>
      </c>
      <c r="EL8" s="19">
        <v>892.7</v>
      </c>
      <c r="EM8" s="73" t="s">
        <v>524</v>
      </c>
      <c r="EN8" s="24">
        <v>40</v>
      </c>
      <c r="EO8" s="16"/>
      <c r="EP8" s="657"/>
      <c r="EQ8" s="121"/>
      <c r="ER8" s="20">
        <v>1</v>
      </c>
      <c r="ES8" s="19">
        <v>997.28</v>
      </c>
      <c r="ET8" s="17">
        <v>43446</v>
      </c>
      <c r="EU8" s="19">
        <v>997.28</v>
      </c>
      <c r="EV8" s="43" t="s">
        <v>532</v>
      </c>
      <c r="EW8" s="24">
        <v>42</v>
      </c>
      <c r="EX8" s="16"/>
      <c r="EY8" s="657"/>
      <c r="EZ8" s="121"/>
      <c r="FA8" s="20">
        <v>1</v>
      </c>
      <c r="FB8" s="167">
        <v>965.08</v>
      </c>
      <c r="FC8" s="150">
        <v>43445</v>
      </c>
      <c r="FD8" s="167">
        <v>965.08</v>
      </c>
      <c r="FE8" s="110" t="s">
        <v>527</v>
      </c>
      <c r="FF8" s="111">
        <v>42</v>
      </c>
      <c r="FG8" s="16"/>
      <c r="FH8" s="657"/>
      <c r="FI8" s="121"/>
      <c r="FJ8" s="20">
        <v>1</v>
      </c>
      <c r="FK8" s="19">
        <v>900</v>
      </c>
      <c r="FL8" s="58">
        <v>43445</v>
      </c>
      <c r="FM8" s="19">
        <v>900</v>
      </c>
      <c r="FN8" s="76" t="s">
        <v>505</v>
      </c>
      <c r="FO8" s="24">
        <v>42</v>
      </c>
      <c r="FP8" s="16"/>
      <c r="FQ8" s="657"/>
      <c r="FR8" s="121"/>
      <c r="FS8" s="20">
        <v>1</v>
      </c>
      <c r="FT8" s="19">
        <v>926.68</v>
      </c>
      <c r="FU8" s="150">
        <v>43445</v>
      </c>
      <c r="FV8" s="167">
        <v>926.68</v>
      </c>
      <c r="FW8" s="270" t="s">
        <v>467</v>
      </c>
      <c r="FX8" s="111">
        <v>42</v>
      </c>
      <c r="FY8" s="16"/>
      <c r="FZ8" s="657"/>
      <c r="GA8" s="121"/>
      <c r="GB8" s="20">
        <v>1</v>
      </c>
      <c r="GC8" s="19">
        <v>961</v>
      </c>
      <c r="GD8" s="17">
        <v>43446</v>
      </c>
      <c r="GE8" s="19">
        <v>961</v>
      </c>
      <c r="GF8" s="70" t="s">
        <v>531</v>
      </c>
      <c r="GG8" s="24">
        <v>42</v>
      </c>
      <c r="GH8" s="16"/>
      <c r="GI8" s="657"/>
      <c r="GJ8" s="121"/>
      <c r="GK8" s="20">
        <v>1</v>
      </c>
      <c r="GL8" s="19">
        <v>939.68</v>
      </c>
      <c r="GM8" s="17">
        <v>43447</v>
      </c>
      <c r="GN8" s="19">
        <v>939.68</v>
      </c>
      <c r="GO8" s="70" t="s">
        <v>537</v>
      </c>
      <c r="GP8" s="24">
        <v>42</v>
      </c>
      <c r="GQ8" s="16"/>
      <c r="GR8" s="657"/>
      <c r="GS8" s="121"/>
      <c r="GT8" s="20">
        <v>1</v>
      </c>
      <c r="GU8" s="19">
        <v>870</v>
      </c>
      <c r="GV8" s="17">
        <v>43448</v>
      </c>
      <c r="GW8" s="19">
        <v>870</v>
      </c>
      <c r="GX8" s="73" t="s">
        <v>541</v>
      </c>
      <c r="GY8" s="24">
        <v>42</v>
      </c>
      <c r="GZ8" s="16"/>
      <c r="HA8" s="657"/>
      <c r="HB8" s="121"/>
      <c r="HC8" s="20">
        <v>1</v>
      </c>
      <c r="HD8" s="19">
        <v>866.8</v>
      </c>
      <c r="HE8" s="58">
        <v>43448</v>
      </c>
      <c r="HF8" s="19">
        <v>866.8</v>
      </c>
      <c r="HG8" s="76" t="s">
        <v>542</v>
      </c>
      <c r="HH8" s="24">
        <v>42</v>
      </c>
      <c r="HI8" s="16"/>
      <c r="HJ8" s="657"/>
      <c r="HK8" s="121"/>
      <c r="HL8" s="20">
        <v>1</v>
      </c>
      <c r="HM8" s="19">
        <v>963.72</v>
      </c>
      <c r="HN8" s="17">
        <v>43449</v>
      </c>
      <c r="HO8" s="19">
        <v>963.72</v>
      </c>
      <c r="HP8" s="593" t="s">
        <v>547</v>
      </c>
      <c r="HQ8" s="24">
        <v>42</v>
      </c>
      <c r="HR8" s="19"/>
      <c r="HS8" s="657"/>
      <c r="HT8" s="121"/>
      <c r="HU8" s="20">
        <v>1</v>
      </c>
      <c r="HV8" s="19">
        <v>992.74</v>
      </c>
      <c r="HW8" s="58">
        <v>43448</v>
      </c>
      <c r="HX8" s="19">
        <v>992.74</v>
      </c>
      <c r="HY8" s="76" t="s">
        <v>545</v>
      </c>
      <c r="HZ8" s="24">
        <v>42</v>
      </c>
      <c r="IA8" s="19"/>
      <c r="IB8" s="657"/>
      <c r="IC8" s="121"/>
      <c r="ID8" s="20">
        <v>1</v>
      </c>
      <c r="IE8" s="19">
        <v>931.2</v>
      </c>
      <c r="IF8" s="17">
        <v>43449</v>
      </c>
      <c r="IG8" s="19">
        <v>931.2</v>
      </c>
      <c r="IH8" s="73" t="s">
        <v>552</v>
      </c>
      <c r="II8" s="24">
        <v>42</v>
      </c>
      <c r="IJ8" s="16"/>
      <c r="IK8" s="657"/>
      <c r="IL8" s="121"/>
      <c r="IM8" s="20">
        <v>1</v>
      </c>
      <c r="IN8" s="416">
        <v>942.86</v>
      </c>
      <c r="IO8" s="626">
        <v>43450</v>
      </c>
      <c r="IP8" s="416">
        <v>942.86</v>
      </c>
      <c r="IQ8" s="76" t="s">
        <v>559</v>
      </c>
      <c r="IR8" s="24">
        <v>42</v>
      </c>
      <c r="IS8" s="16"/>
      <c r="IT8" s="657"/>
      <c r="IU8" s="121"/>
      <c r="IV8" s="20">
        <v>1</v>
      </c>
      <c r="IW8" s="19">
        <v>874.5</v>
      </c>
      <c r="IX8" s="17">
        <v>43452</v>
      </c>
      <c r="IY8" s="19">
        <v>874.5</v>
      </c>
      <c r="IZ8" s="70" t="s">
        <v>573</v>
      </c>
      <c r="JA8" s="24">
        <v>42</v>
      </c>
      <c r="JB8" s="16"/>
      <c r="JC8" s="657"/>
      <c r="JD8" s="121"/>
      <c r="JE8" s="20">
        <v>1</v>
      </c>
      <c r="JF8" s="19">
        <v>897.7</v>
      </c>
      <c r="JG8" s="17">
        <v>43452</v>
      </c>
      <c r="JH8" s="19">
        <v>897.7</v>
      </c>
      <c r="JI8" s="70" t="s">
        <v>577</v>
      </c>
      <c r="JJ8" s="24">
        <v>42</v>
      </c>
      <c r="JK8" s="16"/>
      <c r="JL8" s="657"/>
      <c r="JM8" s="121"/>
      <c r="JN8" s="20">
        <v>1</v>
      </c>
      <c r="JO8" s="19">
        <v>907.94</v>
      </c>
      <c r="JP8" s="17">
        <v>43452</v>
      </c>
      <c r="JQ8" s="19">
        <v>907.94</v>
      </c>
      <c r="JR8" s="70" t="s">
        <v>578</v>
      </c>
      <c r="JS8" s="24">
        <v>42</v>
      </c>
      <c r="JT8" s="16"/>
      <c r="JU8" s="657"/>
      <c r="JV8" s="121"/>
      <c r="JW8" s="20">
        <v>1</v>
      </c>
      <c r="JX8" s="19">
        <v>926.23</v>
      </c>
      <c r="JY8" s="150">
        <v>43453</v>
      </c>
      <c r="JZ8" s="19">
        <v>926.23</v>
      </c>
      <c r="KA8" s="270" t="s">
        <v>585</v>
      </c>
      <c r="KB8" s="111">
        <v>42</v>
      </c>
      <c r="KC8" s="16"/>
      <c r="KD8" s="657"/>
      <c r="KE8" s="121"/>
      <c r="KF8" s="20">
        <v>1</v>
      </c>
      <c r="KG8" s="19">
        <v>896.5</v>
      </c>
      <c r="KH8" s="17">
        <v>43452</v>
      </c>
      <c r="KI8" s="19">
        <v>896.5</v>
      </c>
      <c r="KJ8" s="70" t="s">
        <v>580</v>
      </c>
      <c r="KK8" s="24">
        <v>42</v>
      </c>
      <c r="KL8" s="16"/>
      <c r="KM8" s="89"/>
      <c r="KN8" s="121"/>
      <c r="KO8" s="20">
        <v>1</v>
      </c>
      <c r="KP8" s="189">
        <v>921.7</v>
      </c>
      <c r="KQ8" s="105">
        <v>43453</v>
      </c>
      <c r="KR8" s="364">
        <v>921.7</v>
      </c>
      <c r="KS8" s="124" t="s">
        <v>583</v>
      </c>
      <c r="KT8" s="103">
        <v>42</v>
      </c>
      <c r="KU8" s="16"/>
      <c r="KV8" s="89"/>
      <c r="KW8" s="121"/>
      <c r="KX8" s="20">
        <v>1</v>
      </c>
      <c r="KY8" s="189">
        <v>956.46</v>
      </c>
      <c r="KZ8" s="17">
        <v>43453</v>
      </c>
      <c r="LA8" s="189">
        <v>956.46</v>
      </c>
      <c r="LB8" s="70" t="s">
        <v>586</v>
      </c>
      <c r="LC8" s="24">
        <v>42</v>
      </c>
      <c r="LD8" s="16"/>
      <c r="LE8" s="89"/>
      <c r="LF8" s="121"/>
      <c r="LG8" s="20">
        <v>1</v>
      </c>
      <c r="LH8" s="19">
        <v>907.94</v>
      </c>
      <c r="LI8" s="17">
        <v>43454</v>
      </c>
      <c r="LJ8" s="19">
        <v>907.94</v>
      </c>
      <c r="LK8" s="70" t="s">
        <v>593</v>
      </c>
      <c r="LL8" s="24">
        <v>42</v>
      </c>
      <c r="LM8" s="16"/>
      <c r="LN8" s="89"/>
      <c r="LO8" s="121"/>
      <c r="LP8" s="20">
        <v>1</v>
      </c>
      <c r="LQ8" s="364">
        <v>911.56</v>
      </c>
      <c r="LR8" s="150">
        <v>43455</v>
      </c>
      <c r="LS8" s="364">
        <v>911.56</v>
      </c>
      <c r="LT8" s="270" t="s">
        <v>601</v>
      </c>
      <c r="LU8" s="111">
        <v>42</v>
      </c>
      <c r="LV8" s="16"/>
      <c r="LW8" s="89"/>
      <c r="LX8" s="121"/>
      <c r="LY8" s="20">
        <v>1</v>
      </c>
      <c r="LZ8" s="179">
        <v>888.6</v>
      </c>
      <c r="MA8" s="17">
        <v>43455</v>
      </c>
      <c r="MB8" s="179">
        <v>888.6</v>
      </c>
      <c r="MC8" s="70" t="s">
        <v>604</v>
      </c>
      <c r="MD8" s="24">
        <v>42</v>
      </c>
      <c r="ME8" s="16"/>
      <c r="MF8" s="89"/>
      <c r="MG8" s="121"/>
      <c r="MH8" s="20">
        <v>1</v>
      </c>
      <c r="MI8" s="167">
        <v>880.4</v>
      </c>
      <c r="MJ8" s="150">
        <v>43455</v>
      </c>
      <c r="MK8" s="167">
        <v>880.4</v>
      </c>
      <c r="ML8" s="270" t="s">
        <v>609</v>
      </c>
      <c r="MM8" s="111">
        <v>42</v>
      </c>
      <c r="MN8" s="16"/>
      <c r="MO8" s="89"/>
      <c r="MP8" s="121"/>
      <c r="MQ8" s="20">
        <v>1</v>
      </c>
      <c r="MR8" s="179">
        <v>961.9</v>
      </c>
      <c r="MS8" s="17">
        <v>43457</v>
      </c>
      <c r="MT8" s="179">
        <v>961.9</v>
      </c>
      <c r="MU8" s="70" t="s">
        <v>626</v>
      </c>
      <c r="MV8" s="24">
        <v>42</v>
      </c>
      <c r="MW8" s="16"/>
      <c r="MX8" s="89"/>
      <c r="MY8" s="121"/>
      <c r="MZ8" s="20">
        <v>1</v>
      </c>
      <c r="NA8" s="19">
        <v>886.8</v>
      </c>
      <c r="NB8" s="17">
        <v>43460</v>
      </c>
      <c r="NC8" s="19">
        <v>886.8</v>
      </c>
      <c r="ND8" s="70" t="s">
        <v>633</v>
      </c>
      <c r="NE8" s="24">
        <v>42</v>
      </c>
      <c r="NF8" s="16"/>
      <c r="NG8" s="89"/>
      <c r="NH8" s="121"/>
      <c r="NI8" s="20">
        <v>1</v>
      </c>
      <c r="NJ8" s="19">
        <v>900.8</v>
      </c>
      <c r="NK8" s="17">
        <v>43456</v>
      </c>
      <c r="NL8" s="19">
        <v>900.8</v>
      </c>
      <c r="NM8" s="70" t="s">
        <v>613</v>
      </c>
      <c r="NN8" s="24">
        <v>42</v>
      </c>
      <c r="NO8" s="16"/>
      <c r="NP8" s="89"/>
      <c r="NQ8" s="164"/>
      <c r="NR8" s="20">
        <v>1</v>
      </c>
      <c r="NS8" s="179">
        <v>914</v>
      </c>
      <c r="NT8" s="17">
        <v>43456</v>
      </c>
      <c r="NU8" s="179">
        <v>914</v>
      </c>
      <c r="NV8" s="70" t="s">
        <v>615</v>
      </c>
      <c r="NW8" s="24">
        <v>42</v>
      </c>
      <c r="NX8" s="16"/>
      <c r="NY8" s="89"/>
      <c r="NZ8" s="121"/>
      <c r="OA8" s="20">
        <v>1</v>
      </c>
      <c r="OB8" s="19">
        <v>939.68</v>
      </c>
      <c r="OC8" s="105">
        <v>43456</v>
      </c>
      <c r="OD8" s="19">
        <v>939.68</v>
      </c>
      <c r="OE8" s="124" t="s">
        <v>621</v>
      </c>
      <c r="OF8" s="103">
        <v>42</v>
      </c>
      <c r="OG8" s="16"/>
      <c r="OH8" s="89"/>
      <c r="OI8" s="121"/>
      <c r="OJ8" s="20">
        <v>1</v>
      </c>
      <c r="OK8" s="19">
        <v>924</v>
      </c>
      <c r="OL8" s="17">
        <v>43456</v>
      </c>
      <c r="OM8" s="19">
        <v>924</v>
      </c>
      <c r="ON8" s="70" t="s">
        <v>617</v>
      </c>
      <c r="OO8" s="482">
        <v>42</v>
      </c>
      <c r="OP8" s="16"/>
      <c r="OQ8" s="89"/>
      <c r="OR8" s="121"/>
      <c r="OS8" s="20">
        <v>1</v>
      </c>
      <c r="OT8" s="19">
        <v>886.8</v>
      </c>
      <c r="OU8" s="17">
        <v>43457</v>
      </c>
      <c r="OV8" s="19">
        <v>886.8</v>
      </c>
      <c r="OW8" s="70" t="s">
        <v>625</v>
      </c>
      <c r="OX8" s="24">
        <v>42</v>
      </c>
      <c r="OY8" s="16"/>
      <c r="OZ8" s="89"/>
      <c r="PA8" s="121"/>
      <c r="PB8" s="20">
        <v>1</v>
      </c>
      <c r="PC8" s="19">
        <v>907.94</v>
      </c>
      <c r="PD8" s="17">
        <v>43458</v>
      </c>
      <c r="PE8" s="19">
        <v>907.94100000000003</v>
      </c>
      <c r="PF8" s="70" t="s">
        <v>632</v>
      </c>
      <c r="PG8" s="24">
        <v>42</v>
      </c>
      <c r="PH8" s="16"/>
      <c r="PI8" s="89"/>
      <c r="PJ8" s="121"/>
      <c r="PK8" s="20">
        <v>1</v>
      </c>
      <c r="PL8" s="19">
        <v>901</v>
      </c>
      <c r="PM8" s="17">
        <v>43461</v>
      </c>
      <c r="PN8" s="19">
        <v>901</v>
      </c>
      <c r="PO8" s="70" t="s">
        <v>642</v>
      </c>
      <c r="PP8" s="24">
        <v>38</v>
      </c>
      <c r="PQ8" s="16"/>
      <c r="PR8" s="89"/>
      <c r="PS8" s="171"/>
      <c r="PT8" s="20">
        <v>1</v>
      </c>
      <c r="PU8" s="19">
        <v>923.96</v>
      </c>
      <c r="PV8" s="150">
        <v>43462</v>
      </c>
      <c r="PW8" s="167">
        <v>923.96</v>
      </c>
      <c r="PX8" s="270" t="s">
        <v>653</v>
      </c>
      <c r="PY8" s="111">
        <v>38</v>
      </c>
      <c r="PZ8" s="16"/>
      <c r="QA8" s="89"/>
      <c r="QB8" s="171"/>
      <c r="QC8" s="20">
        <v>1</v>
      </c>
      <c r="QD8" s="19">
        <v>946.64</v>
      </c>
      <c r="QE8" s="105">
        <v>43462</v>
      </c>
      <c r="QF8" s="19">
        <v>946.64</v>
      </c>
      <c r="QG8" s="124" t="s">
        <v>657</v>
      </c>
      <c r="QH8" s="414">
        <v>38</v>
      </c>
      <c r="QI8" s="16"/>
      <c r="QK8" s="121"/>
      <c r="QL8" s="20">
        <v>1</v>
      </c>
      <c r="QM8" s="19">
        <v>907.6</v>
      </c>
      <c r="QN8" s="17">
        <v>43461</v>
      </c>
      <c r="QO8" s="19">
        <v>907.6</v>
      </c>
      <c r="QP8" s="70" t="s">
        <v>645</v>
      </c>
      <c r="QQ8" s="24">
        <v>38</v>
      </c>
      <c r="QR8" s="16"/>
      <c r="QT8" s="121"/>
      <c r="QU8" s="20">
        <v>1</v>
      </c>
      <c r="QV8" s="19">
        <v>902.64</v>
      </c>
      <c r="QW8" s="17">
        <v>43461</v>
      </c>
      <c r="QX8" s="19">
        <v>902.64</v>
      </c>
      <c r="QY8" s="70" t="s">
        <v>649</v>
      </c>
      <c r="QZ8" s="24">
        <v>38</v>
      </c>
      <c r="RA8" s="16"/>
      <c r="RC8" s="121"/>
      <c r="RD8" s="20"/>
      <c r="RE8" s="19"/>
      <c r="RF8" s="17"/>
      <c r="RG8" s="19"/>
      <c r="RH8" s="70"/>
      <c r="RI8" s="24"/>
      <c r="RJ8" s="16"/>
      <c r="RL8" s="121"/>
      <c r="RM8" s="20">
        <v>1</v>
      </c>
      <c r="RN8" s="19">
        <v>943.31</v>
      </c>
      <c r="RO8" s="400">
        <v>43462</v>
      </c>
      <c r="RP8" s="401">
        <v>943.31</v>
      </c>
      <c r="RQ8" s="402" t="s">
        <v>662</v>
      </c>
      <c r="RR8" s="403">
        <v>38</v>
      </c>
      <c r="RS8" s="16"/>
      <c r="RU8" s="121"/>
      <c r="RV8" s="20">
        <v>1</v>
      </c>
      <c r="RW8" s="19"/>
      <c r="RX8" s="17"/>
      <c r="RY8" s="19"/>
      <c r="RZ8" s="70"/>
      <c r="SA8" s="24"/>
      <c r="SB8" s="16"/>
      <c r="SD8" s="121"/>
      <c r="SE8" s="20">
        <v>1</v>
      </c>
      <c r="SF8" s="19">
        <v>941.95</v>
      </c>
      <c r="SG8" s="17">
        <v>43463</v>
      </c>
      <c r="SH8" s="19">
        <v>941.95</v>
      </c>
      <c r="SI8" s="70" t="s">
        <v>654</v>
      </c>
      <c r="SJ8" s="24">
        <v>38</v>
      </c>
      <c r="SK8" s="16"/>
      <c r="SM8" s="121"/>
      <c r="SN8" s="20">
        <v>1</v>
      </c>
      <c r="SO8" s="19">
        <v>859.12</v>
      </c>
      <c r="SP8" s="17">
        <v>43463</v>
      </c>
      <c r="SQ8" s="19">
        <v>859.12</v>
      </c>
      <c r="SR8" s="70" t="s">
        <v>668</v>
      </c>
      <c r="SS8" s="24">
        <v>38</v>
      </c>
      <c r="ST8" s="16"/>
      <c r="SV8" s="121"/>
      <c r="SW8" s="20">
        <v>1</v>
      </c>
      <c r="SX8" s="19">
        <v>875.9</v>
      </c>
      <c r="SY8" s="17">
        <v>43463</v>
      </c>
      <c r="SZ8" s="19">
        <v>875.9</v>
      </c>
      <c r="TA8" s="70" t="s">
        <v>665</v>
      </c>
      <c r="TB8" s="24">
        <v>38</v>
      </c>
      <c r="TC8" s="16"/>
      <c r="TE8" s="121"/>
      <c r="TF8" s="20">
        <v>1</v>
      </c>
      <c r="TG8" s="19">
        <v>942.86</v>
      </c>
      <c r="TH8" s="17">
        <v>43464</v>
      </c>
      <c r="TI8" s="19">
        <v>942.86</v>
      </c>
      <c r="TJ8" s="70" t="s">
        <v>669</v>
      </c>
      <c r="TK8" s="24">
        <v>38</v>
      </c>
      <c r="TM8" s="89" t="s">
        <v>32</v>
      </c>
      <c r="TN8" s="2"/>
      <c r="TO8" s="20">
        <v>1</v>
      </c>
      <c r="TP8" s="19">
        <v>893.1</v>
      </c>
      <c r="TQ8" s="17">
        <v>43464</v>
      </c>
      <c r="TR8" s="19">
        <v>893.1</v>
      </c>
      <c r="TS8" s="70" t="s">
        <v>670</v>
      </c>
      <c r="TT8" s="24">
        <v>38</v>
      </c>
      <c r="TV8" s="89" t="s">
        <v>32</v>
      </c>
      <c r="TW8" s="2"/>
      <c r="TX8" s="20">
        <v>1</v>
      </c>
      <c r="TY8" s="19"/>
      <c r="TZ8" s="17"/>
      <c r="UA8" s="19"/>
      <c r="UB8" s="70"/>
      <c r="UC8" s="24"/>
      <c r="UE8" s="89" t="s">
        <v>32</v>
      </c>
      <c r="UF8" s="2"/>
      <c r="UG8" s="20">
        <v>1</v>
      </c>
      <c r="UH8" s="19"/>
      <c r="UI8" s="17"/>
      <c r="UJ8" s="19"/>
      <c r="UK8" s="70"/>
      <c r="UL8" s="24"/>
      <c r="UN8" s="89" t="s">
        <v>32</v>
      </c>
      <c r="UO8" s="2"/>
      <c r="UP8" s="20">
        <v>1</v>
      </c>
      <c r="UQ8" s="19"/>
      <c r="UR8" s="17"/>
      <c r="US8" s="19"/>
      <c r="UT8" s="70"/>
      <c r="UU8" s="24"/>
      <c r="UW8" s="89" t="s">
        <v>32</v>
      </c>
      <c r="UX8" s="2"/>
      <c r="UY8" s="20">
        <v>1</v>
      </c>
      <c r="UZ8" s="19"/>
      <c r="VA8" s="17"/>
      <c r="VB8" s="19"/>
      <c r="VC8" s="70"/>
      <c r="VD8" s="24"/>
      <c r="VF8" s="89" t="s">
        <v>32</v>
      </c>
      <c r="VG8" s="2"/>
      <c r="VH8" s="20">
        <v>1</v>
      </c>
      <c r="VI8" s="19"/>
      <c r="VJ8" s="17"/>
      <c r="VK8" s="19"/>
      <c r="VL8" s="70"/>
      <c r="VM8" s="24"/>
      <c r="VO8" s="89" t="s">
        <v>32</v>
      </c>
      <c r="VP8" s="2"/>
      <c r="VQ8" s="20">
        <v>1</v>
      </c>
      <c r="VR8" s="19"/>
      <c r="VS8" s="17"/>
      <c r="VT8" s="19"/>
      <c r="VU8" s="70"/>
      <c r="VV8" s="24"/>
      <c r="VX8" s="89" t="s">
        <v>32</v>
      </c>
      <c r="VY8" s="2"/>
      <c r="VZ8" s="20">
        <v>1</v>
      </c>
      <c r="WA8" s="19"/>
      <c r="WB8" s="17"/>
      <c r="WC8" s="19"/>
      <c r="WD8" s="70"/>
      <c r="WE8" s="24"/>
      <c r="WG8" s="89" t="s">
        <v>32</v>
      </c>
      <c r="WH8" s="2"/>
      <c r="WI8" s="20">
        <v>1</v>
      </c>
      <c r="WJ8" s="19"/>
      <c r="WK8" s="17"/>
      <c r="WL8" s="19"/>
      <c r="WM8" s="70"/>
      <c r="WN8" s="24"/>
      <c r="WP8" s="89" t="s">
        <v>32</v>
      </c>
      <c r="WQ8" s="2"/>
      <c r="WR8" s="20">
        <v>1</v>
      </c>
      <c r="WS8" s="19"/>
      <c r="WT8" s="17"/>
      <c r="WU8" s="19"/>
      <c r="WV8" s="70"/>
      <c r="WW8" s="24"/>
      <c r="WY8" s="89" t="s">
        <v>32</v>
      </c>
      <c r="WZ8" s="2"/>
      <c r="XA8" s="20">
        <v>1</v>
      </c>
      <c r="XB8" s="19"/>
      <c r="XC8" s="17"/>
      <c r="XD8" s="19"/>
      <c r="XE8" s="70"/>
      <c r="XF8" s="24"/>
      <c r="XH8" s="89" t="s">
        <v>32</v>
      </c>
      <c r="XI8" s="2"/>
      <c r="XJ8" s="20">
        <v>1</v>
      </c>
      <c r="XK8" s="19"/>
      <c r="XL8" s="17"/>
      <c r="XM8" s="19"/>
      <c r="XN8" s="70"/>
      <c r="XO8" s="24"/>
      <c r="XQ8" s="89" t="s">
        <v>32</v>
      </c>
      <c r="XR8" s="2"/>
      <c r="XS8" s="20">
        <v>1</v>
      </c>
      <c r="XT8" s="19"/>
      <c r="XU8" s="17"/>
      <c r="XV8" s="19"/>
      <c r="XW8" s="70"/>
      <c r="XX8" s="24"/>
      <c r="XZ8" s="89" t="s">
        <v>32</v>
      </c>
      <c r="YA8" s="2"/>
      <c r="YB8" s="20">
        <v>1</v>
      </c>
      <c r="YC8" s="19"/>
      <c r="YD8" s="17"/>
      <c r="YE8" s="19"/>
      <c r="YF8" s="70"/>
      <c r="YG8" s="24"/>
      <c r="YI8" s="89" t="s">
        <v>32</v>
      </c>
      <c r="YJ8" s="2" t="s">
        <v>60</v>
      </c>
      <c r="YK8" s="20">
        <v>1</v>
      </c>
      <c r="YL8" s="19"/>
      <c r="YM8" s="17"/>
      <c r="YN8" s="19"/>
      <c r="YO8" s="70"/>
      <c r="YP8" s="24"/>
      <c r="YR8" s="89" t="s">
        <v>32</v>
      </c>
      <c r="YS8" s="2"/>
      <c r="YT8" s="20">
        <v>1</v>
      </c>
      <c r="YU8" s="19"/>
      <c r="YV8" s="17"/>
      <c r="YW8" s="19"/>
      <c r="YX8" s="70"/>
      <c r="YY8" s="24"/>
      <c r="ZA8" s="89" t="s">
        <v>32</v>
      </c>
      <c r="ZB8" s="2"/>
      <c r="ZC8" s="20">
        <v>1</v>
      </c>
      <c r="ZD8" s="19"/>
      <c r="ZE8" s="17"/>
      <c r="ZF8" s="19"/>
      <c r="ZG8" s="70"/>
      <c r="ZH8" s="24"/>
      <c r="ZJ8" s="89" t="s">
        <v>32</v>
      </c>
      <c r="ZK8" s="2"/>
      <c r="ZL8" s="20">
        <v>1</v>
      </c>
      <c r="ZM8" s="19"/>
      <c r="ZN8" s="17"/>
      <c r="ZO8" s="19"/>
      <c r="ZP8" s="70"/>
      <c r="ZQ8" s="24"/>
      <c r="ZS8" s="89" t="s">
        <v>32</v>
      </c>
      <c r="ZT8" s="2"/>
      <c r="ZU8" s="20">
        <v>1</v>
      </c>
      <c r="ZV8" s="19"/>
      <c r="ZW8" s="17"/>
      <c r="ZX8" s="19"/>
      <c r="ZY8" s="70"/>
      <c r="ZZ8" s="24"/>
      <c r="AAB8" s="89" t="s">
        <v>32</v>
      </c>
      <c r="AAC8" s="2"/>
      <c r="AAD8" s="20">
        <v>1</v>
      </c>
      <c r="AAE8" s="19"/>
      <c r="AAF8" s="17"/>
      <c r="AAG8" s="19"/>
      <c r="AAH8" s="70"/>
      <c r="AAI8" s="24"/>
      <c r="AAK8" s="89" t="s">
        <v>32</v>
      </c>
      <c r="AAL8" s="2"/>
      <c r="AAM8" s="20">
        <v>1</v>
      </c>
      <c r="AAN8" s="19"/>
      <c r="AAO8" s="17"/>
      <c r="AAP8" s="19"/>
      <c r="AAQ8" s="70"/>
      <c r="AAR8" s="24"/>
      <c r="AAT8" s="89" t="s">
        <v>32</v>
      </c>
      <c r="AAU8" s="2"/>
      <c r="AAV8" s="20">
        <v>1</v>
      </c>
      <c r="AAW8" s="19"/>
      <c r="AAX8" s="17"/>
      <c r="AAY8" s="19"/>
      <c r="AAZ8" s="70"/>
      <c r="ABA8" s="24"/>
      <c r="ABC8" s="89" t="s">
        <v>32</v>
      </c>
      <c r="ABD8" s="2"/>
      <c r="ABE8" s="20">
        <v>1</v>
      </c>
      <c r="ABF8" s="19"/>
      <c r="ABG8" s="17"/>
      <c r="ABH8" s="19"/>
      <c r="ABI8" s="70"/>
      <c r="ABJ8" s="24"/>
      <c r="ABL8" s="89" t="s">
        <v>32</v>
      </c>
      <c r="ABM8" s="2"/>
      <c r="ABN8" s="20">
        <v>1</v>
      </c>
      <c r="ABO8" s="19"/>
      <c r="ABP8" s="17"/>
      <c r="ABQ8" s="19"/>
      <c r="ABR8" s="70"/>
      <c r="ABS8" s="24"/>
      <c r="ABU8" s="89" t="s">
        <v>32</v>
      </c>
      <c r="ABV8" s="2"/>
      <c r="ABW8" s="20">
        <v>1</v>
      </c>
      <c r="ABX8" s="19"/>
      <c r="ABY8" s="17"/>
      <c r="ABZ8" s="19"/>
      <c r="ACA8" s="70"/>
      <c r="ACB8" s="24"/>
      <c r="ACD8" s="89" t="s">
        <v>32</v>
      </c>
      <c r="ACE8" s="2"/>
      <c r="ACF8" s="20">
        <v>1</v>
      </c>
      <c r="ACG8" s="19"/>
      <c r="ACH8" s="17"/>
      <c r="ACI8" s="19"/>
      <c r="ACJ8" s="70"/>
      <c r="ACK8" s="24"/>
      <c r="ACM8" s="89" t="s">
        <v>32</v>
      </c>
      <c r="ACN8" s="2"/>
      <c r="ACO8" s="20">
        <v>1</v>
      </c>
      <c r="ACP8" s="19"/>
      <c r="ACQ8" s="17"/>
      <c r="ACR8" s="19"/>
      <c r="ACS8" s="70"/>
      <c r="ACT8" s="24"/>
      <c r="ACV8" s="89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31903674</v>
      </c>
      <c r="E9" s="155">
        <f t="shared" si="5"/>
        <v>43441</v>
      </c>
      <c r="F9" s="74">
        <f t="shared" si="5"/>
        <v>19103.48</v>
      </c>
      <c r="G9" s="15">
        <f t="shared" si="5"/>
        <v>21</v>
      </c>
      <c r="H9" s="64">
        <f t="shared" si="5"/>
        <v>19133.900000000001</v>
      </c>
      <c r="I9" s="18">
        <f t="shared" si="5"/>
        <v>-30.420000000001892</v>
      </c>
      <c r="K9" s="128"/>
      <c r="L9" s="171"/>
      <c r="M9" s="20">
        <v>2</v>
      </c>
      <c r="N9" s="312">
        <v>930.8</v>
      </c>
      <c r="O9" s="105">
        <v>43435</v>
      </c>
      <c r="P9" s="312">
        <v>930.8</v>
      </c>
      <c r="Q9" s="124" t="s">
        <v>471</v>
      </c>
      <c r="R9" s="103">
        <v>37</v>
      </c>
      <c r="S9" s="16"/>
      <c r="T9" s="128"/>
      <c r="U9" s="171"/>
      <c r="V9" s="20">
        <v>2</v>
      </c>
      <c r="W9" s="190">
        <v>922.1</v>
      </c>
      <c r="X9" s="17">
        <v>43435</v>
      </c>
      <c r="Y9" s="190">
        <v>922.1</v>
      </c>
      <c r="Z9" s="70" t="s">
        <v>473</v>
      </c>
      <c r="AA9" s="24">
        <v>37</v>
      </c>
      <c r="AB9" s="16"/>
      <c r="AC9" s="128"/>
      <c r="AD9" s="171"/>
      <c r="AE9" s="20">
        <v>2</v>
      </c>
      <c r="AF9" s="190">
        <v>927.44</v>
      </c>
      <c r="AG9" s="17">
        <v>43436</v>
      </c>
      <c r="AH9" s="190">
        <v>927.44</v>
      </c>
      <c r="AI9" s="70" t="s">
        <v>481</v>
      </c>
      <c r="AJ9" s="24">
        <v>37</v>
      </c>
      <c r="AK9" s="16"/>
      <c r="AL9" s="128"/>
      <c r="AM9" s="171"/>
      <c r="AN9" s="20">
        <v>2</v>
      </c>
      <c r="AO9" s="19">
        <v>940.14</v>
      </c>
      <c r="AP9" s="17">
        <v>43441</v>
      </c>
      <c r="AQ9" s="19">
        <v>940.14</v>
      </c>
      <c r="AR9" s="70" t="s">
        <v>478</v>
      </c>
      <c r="AS9" s="24">
        <v>38</v>
      </c>
      <c r="AT9" s="16"/>
      <c r="AU9" s="128"/>
      <c r="AV9" s="171"/>
      <c r="AW9" s="20">
        <v>2</v>
      </c>
      <c r="AX9" s="19">
        <v>897.7</v>
      </c>
      <c r="AY9" s="105">
        <v>43441</v>
      </c>
      <c r="AZ9" s="19">
        <v>897.7</v>
      </c>
      <c r="BA9" s="124" t="s">
        <v>519</v>
      </c>
      <c r="BB9" s="414">
        <v>38</v>
      </c>
      <c r="BC9" s="16"/>
      <c r="BD9" s="128"/>
      <c r="BE9" s="171"/>
      <c r="BF9" s="20">
        <v>2</v>
      </c>
      <c r="BG9" s="19">
        <v>941.7</v>
      </c>
      <c r="BH9" s="400">
        <v>43441</v>
      </c>
      <c r="BI9" s="19">
        <v>941.7</v>
      </c>
      <c r="BJ9" s="402" t="s">
        <v>517</v>
      </c>
      <c r="BK9" s="403">
        <v>38</v>
      </c>
      <c r="BL9" s="16"/>
      <c r="BM9" s="128"/>
      <c r="BN9" s="171"/>
      <c r="BO9" s="20">
        <v>2</v>
      </c>
      <c r="BP9" s="19">
        <v>906.5</v>
      </c>
      <c r="BQ9" s="400">
        <v>43439</v>
      </c>
      <c r="BR9" s="19">
        <v>906.5</v>
      </c>
      <c r="BS9" s="402" t="s">
        <v>502</v>
      </c>
      <c r="BT9" s="403">
        <v>37</v>
      </c>
      <c r="BU9" s="16"/>
      <c r="BV9" s="128"/>
      <c r="BW9" s="171"/>
      <c r="BX9" s="20">
        <v>2</v>
      </c>
      <c r="BY9" s="19">
        <v>905.5</v>
      </c>
      <c r="BZ9" s="400">
        <v>43438</v>
      </c>
      <c r="CA9" s="19">
        <v>905.5</v>
      </c>
      <c r="CB9" s="402" t="s">
        <v>475</v>
      </c>
      <c r="CC9" s="403">
        <v>37</v>
      </c>
      <c r="CD9" s="16"/>
      <c r="CE9" s="128"/>
      <c r="CF9" s="171"/>
      <c r="CG9" s="20">
        <v>2</v>
      </c>
      <c r="CH9" s="19">
        <v>953.45</v>
      </c>
      <c r="CI9" s="17">
        <v>43439</v>
      </c>
      <c r="CJ9" s="19">
        <v>953.45</v>
      </c>
      <c r="CK9" s="70" t="s">
        <v>487</v>
      </c>
      <c r="CL9" s="24">
        <v>37</v>
      </c>
      <c r="CM9" s="16"/>
      <c r="CN9" s="128"/>
      <c r="CO9" s="171"/>
      <c r="CP9" s="20">
        <v>2</v>
      </c>
      <c r="CQ9" s="19">
        <v>909.9</v>
      </c>
      <c r="CR9" s="17">
        <v>43439</v>
      </c>
      <c r="CS9" s="19">
        <v>909.9</v>
      </c>
      <c r="CT9" s="70" t="s">
        <v>495</v>
      </c>
      <c r="CU9" s="24">
        <v>37</v>
      </c>
      <c r="CV9" s="16"/>
      <c r="CW9" s="128"/>
      <c r="CX9" s="171"/>
      <c r="CY9" s="20">
        <v>2</v>
      </c>
      <c r="CZ9" s="19">
        <v>934.24</v>
      </c>
      <c r="DA9" s="400">
        <v>43440</v>
      </c>
      <c r="DB9" s="19">
        <v>934.24</v>
      </c>
      <c r="DC9" s="402" t="s">
        <v>477</v>
      </c>
      <c r="DD9" s="403">
        <v>37</v>
      </c>
      <c r="DE9" s="16"/>
      <c r="DF9" s="128"/>
      <c r="DG9" s="171"/>
      <c r="DH9" s="20">
        <v>2</v>
      </c>
      <c r="DI9" s="19">
        <v>967.96</v>
      </c>
      <c r="DJ9" s="400">
        <v>43440</v>
      </c>
      <c r="DK9" s="19">
        <v>967.96</v>
      </c>
      <c r="DL9" s="402" t="s">
        <v>464</v>
      </c>
      <c r="DM9" s="403">
        <v>37</v>
      </c>
      <c r="DN9" s="16"/>
      <c r="DO9" s="128"/>
      <c r="DP9" s="171"/>
      <c r="DQ9" s="20">
        <v>2</v>
      </c>
      <c r="DR9" s="30">
        <v>920.18</v>
      </c>
      <c r="DS9" s="58">
        <v>43442</v>
      </c>
      <c r="DT9" s="30">
        <v>920.18</v>
      </c>
      <c r="DU9" s="76" t="s">
        <v>497</v>
      </c>
      <c r="DV9" s="24">
        <v>40</v>
      </c>
      <c r="DW9" s="16"/>
      <c r="DX9" s="128"/>
      <c r="DY9" s="171"/>
      <c r="DZ9" s="20">
        <v>2</v>
      </c>
      <c r="EA9" s="30">
        <v>915.3</v>
      </c>
      <c r="EB9" s="58">
        <v>43444</v>
      </c>
      <c r="EC9" s="30">
        <v>915.3</v>
      </c>
      <c r="ED9" s="76" t="s">
        <v>513</v>
      </c>
      <c r="EE9" s="24">
        <v>42</v>
      </c>
      <c r="EF9" s="16"/>
      <c r="EG9" s="128"/>
      <c r="EH9" s="171"/>
      <c r="EI9" s="20">
        <v>2</v>
      </c>
      <c r="EJ9" s="19">
        <v>916.3</v>
      </c>
      <c r="EK9" s="17">
        <v>43442</v>
      </c>
      <c r="EL9" s="19">
        <v>916.3</v>
      </c>
      <c r="EM9" s="43" t="s">
        <v>524</v>
      </c>
      <c r="EN9" s="24">
        <v>40</v>
      </c>
      <c r="EO9" s="16"/>
      <c r="EP9" s="128"/>
      <c r="EQ9" s="171"/>
      <c r="ER9" s="20">
        <v>2</v>
      </c>
      <c r="ES9" s="19">
        <v>994.56</v>
      </c>
      <c r="ET9" s="17">
        <v>43446</v>
      </c>
      <c r="EU9" s="19">
        <v>994.56</v>
      </c>
      <c r="EV9" s="43" t="s">
        <v>532</v>
      </c>
      <c r="EW9" s="24">
        <v>42</v>
      </c>
      <c r="EX9" s="16"/>
      <c r="EY9" s="128"/>
      <c r="EZ9" s="171"/>
      <c r="FA9" s="20">
        <v>2</v>
      </c>
      <c r="FB9" s="167">
        <v>938.78</v>
      </c>
      <c r="FC9" s="150">
        <v>43445</v>
      </c>
      <c r="FD9" s="167">
        <v>938.78</v>
      </c>
      <c r="FE9" s="110" t="s">
        <v>527</v>
      </c>
      <c r="FF9" s="111">
        <v>42</v>
      </c>
      <c r="FG9" s="16"/>
      <c r="FH9" s="128"/>
      <c r="FI9" s="171"/>
      <c r="FJ9" s="20">
        <v>2</v>
      </c>
      <c r="FK9" s="30">
        <v>885.5</v>
      </c>
      <c r="FL9" s="58">
        <v>43445</v>
      </c>
      <c r="FM9" s="30">
        <v>885.5</v>
      </c>
      <c r="FN9" s="76" t="s">
        <v>505</v>
      </c>
      <c r="FO9" s="24">
        <v>42</v>
      </c>
      <c r="FP9" s="16"/>
      <c r="FQ9" s="128"/>
      <c r="FR9" s="171"/>
      <c r="FS9" s="20">
        <v>2</v>
      </c>
      <c r="FT9" s="18">
        <v>971.14</v>
      </c>
      <c r="FU9" s="150">
        <v>43445</v>
      </c>
      <c r="FV9" s="18">
        <v>971.14</v>
      </c>
      <c r="FW9" s="270" t="s">
        <v>467</v>
      </c>
      <c r="FX9" s="111">
        <v>42</v>
      </c>
      <c r="FY9" s="16"/>
      <c r="FZ9" s="128"/>
      <c r="GA9" s="171"/>
      <c r="GB9" s="20">
        <v>2</v>
      </c>
      <c r="GC9" s="19">
        <v>963.72</v>
      </c>
      <c r="GD9" s="17">
        <v>43446</v>
      </c>
      <c r="GE9" s="19">
        <v>963.72</v>
      </c>
      <c r="GF9" s="70" t="s">
        <v>531</v>
      </c>
      <c r="GG9" s="24">
        <v>42</v>
      </c>
      <c r="GH9" s="16"/>
      <c r="GI9" s="128"/>
      <c r="GJ9" s="171"/>
      <c r="GK9" s="20">
        <v>2</v>
      </c>
      <c r="GL9" s="19">
        <v>930.16</v>
      </c>
      <c r="GM9" s="17">
        <v>43447</v>
      </c>
      <c r="GN9" s="19">
        <v>930.16</v>
      </c>
      <c r="GO9" s="70" t="s">
        <v>537</v>
      </c>
      <c r="GP9" s="24">
        <v>42</v>
      </c>
      <c r="GQ9" s="16"/>
      <c r="GR9" s="128"/>
      <c r="GS9" s="171"/>
      <c r="GT9" s="20">
        <v>2</v>
      </c>
      <c r="GU9" s="19">
        <v>940.7</v>
      </c>
      <c r="GV9" s="17">
        <v>43448</v>
      </c>
      <c r="GW9" s="19">
        <v>940.7</v>
      </c>
      <c r="GX9" s="311" t="s">
        <v>548</v>
      </c>
      <c r="GY9" s="24">
        <v>42</v>
      </c>
      <c r="GZ9" s="16"/>
      <c r="HA9" s="128"/>
      <c r="HB9" s="171"/>
      <c r="HC9" s="20">
        <v>2</v>
      </c>
      <c r="HD9" s="30">
        <v>943</v>
      </c>
      <c r="HE9" s="58">
        <v>43448</v>
      </c>
      <c r="HF9" s="30">
        <v>943</v>
      </c>
      <c r="HG9" s="76" t="s">
        <v>542</v>
      </c>
      <c r="HH9" s="24">
        <v>42</v>
      </c>
      <c r="HI9" s="16"/>
      <c r="HJ9" s="128"/>
      <c r="HK9" s="171"/>
      <c r="HL9" s="20">
        <v>2</v>
      </c>
      <c r="HM9" s="19">
        <v>952.38</v>
      </c>
      <c r="HN9" s="17">
        <v>43449</v>
      </c>
      <c r="HO9" s="19">
        <v>952.38</v>
      </c>
      <c r="HP9" s="593" t="s">
        <v>547</v>
      </c>
      <c r="HQ9" s="24">
        <v>42</v>
      </c>
      <c r="HR9" s="19"/>
      <c r="HS9" s="19"/>
      <c r="HT9" s="171"/>
      <c r="HU9" s="20">
        <v>2</v>
      </c>
      <c r="HV9" s="19">
        <v>949.21</v>
      </c>
      <c r="HW9" s="58">
        <v>43448</v>
      </c>
      <c r="HX9" s="19">
        <v>949.21</v>
      </c>
      <c r="HY9" s="76" t="s">
        <v>545</v>
      </c>
      <c r="HZ9" s="24">
        <v>42</v>
      </c>
      <c r="IA9" s="30"/>
      <c r="IB9" s="128"/>
      <c r="IC9" s="171"/>
      <c r="ID9" s="20">
        <v>2</v>
      </c>
      <c r="IE9" s="19">
        <v>911.3</v>
      </c>
      <c r="IF9" s="17">
        <v>43449</v>
      </c>
      <c r="IG9" s="19">
        <v>911.3</v>
      </c>
      <c r="IH9" s="43" t="s">
        <v>552</v>
      </c>
      <c r="II9" s="24">
        <v>42</v>
      </c>
      <c r="IJ9" s="16"/>
      <c r="IK9" s="128"/>
      <c r="IL9" s="171"/>
      <c r="IM9" s="20">
        <v>2</v>
      </c>
      <c r="IN9" s="30">
        <v>975.51</v>
      </c>
      <c r="IO9" s="626">
        <v>43450</v>
      </c>
      <c r="IP9" s="30">
        <v>975.51</v>
      </c>
      <c r="IQ9" s="76" t="s">
        <v>559</v>
      </c>
      <c r="IR9" s="24">
        <v>42</v>
      </c>
      <c r="IS9" s="16"/>
      <c r="IT9" s="128"/>
      <c r="IU9" s="171"/>
      <c r="IV9" s="20">
        <v>2</v>
      </c>
      <c r="IW9" s="19">
        <v>894.5</v>
      </c>
      <c r="IX9" s="17">
        <v>43451</v>
      </c>
      <c r="IY9" s="19">
        <v>894.5</v>
      </c>
      <c r="IZ9" s="70" t="s">
        <v>569</v>
      </c>
      <c r="JA9" s="24">
        <v>42</v>
      </c>
      <c r="JB9" s="16"/>
      <c r="JC9" s="128"/>
      <c r="JD9" s="171"/>
      <c r="JE9" s="20">
        <v>2</v>
      </c>
      <c r="JF9" s="19">
        <v>926.2</v>
      </c>
      <c r="JG9" s="17">
        <v>43452</v>
      </c>
      <c r="JH9" s="19">
        <v>926.2</v>
      </c>
      <c r="JI9" s="70" t="s">
        <v>576</v>
      </c>
      <c r="JJ9" s="24">
        <v>42</v>
      </c>
      <c r="JK9" s="16"/>
      <c r="JL9" s="128"/>
      <c r="JM9" s="171"/>
      <c r="JN9" s="20">
        <v>2</v>
      </c>
      <c r="JO9" s="19">
        <v>979.14</v>
      </c>
      <c r="JP9" s="17">
        <v>43452</v>
      </c>
      <c r="JQ9" s="19">
        <v>979.14</v>
      </c>
      <c r="JR9" s="70" t="s">
        <v>578</v>
      </c>
      <c r="JS9" s="24">
        <v>42</v>
      </c>
      <c r="JT9" s="16"/>
      <c r="JU9" s="128"/>
      <c r="JV9" s="171"/>
      <c r="JW9" s="20">
        <v>2</v>
      </c>
      <c r="JX9" s="19">
        <v>926.23</v>
      </c>
      <c r="JY9" s="17">
        <v>43453</v>
      </c>
      <c r="JZ9" s="19">
        <v>926.23</v>
      </c>
      <c r="KA9" s="70" t="s">
        <v>585</v>
      </c>
      <c r="KB9" s="24">
        <v>42</v>
      </c>
      <c r="KC9" s="16"/>
      <c r="KD9" s="128"/>
      <c r="KE9" s="171"/>
      <c r="KF9" s="20">
        <v>2</v>
      </c>
      <c r="KG9" s="19">
        <v>901</v>
      </c>
      <c r="KH9" s="17">
        <v>43452</v>
      </c>
      <c r="KI9" s="19">
        <v>901</v>
      </c>
      <c r="KJ9" s="70" t="s">
        <v>580</v>
      </c>
      <c r="KK9" s="24">
        <v>42</v>
      </c>
      <c r="KL9" s="16"/>
      <c r="KM9" s="128"/>
      <c r="KN9" s="171"/>
      <c r="KO9" s="20">
        <v>2</v>
      </c>
      <c r="KP9" s="312">
        <v>927.1</v>
      </c>
      <c r="KQ9" s="105">
        <v>43453</v>
      </c>
      <c r="KR9" s="312">
        <v>927.1</v>
      </c>
      <c r="KS9" s="124" t="s">
        <v>583</v>
      </c>
      <c r="KT9" s="103">
        <v>42</v>
      </c>
      <c r="KU9" s="16"/>
      <c r="KV9" s="128"/>
      <c r="KW9" s="171"/>
      <c r="KX9" s="20">
        <v>2</v>
      </c>
      <c r="KY9" s="190">
        <v>960.09</v>
      </c>
      <c r="KZ9" s="17">
        <v>43453</v>
      </c>
      <c r="LA9" s="190">
        <v>960.09</v>
      </c>
      <c r="LB9" s="70" t="s">
        <v>586</v>
      </c>
      <c r="LC9" s="24">
        <v>42</v>
      </c>
      <c r="LD9" s="16"/>
      <c r="LE9" s="128"/>
      <c r="LF9" s="171"/>
      <c r="LG9" s="20">
        <v>2</v>
      </c>
      <c r="LH9" s="19">
        <v>924.26</v>
      </c>
      <c r="LI9" s="17">
        <v>43454</v>
      </c>
      <c r="LJ9" s="19">
        <v>924.26</v>
      </c>
      <c r="LK9" s="70" t="s">
        <v>595</v>
      </c>
      <c r="LL9" s="24">
        <v>42</v>
      </c>
      <c r="LM9" s="16"/>
      <c r="LN9" s="128"/>
      <c r="LO9" s="171"/>
      <c r="LP9" s="20">
        <v>2</v>
      </c>
      <c r="LQ9" s="190">
        <v>936.96</v>
      </c>
      <c r="LR9" s="17">
        <v>43455</v>
      </c>
      <c r="LS9" s="190">
        <v>936.96</v>
      </c>
      <c r="LT9" s="70" t="s">
        <v>602</v>
      </c>
      <c r="LU9" s="24">
        <v>42</v>
      </c>
      <c r="LV9" s="16"/>
      <c r="LW9" s="128"/>
      <c r="LX9" s="171"/>
      <c r="LY9" s="20">
        <v>2</v>
      </c>
      <c r="LZ9" s="180">
        <v>920.3</v>
      </c>
      <c r="MA9" s="17">
        <v>43455</v>
      </c>
      <c r="MB9" s="180">
        <v>920.3</v>
      </c>
      <c r="MC9" s="70" t="s">
        <v>605</v>
      </c>
      <c r="MD9" s="24">
        <v>42</v>
      </c>
      <c r="ME9" s="16"/>
      <c r="MF9" s="128"/>
      <c r="MG9" s="171"/>
      <c r="MH9" s="20">
        <v>2</v>
      </c>
      <c r="MI9" s="167">
        <v>885</v>
      </c>
      <c r="MJ9" s="150">
        <v>43455</v>
      </c>
      <c r="MK9" s="167">
        <v>885</v>
      </c>
      <c r="ML9" s="270" t="s">
        <v>609</v>
      </c>
      <c r="MM9" s="111">
        <v>42</v>
      </c>
      <c r="MN9" s="16"/>
      <c r="MO9" s="128"/>
      <c r="MP9" s="171"/>
      <c r="MQ9" s="20">
        <v>2</v>
      </c>
      <c r="MR9" s="180">
        <v>946.03</v>
      </c>
      <c r="MS9" s="17">
        <v>43457</v>
      </c>
      <c r="MT9" s="180">
        <v>946.03</v>
      </c>
      <c r="MU9" s="70" t="s">
        <v>626</v>
      </c>
      <c r="MV9" s="24">
        <v>42</v>
      </c>
      <c r="MW9" s="16"/>
      <c r="MX9" s="128"/>
      <c r="MY9" s="171"/>
      <c r="MZ9" s="20">
        <v>2</v>
      </c>
      <c r="NA9" s="19">
        <v>945.7</v>
      </c>
      <c r="NB9" s="17">
        <v>43460</v>
      </c>
      <c r="NC9" s="19">
        <v>945.7</v>
      </c>
      <c r="ND9" s="70" t="s">
        <v>634</v>
      </c>
      <c r="NE9" s="24">
        <v>42</v>
      </c>
      <c r="NF9" s="16"/>
      <c r="NG9" s="128"/>
      <c r="NH9" s="171"/>
      <c r="NI9" s="20">
        <v>2</v>
      </c>
      <c r="NJ9" s="19">
        <v>870</v>
      </c>
      <c r="NK9" s="17">
        <v>43456</v>
      </c>
      <c r="NL9" s="19">
        <v>870</v>
      </c>
      <c r="NM9" s="70" t="s">
        <v>613</v>
      </c>
      <c r="NN9" s="24">
        <v>42</v>
      </c>
      <c r="NO9" s="16"/>
      <c r="NP9" s="128"/>
      <c r="NQ9" s="171"/>
      <c r="NR9" s="20">
        <v>2</v>
      </c>
      <c r="NS9" s="180">
        <v>953</v>
      </c>
      <c r="NT9" s="17">
        <v>43456</v>
      </c>
      <c r="NU9" s="180">
        <v>953</v>
      </c>
      <c r="NV9" s="70" t="s">
        <v>615</v>
      </c>
      <c r="NW9" s="24">
        <v>42</v>
      </c>
      <c r="NX9" s="16"/>
      <c r="NY9" s="128"/>
      <c r="NZ9" s="121"/>
      <c r="OA9" s="20">
        <v>2</v>
      </c>
      <c r="OB9" s="19">
        <v>959.18</v>
      </c>
      <c r="OC9" s="105">
        <v>43456</v>
      </c>
      <c r="OD9" s="19">
        <v>959.18</v>
      </c>
      <c r="OE9" s="124" t="s">
        <v>621</v>
      </c>
      <c r="OF9" s="103">
        <v>42</v>
      </c>
      <c r="OG9" s="16"/>
      <c r="OH9" s="128"/>
      <c r="OI9" s="121"/>
      <c r="OJ9" s="20">
        <v>2</v>
      </c>
      <c r="OK9" s="19">
        <v>896.7</v>
      </c>
      <c r="OL9" s="17">
        <v>43456</v>
      </c>
      <c r="OM9" s="19">
        <v>896.7</v>
      </c>
      <c r="ON9" s="70" t="s">
        <v>617</v>
      </c>
      <c r="OO9" s="482">
        <v>42</v>
      </c>
      <c r="OP9" s="16"/>
      <c r="OQ9" s="128"/>
      <c r="OR9" s="121"/>
      <c r="OS9" s="20">
        <v>2</v>
      </c>
      <c r="OT9" s="19">
        <v>878.2</v>
      </c>
      <c r="OU9" s="17">
        <v>43457</v>
      </c>
      <c r="OV9" s="19">
        <v>878.2</v>
      </c>
      <c r="OW9" s="70" t="s">
        <v>625</v>
      </c>
      <c r="OX9" s="24">
        <v>42</v>
      </c>
      <c r="OY9" s="16"/>
      <c r="OZ9" s="128"/>
      <c r="PA9" s="121"/>
      <c r="PB9" s="20">
        <v>2</v>
      </c>
      <c r="PC9" s="19">
        <v>952.38</v>
      </c>
      <c r="PD9" s="17">
        <v>43460</v>
      </c>
      <c r="PE9" s="19">
        <v>952.38</v>
      </c>
      <c r="PF9" s="70" t="s">
        <v>633</v>
      </c>
      <c r="PG9" s="24">
        <v>42</v>
      </c>
      <c r="PH9" s="16"/>
      <c r="PI9" s="128"/>
      <c r="PJ9" s="121"/>
      <c r="PK9" s="20">
        <v>2</v>
      </c>
      <c r="PL9" s="19">
        <v>901.5</v>
      </c>
      <c r="PM9" s="17">
        <v>43461</v>
      </c>
      <c r="PN9" s="19">
        <v>901.5</v>
      </c>
      <c r="PO9" s="70" t="s">
        <v>642</v>
      </c>
      <c r="PP9" s="24">
        <v>38</v>
      </c>
      <c r="PQ9" s="16"/>
      <c r="PR9" s="128"/>
      <c r="PS9" s="121"/>
      <c r="PT9" s="20">
        <v>2</v>
      </c>
      <c r="PU9" s="19">
        <v>969.78</v>
      </c>
      <c r="PV9" s="17">
        <v>43462</v>
      </c>
      <c r="PW9" s="19">
        <v>969.78</v>
      </c>
      <c r="PX9" s="270" t="s">
        <v>653</v>
      </c>
      <c r="PY9" s="24">
        <v>38</v>
      </c>
      <c r="PZ9" s="16"/>
      <c r="QA9" s="128"/>
      <c r="QB9" s="121"/>
      <c r="QC9" s="20">
        <v>2</v>
      </c>
      <c r="QD9" s="19">
        <v>934.85</v>
      </c>
      <c r="QE9" s="105">
        <v>43462</v>
      </c>
      <c r="QF9" s="19">
        <v>934.85</v>
      </c>
      <c r="QG9" s="124" t="s">
        <v>657</v>
      </c>
      <c r="QH9" s="24">
        <v>38</v>
      </c>
      <c r="QI9" s="16"/>
      <c r="QJ9" s="89"/>
      <c r="QK9" s="121"/>
      <c r="QL9" s="20">
        <v>2</v>
      </c>
      <c r="QM9" s="19">
        <v>867.7</v>
      </c>
      <c r="QN9" s="17">
        <v>43461</v>
      </c>
      <c r="QO9" s="19">
        <v>867.7</v>
      </c>
      <c r="QP9" s="70" t="s">
        <v>645</v>
      </c>
      <c r="QQ9" s="24">
        <v>38</v>
      </c>
      <c r="QR9" s="16"/>
      <c r="QS9" s="89"/>
      <c r="QT9" s="121"/>
      <c r="QU9" s="20">
        <v>2</v>
      </c>
      <c r="QV9" s="19">
        <v>932.58</v>
      </c>
      <c r="QW9" s="17">
        <v>43461</v>
      </c>
      <c r="QX9" s="19">
        <v>932.58</v>
      </c>
      <c r="QY9" s="70" t="s">
        <v>649</v>
      </c>
      <c r="QZ9" s="24">
        <v>38</v>
      </c>
      <c r="RA9" s="16"/>
      <c r="RB9" s="89"/>
      <c r="RC9" s="121"/>
      <c r="RD9" s="20"/>
      <c r="RE9" s="19"/>
      <c r="RF9" s="17"/>
      <c r="RG9" s="19"/>
      <c r="RH9" s="70"/>
      <c r="RI9" s="24"/>
      <c r="RJ9" s="16"/>
      <c r="RK9" s="89"/>
      <c r="RL9" s="121"/>
      <c r="RM9" s="20">
        <v>2</v>
      </c>
      <c r="RN9" s="19">
        <v>926.98</v>
      </c>
      <c r="RO9" s="400">
        <v>43462</v>
      </c>
      <c r="RP9" s="401">
        <v>926.98</v>
      </c>
      <c r="RQ9" s="402" t="s">
        <v>662</v>
      </c>
      <c r="RR9" s="403">
        <v>38</v>
      </c>
      <c r="RS9" s="16"/>
      <c r="RT9" s="89"/>
      <c r="RU9" s="121"/>
      <c r="RV9" s="20">
        <v>2</v>
      </c>
      <c r="RW9" s="19"/>
      <c r="RX9" s="17"/>
      <c r="RY9" s="19"/>
      <c r="RZ9" s="70"/>
      <c r="SA9" s="24"/>
      <c r="SB9" s="16"/>
      <c r="SC9" s="89" t="s">
        <v>32</v>
      </c>
      <c r="SD9" s="121"/>
      <c r="SE9" s="20">
        <v>2</v>
      </c>
      <c r="SF9" s="19">
        <v>934.24</v>
      </c>
      <c r="SG9" s="17">
        <v>43463</v>
      </c>
      <c r="SH9" s="19">
        <v>934.24</v>
      </c>
      <c r="SI9" s="70" t="s">
        <v>654</v>
      </c>
      <c r="SJ9" s="24">
        <v>38</v>
      </c>
      <c r="SK9" s="16"/>
      <c r="SL9" s="89"/>
      <c r="SM9" s="121"/>
      <c r="SN9" s="20">
        <v>2</v>
      </c>
      <c r="SO9" s="19">
        <v>894.5</v>
      </c>
      <c r="SP9" s="17">
        <v>43463</v>
      </c>
      <c r="SQ9" s="19">
        <v>894.5</v>
      </c>
      <c r="SR9" s="70" t="s">
        <v>668</v>
      </c>
      <c r="SS9" s="24">
        <v>38</v>
      </c>
      <c r="ST9" s="16"/>
      <c r="SU9" s="89" t="s">
        <v>32</v>
      </c>
      <c r="SV9" s="121"/>
      <c r="SW9" s="20">
        <v>2</v>
      </c>
      <c r="SX9" s="19">
        <v>916.3</v>
      </c>
      <c r="SY9" s="17">
        <v>43463</v>
      </c>
      <c r="SZ9" s="19">
        <v>916.3</v>
      </c>
      <c r="TA9" s="70" t="s">
        <v>665</v>
      </c>
      <c r="TB9" s="24">
        <v>38</v>
      </c>
      <c r="TC9" s="16"/>
      <c r="TD9" s="89" t="s">
        <v>32</v>
      </c>
      <c r="TE9" s="121"/>
      <c r="TF9" s="20">
        <v>2</v>
      </c>
      <c r="TG9" s="19">
        <v>967.35</v>
      </c>
      <c r="TH9" s="17">
        <v>43464</v>
      </c>
      <c r="TI9" s="19">
        <v>967.35</v>
      </c>
      <c r="TJ9" s="70" t="s">
        <v>669</v>
      </c>
      <c r="TK9" s="24">
        <v>38</v>
      </c>
      <c r="TM9" s="128"/>
      <c r="TN9" s="2"/>
      <c r="TO9" s="20">
        <v>2</v>
      </c>
      <c r="TP9" s="19">
        <v>894.5</v>
      </c>
      <c r="TQ9" s="17">
        <v>43464</v>
      </c>
      <c r="TR9" s="19">
        <v>894.5</v>
      </c>
      <c r="TS9" s="70" t="s">
        <v>670</v>
      </c>
      <c r="TT9" s="24">
        <v>38</v>
      </c>
      <c r="TV9" s="128"/>
      <c r="TW9" s="2"/>
      <c r="TX9" s="20">
        <v>2</v>
      </c>
      <c r="TY9" s="19"/>
      <c r="TZ9" s="17"/>
      <c r="UA9" s="19"/>
      <c r="UB9" s="70"/>
      <c r="UC9" s="24"/>
      <c r="UE9" s="128"/>
      <c r="UF9" s="2"/>
      <c r="UG9" s="20">
        <v>2</v>
      </c>
      <c r="UH9" s="19"/>
      <c r="UI9" s="17"/>
      <c r="UJ9" s="19"/>
      <c r="UK9" s="70"/>
      <c r="UL9" s="24"/>
      <c r="UN9" s="128"/>
      <c r="UO9" s="2"/>
      <c r="UP9" s="20">
        <v>2</v>
      </c>
      <c r="UQ9" s="19"/>
      <c r="UR9" s="17"/>
      <c r="US9" s="19"/>
      <c r="UT9" s="70"/>
      <c r="UU9" s="24"/>
      <c r="UW9" s="128"/>
      <c r="UX9" s="2"/>
      <c r="UY9" s="20">
        <v>2</v>
      </c>
      <c r="UZ9" s="19"/>
      <c r="VA9" s="17"/>
      <c r="VB9" s="19"/>
      <c r="VC9" s="70"/>
      <c r="VD9" s="24"/>
      <c r="VF9" s="128"/>
      <c r="VG9" s="2"/>
      <c r="VH9" s="20">
        <v>2</v>
      </c>
      <c r="VI9" s="19"/>
      <c r="VJ9" s="17"/>
      <c r="VK9" s="19"/>
      <c r="VL9" s="70"/>
      <c r="VM9" s="24"/>
      <c r="VO9" s="128"/>
      <c r="VP9" s="2"/>
      <c r="VQ9" s="20">
        <v>2</v>
      </c>
      <c r="VR9" s="19"/>
      <c r="VS9" s="17"/>
      <c r="VT9" s="19"/>
      <c r="VU9" s="70"/>
      <c r="VV9" s="24"/>
      <c r="VX9" s="128"/>
      <c r="VY9" s="2"/>
      <c r="VZ9" s="20">
        <v>2</v>
      </c>
      <c r="WA9" s="19"/>
      <c r="WB9" s="17"/>
      <c r="WC9" s="19"/>
      <c r="WD9" s="70"/>
      <c r="WE9" s="24"/>
      <c r="WG9" s="128"/>
      <c r="WH9" s="2"/>
      <c r="WI9" s="20">
        <v>2</v>
      </c>
      <c r="WJ9" s="19"/>
      <c r="WK9" s="17"/>
      <c r="WL9" s="19"/>
      <c r="WM9" s="70"/>
      <c r="WN9" s="24"/>
      <c r="WP9" s="128"/>
      <c r="WQ9" s="2"/>
      <c r="WR9" s="20">
        <v>2</v>
      </c>
      <c r="WS9" s="19"/>
      <c r="WT9" s="17"/>
      <c r="WU9" s="19"/>
      <c r="WV9" s="70"/>
      <c r="WW9" s="24"/>
      <c r="WY9" s="128"/>
      <c r="WZ9" s="2"/>
      <c r="XA9" s="20">
        <v>2</v>
      </c>
      <c r="XB9" s="19"/>
      <c r="XC9" s="17"/>
      <c r="XD9" s="19"/>
      <c r="XE9" s="70"/>
      <c r="XF9" s="24"/>
      <c r="XH9" s="128"/>
      <c r="XI9" s="2"/>
      <c r="XJ9" s="20">
        <v>2</v>
      </c>
      <c r="XK9" s="19"/>
      <c r="XL9" s="17"/>
      <c r="XM9" s="19"/>
      <c r="XN9" s="70"/>
      <c r="XO9" s="24"/>
      <c r="XQ9" s="128"/>
      <c r="XR9" s="2"/>
      <c r="XS9" s="20">
        <v>2</v>
      </c>
      <c r="XT9" s="19"/>
      <c r="XU9" s="17"/>
      <c r="XV9" s="19"/>
      <c r="XW9" s="70"/>
      <c r="XX9" s="24"/>
      <c r="XZ9" s="128"/>
      <c r="YA9" s="2"/>
      <c r="YB9" s="20">
        <v>2</v>
      </c>
      <c r="YC9" s="19"/>
      <c r="YD9" s="17"/>
      <c r="YE9" s="19"/>
      <c r="YF9" s="70"/>
      <c r="YG9" s="24"/>
      <c r="YI9" s="128"/>
      <c r="YJ9" s="2"/>
      <c r="YK9" s="20">
        <v>2</v>
      </c>
      <c r="YL9" s="19"/>
      <c r="YM9" s="17"/>
      <c r="YN9" s="19"/>
      <c r="YO9" s="70"/>
      <c r="YP9" s="24"/>
      <c r="YR9" s="128"/>
      <c r="YS9" s="2"/>
      <c r="YT9" s="20">
        <v>2</v>
      </c>
      <c r="YU9" s="19"/>
      <c r="YV9" s="17"/>
      <c r="YW9" s="19"/>
      <c r="YX9" s="70"/>
      <c r="YY9" s="24"/>
      <c r="ZA9" s="128"/>
      <c r="ZB9" s="2"/>
      <c r="ZC9" s="20">
        <v>2</v>
      </c>
      <c r="ZD9" s="19"/>
      <c r="ZE9" s="17"/>
      <c r="ZF9" s="19"/>
      <c r="ZG9" s="70"/>
      <c r="ZH9" s="24"/>
      <c r="ZJ9" s="128"/>
      <c r="ZK9" s="2"/>
      <c r="ZL9" s="20">
        <v>2</v>
      </c>
      <c r="ZM9" s="19"/>
      <c r="ZN9" s="17"/>
      <c r="ZO9" s="19"/>
      <c r="ZP9" s="70"/>
      <c r="ZQ9" s="24"/>
      <c r="ZS9" s="128"/>
      <c r="ZT9" s="2"/>
      <c r="ZU9" s="20">
        <v>2</v>
      </c>
      <c r="ZV9" s="19"/>
      <c r="ZW9" s="17"/>
      <c r="ZX9" s="19"/>
      <c r="ZY9" s="70"/>
      <c r="ZZ9" s="24"/>
      <c r="AAB9" s="128"/>
      <c r="AAC9" s="2"/>
      <c r="AAD9" s="20">
        <v>2</v>
      </c>
      <c r="AAE9" s="19"/>
      <c r="AAF9" s="17"/>
      <c r="AAG9" s="19"/>
      <c r="AAH9" s="70"/>
      <c r="AAI9" s="24"/>
      <c r="AAK9" s="128"/>
      <c r="AAL9" s="2"/>
      <c r="AAM9" s="20">
        <v>2</v>
      </c>
      <c r="AAN9" s="19"/>
      <c r="AAO9" s="17"/>
      <c r="AAP9" s="19"/>
      <c r="AAQ9" s="70"/>
      <c r="AAR9" s="24"/>
      <c r="AAT9" s="128"/>
      <c r="AAU9" s="2"/>
      <c r="AAV9" s="20">
        <v>2</v>
      </c>
      <c r="AAW9" s="19"/>
      <c r="AAX9" s="17"/>
      <c r="AAY9" s="19"/>
      <c r="AAZ9" s="70"/>
      <c r="ABA9" s="24"/>
      <c r="ABC9" s="128"/>
      <c r="ABD9" s="2"/>
      <c r="ABE9" s="20">
        <v>2</v>
      </c>
      <c r="ABF9" s="19"/>
      <c r="ABG9" s="17"/>
      <c r="ABH9" s="19"/>
      <c r="ABI9" s="70"/>
      <c r="ABJ9" s="24"/>
      <c r="ABL9" s="128"/>
      <c r="ABM9" s="404"/>
      <c r="ABN9" s="20">
        <v>2</v>
      </c>
      <c r="ABO9" s="19"/>
      <c r="ABP9" s="17"/>
      <c r="ABQ9" s="19"/>
      <c r="ABR9" s="70"/>
      <c r="ABS9" s="24"/>
      <c r="ABU9" s="128"/>
      <c r="ABV9" s="2"/>
      <c r="ABW9" s="20">
        <v>2</v>
      </c>
      <c r="ABX9" s="19"/>
      <c r="ABY9" s="17"/>
      <c r="ABZ9" s="19"/>
      <c r="ACA9" s="70"/>
      <c r="ACB9" s="24"/>
      <c r="ACD9" s="128"/>
      <c r="ACE9" s="2"/>
      <c r="ACF9" s="20">
        <v>2</v>
      </c>
      <c r="ACG9" s="19"/>
      <c r="ACH9" s="17"/>
      <c r="ACI9" s="19"/>
      <c r="ACJ9" s="70"/>
      <c r="ACK9" s="24"/>
      <c r="ACM9" s="128"/>
      <c r="ACN9" s="2"/>
      <c r="ACO9" s="20">
        <v>2</v>
      </c>
      <c r="ACP9" s="19"/>
      <c r="ACQ9" s="17"/>
      <c r="ACR9" s="19"/>
      <c r="ACS9" s="70"/>
      <c r="ACT9" s="24"/>
      <c r="ACV9" s="128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SIOUXPREME PACKING</v>
      </c>
      <c r="C10" s="16" t="str">
        <f t="shared" si="6"/>
        <v>SIOUX</v>
      </c>
      <c r="D10" s="72" t="str">
        <f t="shared" si="6"/>
        <v>PED. 31812900</v>
      </c>
      <c r="E10" s="155">
        <f t="shared" si="6"/>
        <v>43438</v>
      </c>
      <c r="F10" s="74">
        <f t="shared" si="6"/>
        <v>18809.07</v>
      </c>
      <c r="G10" s="15">
        <f t="shared" si="6"/>
        <v>21</v>
      </c>
      <c r="H10" s="64">
        <f t="shared" si="6"/>
        <v>18878</v>
      </c>
      <c r="I10" s="18">
        <f t="shared" si="6"/>
        <v>-68.930000000000291</v>
      </c>
      <c r="K10" s="59"/>
      <c r="L10" s="171"/>
      <c r="M10" s="20">
        <v>3</v>
      </c>
      <c r="N10" s="190">
        <v>917.2</v>
      </c>
      <c r="O10" s="105">
        <v>43435</v>
      </c>
      <c r="P10" s="190">
        <v>917.2</v>
      </c>
      <c r="Q10" s="124" t="s">
        <v>471</v>
      </c>
      <c r="R10" s="103">
        <v>37</v>
      </c>
      <c r="S10" s="16"/>
      <c r="T10" s="59"/>
      <c r="U10" s="171"/>
      <c r="V10" s="20">
        <v>3</v>
      </c>
      <c r="W10" s="190">
        <v>878.2</v>
      </c>
      <c r="X10" s="17">
        <v>43435</v>
      </c>
      <c r="Y10" s="190">
        <v>878.2</v>
      </c>
      <c r="Z10" s="70" t="s">
        <v>473</v>
      </c>
      <c r="AA10" s="24">
        <v>37</v>
      </c>
      <c r="AB10" s="16"/>
      <c r="AC10" s="59"/>
      <c r="AD10" s="171"/>
      <c r="AE10" s="20">
        <v>3</v>
      </c>
      <c r="AF10" s="190">
        <v>947.39</v>
      </c>
      <c r="AG10" s="17">
        <v>43436</v>
      </c>
      <c r="AH10" s="190">
        <v>947.39</v>
      </c>
      <c r="AI10" s="70" t="s">
        <v>481</v>
      </c>
      <c r="AJ10" s="24">
        <v>37</v>
      </c>
      <c r="AK10" s="16"/>
      <c r="AL10" s="59"/>
      <c r="AM10" s="171"/>
      <c r="AN10" s="20">
        <v>3</v>
      </c>
      <c r="AO10" s="19">
        <v>933.33</v>
      </c>
      <c r="AP10" s="17">
        <v>43441</v>
      </c>
      <c r="AQ10" s="19">
        <v>933.33</v>
      </c>
      <c r="AR10" s="70" t="s">
        <v>478</v>
      </c>
      <c r="AS10" s="24">
        <v>38</v>
      </c>
      <c r="AT10" s="16"/>
      <c r="AU10" s="59"/>
      <c r="AV10" s="171"/>
      <c r="AW10" s="20">
        <v>3</v>
      </c>
      <c r="AX10" s="19">
        <v>960.7</v>
      </c>
      <c r="AY10" s="105">
        <v>43441</v>
      </c>
      <c r="AZ10" s="19">
        <v>960.7</v>
      </c>
      <c r="BA10" s="124" t="s">
        <v>519</v>
      </c>
      <c r="BB10" s="414">
        <v>38</v>
      </c>
      <c r="BC10" s="16"/>
      <c r="BD10" s="59"/>
      <c r="BE10" s="171"/>
      <c r="BF10" s="20">
        <v>3</v>
      </c>
      <c r="BG10" s="19">
        <v>891.8</v>
      </c>
      <c r="BH10" s="400">
        <v>43441</v>
      </c>
      <c r="BI10" s="19">
        <v>891.8</v>
      </c>
      <c r="BJ10" s="402" t="s">
        <v>517</v>
      </c>
      <c r="BK10" s="403">
        <v>38</v>
      </c>
      <c r="BL10" s="16"/>
      <c r="BM10" s="59"/>
      <c r="BN10" s="171"/>
      <c r="BO10" s="20">
        <v>3</v>
      </c>
      <c r="BP10" s="19">
        <v>899</v>
      </c>
      <c r="BQ10" s="400">
        <v>43439</v>
      </c>
      <c r="BR10" s="19">
        <v>899</v>
      </c>
      <c r="BS10" s="402" t="s">
        <v>507</v>
      </c>
      <c r="BT10" s="403">
        <v>37</v>
      </c>
      <c r="BU10" s="16"/>
      <c r="BV10" s="59"/>
      <c r="BW10" s="171"/>
      <c r="BX10" s="20">
        <v>3</v>
      </c>
      <c r="BY10" s="19">
        <v>896.5</v>
      </c>
      <c r="BZ10" s="400">
        <v>43438</v>
      </c>
      <c r="CA10" s="19">
        <v>896.5</v>
      </c>
      <c r="CB10" s="402" t="s">
        <v>475</v>
      </c>
      <c r="CC10" s="403">
        <v>37</v>
      </c>
      <c r="CD10" s="16"/>
      <c r="CE10" s="59"/>
      <c r="CF10" s="171"/>
      <c r="CG10" s="20">
        <v>3</v>
      </c>
      <c r="CH10" s="19">
        <v>947.1</v>
      </c>
      <c r="CI10" s="17">
        <v>43439</v>
      </c>
      <c r="CJ10" s="19">
        <v>947.1</v>
      </c>
      <c r="CK10" s="70" t="s">
        <v>487</v>
      </c>
      <c r="CL10" s="24">
        <v>37</v>
      </c>
      <c r="CM10" s="16"/>
      <c r="CN10" s="59"/>
      <c r="CO10" s="171"/>
      <c r="CP10" s="20">
        <v>3</v>
      </c>
      <c r="CQ10" s="19">
        <v>948.91</v>
      </c>
      <c r="CR10" s="17">
        <v>43439</v>
      </c>
      <c r="CS10" s="19">
        <v>948.91</v>
      </c>
      <c r="CT10" s="70" t="s">
        <v>495</v>
      </c>
      <c r="CU10" s="24">
        <v>37</v>
      </c>
      <c r="CV10" s="16"/>
      <c r="CW10" s="59"/>
      <c r="CX10" s="171"/>
      <c r="CY10" s="20">
        <v>3</v>
      </c>
      <c r="CZ10" s="19">
        <v>941.95</v>
      </c>
      <c r="DA10" s="400">
        <v>43440</v>
      </c>
      <c r="DB10" s="19">
        <v>941.95</v>
      </c>
      <c r="DC10" s="402" t="s">
        <v>477</v>
      </c>
      <c r="DD10" s="403">
        <v>37</v>
      </c>
      <c r="DE10" s="16"/>
      <c r="DF10" s="59"/>
      <c r="DG10" s="171"/>
      <c r="DH10" s="20">
        <v>3</v>
      </c>
      <c r="DI10" s="19">
        <v>948</v>
      </c>
      <c r="DJ10" s="400">
        <v>43440</v>
      </c>
      <c r="DK10" s="19">
        <v>948</v>
      </c>
      <c r="DL10" s="402" t="s">
        <v>464</v>
      </c>
      <c r="DM10" s="403">
        <v>37</v>
      </c>
      <c r="DN10" s="16"/>
      <c r="DO10" s="59"/>
      <c r="DP10" s="171"/>
      <c r="DQ10" s="20">
        <v>3</v>
      </c>
      <c r="DR10" s="30">
        <v>937.41</v>
      </c>
      <c r="DS10" s="58">
        <v>43442</v>
      </c>
      <c r="DT10" s="30">
        <v>937.41</v>
      </c>
      <c r="DU10" s="76" t="s">
        <v>497</v>
      </c>
      <c r="DV10" s="24">
        <v>40</v>
      </c>
      <c r="DW10" s="16"/>
      <c r="DX10" s="59"/>
      <c r="DY10" s="171"/>
      <c r="DZ10" s="20">
        <v>3</v>
      </c>
      <c r="EA10" s="30">
        <v>938.5</v>
      </c>
      <c r="EB10" s="58">
        <v>43444</v>
      </c>
      <c r="EC10" s="30">
        <v>938.5</v>
      </c>
      <c r="ED10" s="76" t="s">
        <v>513</v>
      </c>
      <c r="EE10" s="24">
        <v>42</v>
      </c>
      <c r="EF10" s="16"/>
      <c r="EG10" s="59"/>
      <c r="EH10" s="171"/>
      <c r="EI10" s="20">
        <v>3</v>
      </c>
      <c r="EJ10" s="19">
        <v>903.1</v>
      </c>
      <c r="EK10" s="17">
        <v>43442</v>
      </c>
      <c r="EL10" s="19">
        <v>903.1</v>
      </c>
      <c r="EM10" s="43" t="s">
        <v>524</v>
      </c>
      <c r="EN10" s="24">
        <v>40</v>
      </c>
      <c r="EO10" s="16"/>
      <c r="EP10" s="59"/>
      <c r="EQ10" s="171"/>
      <c r="ER10" s="20">
        <v>3</v>
      </c>
      <c r="ES10" s="19">
        <v>959.18</v>
      </c>
      <c r="ET10" s="17">
        <v>43446</v>
      </c>
      <c r="EU10" s="19">
        <v>959.18</v>
      </c>
      <c r="EV10" s="43" t="s">
        <v>532</v>
      </c>
      <c r="EW10" s="24">
        <v>42</v>
      </c>
      <c r="EX10" s="16"/>
      <c r="EY10" s="59"/>
      <c r="EZ10" s="171"/>
      <c r="FA10" s="20">
        <v>3</v>
      </c>
      <c r="FB10" s="167">
        <v>957.82</v>
      </c>
      <c r="FC10" s="150">
        <v>43445</v>
      </c>
      <c r="FD10" s="167">
        <v>957.82</v>
      </c>
      <c r="FE10" s="110" t="s">
        <v>527</v>
      </c>
      <c r="FF10" s="111">
        <v>42</v>
      </c>
      <c r="FG10" s="16"/>
      <c r="FH10" s="59"/>
      <c r="FI10" s="171"/>
      <c r="FJ10" s="20">
        <v>3</v>
      </c>
      <c r="FK10" s="30">
        <v>902.5</v>
      </c>
      <c r="FL10" s="58">
        <v>43445</v>
      </c>
      <c r="FM10" s="30">
        <v>902.5</v>
      </c>
      <c r="FN10" s="76" t="s">
        <v>505</v>
      </c>
      <c r="FO10" s="24">
        <v>42</v>
      </c>
      <c r="FP10" s="16"/>
      <c r="FQ10" s="59"/>
      <c r="FR10" s="171"/>
      <c r="FS10" s="20">
        <v>3</v>
      </c>
      <c r="FT10" s="19">
        <v>947.1</v>
      </c>
      <c r="FU10" s="150">
        <v>43445</v>
      </c>
      <c r="FV10" s="19">
        <v>947.1</v>
      </c>
      <c r="FW10" s="270" t="s">
        <v>467</v>
      </c>
      <c r="FX10" s="111">
        <v>42</v>
      </c>
      <c r="FY10" s="16"/>
      <c r="FZ10" s="59"/>
      <c r="GA10" s="171"/>
      <c r="GB10" s="20">
        <v>3</v>
      </c>
      <c r="GC10" s="19">
        <v>963.27</v>
      </c>
      <c r="GD10" s="17">
        <v>43446</v>
      </c>
      <c r="GE10" s="19">
        <v>963.27</v>
      </c>
      <c r="GF10" s="70" t="s">
        <v>531</v>
      </c>
      <c r="GG10" s="24">
        <v>42</v>
      </c>
      <c r="GH10" s="16"/>
      <c r="GI10" s="59"/>
      <c r="GJ10" s="171"/>
      <c r="GK10" s="20">
        <v>3</v>
      </c>
      <c r="GL10" s="19">
        <v>951.93</v>
      </c>
      <c r="GM10" s="17">
        <v>43447</v>
      </c>
      <c r="GN10" s="19">
        <v>951.93</v>
      </c>
      <c r="GO10" s="70" t="s">
        <v>537</v>
      </c>
      <c r="GP10" s="24">
        <v>42</v>
      </c>
      <c r="GQ10" s="16"/>
      <c r="GR10" s="59"/>
      <c r="GS10" s="171"/>
      <c r="GT10" s="20">
        <v>3</v>
      </c>
      <c r="GU10" s="19">
        <v>899.9</v>
      </c>
      <c r="GV10" s="17">
        <v>43448</v>
      </c>
      <c r="GW10" s="19">
        <v>899.9</v>
      </c>
      <c r="GX10" s="311" t="s">
        <v>541</v>
      </c>
      <c r="GY10" s="24">
        <v>42</v>
      </c>
      <c r="GZ10" s="16"/>
      <c r="HA10" s="59"/>
      <c r="HB10" s="171"/>
      <c r="HC10" s="20">
        <v>3</v>
      </c>
      <c r="HD10" s="30">
        <v>907.2</v>
      </c>
      <c r="HE10" s="58">
        <v>43448</v>
      </c>
      <c r="HF10" s="30">
        <v>907.2</v>
      </c>
      <c r="HG10" s="76" t="s">
        <v>542</v>
      </c>
      <c r="HH10" s="24">
        <v>42</v>
      </c>
      <c r="HI10" s="16"/>
      <c r="HJ10" s="59"/>
      <c r="HK10" s="171"/>
      <c r="HL10" s="20">
        <v>3</v>
      </c>
      <c r="HM10" s="19">
        <v>977.78</v>
      </c>
      <c r="HN10" s="17">
        <v>43449</v>
      </c>
      <c r="HO10" s="19">
        <v>977.78</v>
      </c>
      <c r="HP10" s="593" t="s">
        <v>547</v>
      </c>
      <c r="HQ10" s="24">
        <v>42</v>
      </c>
      <c r="HR10" s="19"/>
      <c r="HS10" s="30"/>
      <c r="HT10" s="171"/>
      <c r="HU10" s="20">
        <v>3</v>
      </c>
      <c r="HV10" s="19">
        <v>913.83</v>
      </c>
      <c r="HW10" s="58">
        <v>43448</v>
      </c>
      <c r="HX10" s="19">
        <v>913.83</v>
      </c>
      <c r="HY10" s="76" t="s">
        <v>545</v>
      </c>
      <c r="HZ10" s="24">
        <v>42</v>
      </c>
      <c r="IA10" s="30"/>
      <c r="IB10" s="59"/>
      <c r="IC10" s="171"/>
      <c r="ID10" s="20">
        <v>3</v>
      </c>
      <c r="IE10" s="19">
        <v>927.6</v>
      </c>
      <c r="IF10" s="17">
        <v>43449</v>
      </c>
      <c r="IG10" s="19">
        <v>927.6</v>
      </c>
      <c r="IH10" s="43" t="s">
        <v>552</v>
      </c>
      <c r="II10" s="24">
        <v>42</v>
      </c>
      <c r="IJ10" s="16"/>
      <c r="IK10" s="59"/>
      <c r="IL10" s="171"/>
      <c r="IM10" s="20">
        <v>3</v>
      </c>
      <c r="IN10" s="30">
        <v>956.01</v>
      </c>
      <c r="IO10" s="626">
        <v>43450</v>
      </c>
      <c r="IP10" s="30">
        <v>956.01</v>
      </c>
      <c r="IQ10" s="76" t="s">
        <v>559</v>
      </c>
      <c r="IR10" s="24">
        <v>42</v>
      </c>
      <c r="IS10" s="16"/>
      <c r="IT10" s="59"/>
      <c r="IU10" s="171"/>
      <c r="IV10" s="20">
        <v>3</v>
      </c>
      <c r="IW10" s="19">
        <v>886.3</v>
      </c>
      <c r="IX10" s="17">
        <v>43451</v>
      </c>
      <c r="IY10" s="19">
        <v>886.3</v>
      </c>
      <c r="IZ10" s="70" t="s">
        <v>570</v>
      </c>
      <c r="JA10" s="24">
        <v>42</v>
      </c>
      <c r="JB10" s="16"/>
      <c r="JC10" s="59"/>
      <c r="JD10" s="171"/>
      <c r="JE10" s="20">
        <v>3</v>
      </c>
      <c r="JF10" s="19">
        <v>876.3</v>
      </c>
      <c r="JG10" s="17">
        <v>43452</v>
      </c>
      <c r="JH10" s="19">
        <v>876.3</v>
      </c>
      <c r="JI10" s="70" t="s">
        <v>575</v>
      </c>
      <c r="JJ10" s="24">
        <v>42</v>
      </c>
      <c r="JK10" s="16"/>
      <c r="JL10" s="59"/>
      <c r="JM10" s="171"/>
      <c r="JN10" s="20">
        <v>3</v>
      </c>
      <c r="JO10" s="19">
        <v>975.06</v>
      </c>
      <c r="JP10" s="17">
        <v>43452</v>
      </c>
      <c r="JQ10" s="19">
        <v>975.06</v>
      </c>
      <c r="JR10" s="70" t="s">
        <v>578</v>
      </c>
      <c r="JS10" s="24">
        <v>42</v>
      </c>
      <c r="JT10" s="16"/>
      <c r="JU10" s="59"/>
      <c r="JV10" s="171"/>
      <c r="JW10" s="20">
        <v>3</v>
      </c>
      <c r="JX10" s="19">
        <v>916.25</v>
      </c>
      <c r="JY10" s="17">
        <v>43453</v>
      </c>
      <c r="JZ10" s="19">
        <v>916.25</v>
      </c>
      <c r="KA10" s="70" t="s">
        <v>585</v>
      </c>
      <c r="KB10" s="24">
        <v>42</v>
      </c>
      <c r="KC10" s="16"/>
      <c r="KD10" s="59"/>
      <c r="KE10" s="171"/>
      <c r="KF10" s="20">
        <v>3</v>
      </c>
      <c r="KG10" s="19">
        <v>897</v>
      </c>
      <c r="KH10" s="17">
        <v>43452</v>
      </c>
      <c r="KI10" s="19">
        <v>897</v>
      </c>
      <c r="KJ10" s="70" t="s">
        <v>580</v>
      </c>
      <c r="KK10" s="24">
        <v>42</v>
      </c>
      <c r="KL10" s="16"/>
      <c r="KM10" s="59"/>
      <c r="KN10" s="171"/>
      <c r="KO10" s="20">
        <v>3</v>
      </c>
      <c r="KP10" s="190">
        <v>863.2</v>
      </c>
      <c r="KQ10" s="105">
        <v>43453</v>
      </c>
      <c r="KR10" s="190">
        <v>863.2</v>
      </c>
      <c r="KS10" s="124" t="s">
        <v>583</v>
      </c>
      <c r="KT10" s="103">
        <v>42</v>
      </c>
      <c r="KU10" s="16"/>
      <c r="KV10" s="59"/>
      <c r="KW10" s="171"/>
      <c r="KX10" s="20">
        <v>3</v>
      </c>
      <c r="KY10" s="190">
        <v>922.9</v>
      </c>
      <c r="KZ10" s="17">
        <v>43453</v>
      </c>
      <c r="LA10" s="190">
        <v>922.9</v>
      </c>
      <c r="LB10" s="70" t="s">
        <v>586</v>
      </c>
      <c r="LC10" s="24">
        <v>42</v>
      </c>
      <c r="LD10" s="16"/>
      <c r="LE10" s="59"/>
      <c r="LF10" s="171"/>
      <c r="LG10" s="20">
        <v>3</v>
      </c>
      <c r="LH10" s="19">
        <v>950.11</v>
      </c>
      <c r="LI10" s="17">
        <v>43454</v>
      </c>
      <c r="LJ10" s="19">
        <v>950.11</v>
      </c>
      <c r="LK10" s="70" t="s">
        <v>562</v>
      </c>
      <c r="LL10" s="24">
        <v>42</v>
      </c>
      <c r="LM10" s="16"/>
      <c r="LN10" s="129"/>
      <c r="LO10" s="171"/>
      <c r="LP10" s="20">
        <v>3</v>
      </c>
      <c r="LQ10" s="190">
        <v>922.9</v>
      </c>
      <c r="LR10" s="17">
        <v>43455</v>
      </c>
      <c r="LS10" s="190">
        <v>922.9</v>
      </c>
      <c r="LT10" s="70" t="s">
        <v>601</v>
      </c>
      <c r="LU10" s="24">
        <v>42</v>
      </c>
      <c r="LV10" s="16"/>
      <c r="LW10" s="129"/>
      <c r="LX10" s="171"/>
      <c r="LY10" s="20">
        <v>3</v>
      </c>
      <c r="LZ10" s="19">
        <v>874.1</v>
      </c>
      <c r="MA10" s="17">
        <v>43455</v>
      </c>
      <c r="MB10" s="19">
        <v>874.1</v>
      </c>
      <c r="MC10" s="70" t="s">
        <v>605</v>
      </c>
      <c r="MD10" s="24">
        <v>42</v>
      </c>
      <c r="ME10" s="16"/>
      <c r="MF10" s="129"/>
      <c r="MG10" s="171"/>
      <c r="MH10" s="20">
        <v>3</v>
      </c>
      <c r="MI10" s="167">
        <v>880.4</v>
      </c>
      <c r="MJ10" s="150">
        <v>43455</v>
      </c>
      <c r="MK10" s="167">
        <v>880.4</v>
      </c>
      <c r="ML10" s="270" t="s">
        <v>609</v>
      </c>
      <c r="MM10" s="111">
        <v>42</v>
      </c>
      <c r="MN10" s="16"/>
      <c r="MO10" s="129"/>
      <c r="MP10" s="171"/>
      <c r="MQ10" s="20">
        <v>3</v>
      </c>
      <c r="MR10" s="19">
        <v>940.14</v>
      </c>
      <c r="MS10" s="17">
        <v>43457</v>
      </c>
      <c r="MT10" s="19">
        <v>940.14</v>
      </c>
      <c r="MU10" s="70" t="s">
        <v>626</v>
      </c>
      <c r="MV10" s="24">
        <v>42</v>
      </c>
      <c r="MW10" s="16"/>
      <c r="MX10" s="129"/>
      <c r="MY10" s="171"/>
      <c r="MZ10" s="20">
        <v>3</v>
      </c>
      <c r="NA10" s="19">
        <v>910.8</v>
      </c>
      <c r="NB10" s="17">
        <v>43460</v>
      </c>
      <c r="NC10" s="19">
        <v>910.8</v>
      </c>
      <c r="ND10" s="70" t="s">
        <v>634</v>
      </c>
      <c r="NE10" s="24">
        <v>42</v>
      </c>
      <c r="NF10" s="16"/>
      <c r="NG10" s="129"/>
      <c r="NH10" s="171"/>
      <c r="NI10" s="20">
        <v>3</v>
      </c>
      <c r="NJ10" s="19">
        <v>891.3</v>
      </c>
      <c r="NK10" s="17">
        <v>43456</v>
      </c>
      <c r="NL10" s="19">
        <v>891.3</v>
      </c>
      <c r="NM10" s="70" t="s">
        <v>613</v>
      </c>
      <c r="NN10" s="24">
        <v>42</v>
      </c>
      <c r="NO10" s="16"/>
      <c r="NP10" s="129"/>
      <c r="NQ10" s="171"/>
      <c r="NR10" s="20">
        <v>3</v>
      </c>
      <c r="NS10" s="19">
        <v>957.5</v>
      </c>
      <c r="NT10" s="17">
        <v>43456</v>
      </c>
      <c r="NU10" s="19">
        <v>957.5</v>
      </c>
      <c r="NV10" s="70" t="s">
        <v>615</v>
      </c>
      <c r="NW10" s="24">
        <v>42</v>
      </c>
      <c r="NX10" s="16"/>
      <c r="NY10" s="129"/>
      <c r="NZ10" s="121"/>
      <c r="OA10" s="20">
        <v>3</v>
      </c>
      <c r="OB10" s="19">
        <v>946.49</v>
      </c>
      <c r="OC10" s="105">
        <v>43456</v>
      </c>
      <c r="OD10" s="19">
        <v>946.49</v>
      </c>
      <c r="OE10" s="124" t="s">
        <v>621</v>
      </c>
      <c r="OF10" s="103">
        <v>42</v>
      </c>
      <c r="OG10" s="16"/>
      <c r="OH10" s="129"/>
      <c r="OI10" s="121"/>
      <c r="OJ10" s="20">
        <v>3</v>
      </c>
      <c r="OK10" s="19">
        <v>901.7</v>
      </c>
      <c r="OL10" s="17">
        <v>43456</v>
      </c>
      <c r="OM10" s="19">
        <v>901.7</v>
      </c>
      <c r="ON10" s="70" t="s">
        <v>617</v>
      </c>
      <c r="OO10" s="482">
        <v>42</v>
      </c>
      <c r="OP10" s="16"/>
      <c r="OQ10" s="129"/>
      <c r="OR10" s="121"/>
      <c r="OS10" s="20">
        <v>3</v>
      </c>
      <c r="OT10" s="19">
        <v>916.7</v>
      </c>
      <c r="OU10" s="17">
        <v>43457</v>
      </c>
      <c r="OV10" s="19">
        <v>916.7</v>
      </c>
      <c r="OW10" s="70" t="s">
        <v>625</v>
      </c>
      <c r="OX10" s="24">
        <v>42</v>
      </c>
      <c r="OY10" s="16"/>
      <c r="OZ10" s="129"/>
      <c r="PA10" s="121"/>
      <c r="PB10" s="20">
        <v>3</v>
      </c>
      <c r="PC10" s="19">
        <v>957.37</v>
      </c>
      <c r="PD10" s="17">
        <v>43458</v>
      </c>
      <c r="PE10" s="19">
        <v>957.37</v>
      </c>
      <c r="PF10" s="70" t="s">
        <v>632</v>
      </c>
      <c r="PG10" s="24">
        <v>42</v>
      </c>
      <c r="PH10" s="16"/>
      <c r="PI10" s="129"/>
      <c r="PJ10" s="121"/>
      <c r="PK10" s="20">
        <v>3</v>
      </c>
      <c r="PL10" s="19">
        <v>905</v>
      </c>
      <c r="PM10" s="17">
        <v>43461</v>
      </c>
      <c r="PN10" s="19">
        <v>905</v>
      </c>
      <c r="PO10" s="70" t="s">
        <v>642</v>
      </c>
      <c r="PP10" s="24">
        <v>38</v>
      </c>
      <c r="PQ10" s="16"/>
      <c r="PR10" s="129"/>
      <c r="PS10" s="121"/>
      <c r="PT10" s="20">
        <v>3</v>
      </c>
      <c r="PU10" s="19">
        <v>950.72</v>
      </c>
      <c r="PV10" s="17">
        <v>43462</v>
      </c>
      <c r="PW10" s="19">
        <v>950.72</v>
      </c>
      <c r="PX10" s="270" t="s">
        <v>653</v>
      </c>
      <c r="PY10" s="24">
        <v>38</v>
      </c>
      <c r="PZ10" s="16"/>
      <c r="QA10" s="129"/>
      <c r="QB10" s="121"/>
      <c r="QC10" s="20">
        <v>3</v>
      </c>
      <c r="QD10" s="19">
        <v>945.74</v>
      </c>
      <c r="QE10" s="105">
        <v>43462</v>
      </c>
      <c r="QF10" s="19">
        <v>945.74</v>
      </c>
      <c r="QG10" s="124" t="s">
        <v>657</v>
      </c>
      <c r="QH10" s="24">
        <v>38</v>
      </c>
      <c r="QI10" s="16"/>
      <c r="QJ10" s="128"/>
      <c r="QK10" s="121"/>
      <c r="QL10" s="20">
        <v>3</v>
      </c>
      <c r="QM10" s="19">
        <v>896.7</v>
      </c>
      <c r="QN10" s="17">
        <v>43461</v>
      </c>
      <c r="QO10" s="19">
        <v>896.7</v>
      </c>
      <c r="QP10" s="70" t="s">
        <v>645</v>
      </c>
      <c r="QQ10" s="24">
        <v>38</v>
      </c>
      <c r="QR10" s="16"/>
      <c r="QS10" s="128"/>
      <c r="QT10" s="121"/>
      <c r="QU10" s="20">
        <v>3</v>
      </c>
      <c r="QV10" s="19">
        <v>948.91</v>
      </c>
      <c r="QW10" s="17">
        <v>43461</v>
      </c>
      <c r="QX10" s="19">
        <v>948.91</v>
      </c>
      <c r="QY10" s="70" t="s">
        <v>649</v>
      </c>
      <c r="QZ10" s="24">
        <v>38</v>
      </c>
      <c r="RA10" s="16"/>
      <c r="RB10" s="128"/>
      <c r="RC10" s="121"/>
      <c r="RD10" s="20"/>
      <c r="RE10" s="19"/>
      <c r="RF10" s="17"/>
      <c r="RG10" s="19"/>
      <c r="RH10" s="70"/>
      <c r="RI10" s="24"/>
      <c r="RJ10" s="16"/>
      <c r="RK10" s="128"/>
      <c r="RL10" s="121"/>
      <c r="RM10" s="20">
        <v>3</v>
      </c>
      <c r="RN10" s="19">
        <v>936.96</v>
      </c>
      <c r="RO10" s="400">
        <v>43462</v>
      </c>
      <c r="RP10" s="401">
        <v>936.96</v>
      </c>
      <c r="RQ10" s="402" t="s">
        <v>662</v>
      </c>
      <c r="RR10" s="403">
        <v>38</v>
      </c>
      <c r="RS10" s="16"/>
      <c r="RT10" s="128"/>
      <c r="RU10" s="121"/>
      <c r="RV10" s="20">
        <v>3</v>
      </c>
      <c r="RW10" s="19"/>
      <c r="RX10" s="17"/>
      <c r="RY10" s="19"/>
      <c r="RZ10" s="70"/>
      <c r="SA10" s="24"/>
      <c r="SB10" s="16"/>
      <c r="SC10" s="128"/>
      <c r="SD10" s="121"/>
      <c r="SE10" s="20">
        <v>3</v>
      </c>
      <c r="SF10" s="19">
        <v>956.46</v>
      </c>
      <c r="SG10" s="17">
        <v>43463</v>
      </c>
      <c r="SH10" s="19">
        <v>956.46</v>
      </c>
      <c r="SI10" s="70" t="s">
        <v>654</v>
      </c>
      <c r="SJ10" s="24">
        <v>38</v>
      </c>
      <c r="SK10" s="16"/>
      <c r="SL10" s="128"/>
      <c r="SM10" s="121"/>
      <c r="SN10" s="20">
        <v>3</v>
      </c>
      <c r="SO10" s="19">
        <v>845.96</v>
      </c>
      <c r="SP10" s="17">
        <v>43463</v>
      </c>
      <c r="SQ10" s="19">
        <v>845.96</v>
      </c>
      <c r="SR10" s="70" t="s">
        <v>668</v>
      </c>
      <c r="SS10" s="24">
        <v>38</v>
      </c>
      <c r="ST10" s="16"/>
      <c r="SU10" s="128"/>
      <c r="SV10" s="121"/>
      <c r="SW10" s="20">
        <v>3</v>
      </c>
      <c r="SX10" s="19">
        <v>903.6</v>
      </c>
      <c r="SY10" s="17">
        <v>43463</v>
      </c>
      <c r="SZ10" s="19">
        <v>903.6</v>
      </c>
      <c r="TA10" s="70" t="s">
        <v>665</v>
      </c>
      <c r="TB10" s="24">
        <v>38</v>
      </c>
      <c r="TC10" s="16"/>
      <c r="TD10" s="128"/>
      <c r="TE10" s="121"/>
      <c r="TF10" s="20">
        <v>3</v>
      </c>
      <c r="TG10" s="19">
        <v>918.37</v>
      </c>
      <c r="TH10" s="17">
        <v>43464</v>
      </c>
      <c r="TI10" s="19">
        <v>918.37</v>
      </c>
      <c r="TJ10" s="70" t="s">
        <v>669</v>
      </c>
      <c r="TK10" s="24">
        <v>38</v>
      </c>
      <c r="TM10" s="59"/>
      <c r="TN10" s="2"/>
      <c r="TO10" s="20">
        <v>3</v>
      </c>
      <c r="TP10" s="19">
        <v>873.2</v>
      </c>
      <c r="TQ10" s="17">
        <v>43464</v>
      </c>
      <c r="TR10" s="19">
        <v>873.2</v>
      </c>
      <c r="TS10" s="70" t="s">
        <v>670</v>
      </c>
      <c r="TT10" s="24">
        <v>38</v>
      </c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4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 xml:space="preserve">SIOUXPREME PACKING Co </v>
      </c>
      <c r="C11" s="16" t="str">
        <f t="shared" si="7"/>
        <v>SIOUX</v>
      </c>
      <c r="D11" s="72" t="str">
        <f t="shared" si="7"/>
        <v>PED. 31814242</v>
      </c>
      <c r="E11" s="155">
        <f t="shared" si="7"/>
        <v>43438</v>
      </c>
      <c r="F11" s="74">
        <f t="shared" si="7"/>
        <v>18831.27</v>
      </c>
      <c r="G11" s="15">
        <f t="shared" si="7"/>
        <v>21</v>
      </c>
      <c r="H11" s="64">
        <f t="shared" si="7"/>
        <v>18931</v>
      </c>
      <c r="I11" s="18">
        <f t="shared" si="7"/>
        <v>-99.729999999999563</v>
      </c>
      <c r="K11" s="141"/>
      <c r="L11" s="121"/>
      <c r="M11" s="20">
        <v>4</v>
      </c>
      <c r="N11" s="190">
        <v>897.7</v>
      </c>
      <c r="O11" s="105">
        <v>43435</v>
      </c>
      <c r="P11" s="190">
        <v>897.7</v>
      </c>
      <c r="Q11" s="124" t="s">
        <v>471</v>
      </c>
      <c r="R11" s="103">
        <v>37</v>
      </c>
      <c r="S11" s="16"/>
      <c r="T11" s="141"/>
      <c r="U11" s="121"/>
      <c r="V11" s="20">
        <v>4</v>
      </c>
      <c r="W11" s="190">
        <v>877.2</v>
      </c>
      <c r="X11" s="17">
        <v>43435</v>
      </c>
      <c r="Y11" s="190">
        <v>877.2</v>
      </c>
      <c r="Z11" s="70" t="s">
        <v>473</v>
      </c>
      <c r="AA11" s="24">
        <v>37</v>
      </c>
      <c r="AB11" s="16"/>
      <c r="AC11" s="141"/>
      <c r="AD11" s="121"/>
      <c r="AE11" s="20">
        <v>4</v>
      </c>
      <c r="AF11" s="190">
        <v>920.18</v>
      </c>
      <c r="AG11" s="17">
        <v>43436</v>
      </c>
      <c r="AH11" s="190">
        <v>920.18</v>
      </c>
      <c r="AI11" s="70" t="s">
        <v>481</v>
      </c>
      <c r="AJ11" s="24">
        <v>37</v>
      </c>
      <c r="AK11" s="16"/>
      <c r="AL11" s="141"/>
      <c r="AM11" s="121"/>
      <c r="AN11" s="20">
        <v>4</v>
      </c>
      <c r="AO11" s="19">
        <v>914.29</v>
      </c>
      <c r="AP11" s="17">
        <v>43441</v>
      </c>
      <c r="AQ11" s="19">
        <v>914.29</v>
      </c>
      <c r="AR11" s="70" t="s">
        <v>478</v>
      </c>
      <c r="AS11" s="24">
        <v>38</v>
      </c>
      <c r="AT11" s="16"/>
      <c r="AU11" s="141"/>
      <c r="AV11" s="121"/>
      <c r="AW11" s="20">
        <v>4</v>
      </c>
      <c r="AX11" s="19">
        <v>870.9</v>
      </c>
      <c r="AY11" s="105">
        <v>43441</v>
      </c>
      <c r="AZ11" s="19">
        <v>870.9</v>
      </c>
      <c r="BA11" s="124" t="s">
        <v>519</v>
      </c>
      <c r="BB11" s="414">
        <v>38</v>
      </c>
      <c r="BC11" s="16"/>
      <c r="BD11" s="141"/>
      <c r="BE11" s="121"/>
      <c r="BF11" s="20">
        <v>4</v>
      </c>
      <c r="BG11" s="19">
        <v>889</v>
      </c>
      <c r="BH11" s="400">
        <v>43441</v>
      </c>
      <c r="BI11" s="19">
        <v>889</v>
      </c>
      <c r="BJ11" s="402" t="s">
        <v>517</v>
      </c>
      <c r="BK11" s="403">
        <v>38</v>
      </c>
      <c r="BL11" s="16"/>
      <c r="BM11" s="141"/>
      <c r="BN11" s="121"/>
      <c r="BO11" s="20">
        <v>4</v>
      </c>
      <c r="BP11" s="19">
        <v>903.5</v>
      </c>
      <c r="BQ11" s="400">
        <v>43439</v>
      </c>
      <c r="BR11" s="19">
        <v>903.5</v>
      </c>
      <c r="BS11" s="402" t="s">
        <v>502</v>
      </c>
      <c r="BT11" s="403">
        <v>37</v>
      </c>
      <c r="BU11" s="16"/>
      <c r="BV11" s="141"/>
      <c r="BW11" s="121"/>
      <c r="BX11" s="20">
        <v>4</v>
      </c>
      <c r="BY11" s="19">
        <v>899</v>
      </c>
      <c r="BZ11" s="400">
        <v>43438</v>
      </c>
      <c r="CA11" s="19">
        <v>899</v>
      </c>
      <c r="CB11" s="402" t="s">
        <v>475</v>
      </c>
      <c r="CC11" s="403">
        <v>37</v>
      </c>
      <c r="CD11" s="16"/>
      <c r="CE11" s="141"/>
      <c r="CF11" s="121"/>
      <c r="CG11" s="20">
        <v>4</v>
      </c>
      <c r="CH11" s="19">
        <v>948</v>
      </c>
      <c r="CI11" s="17">
        <v>43439</v>
      </c>
      <c r="CJ11" s="19">
        <v>948</v>
      </c>
      <c r="CK11" s="70" t="s">
        <v>487</v>
      </c>
      <c r="CL11" s="24">
        <v>37</v>
      </c>
      <c r="CM11" s="16"/>
      <c r="CN11" s="141"/>
      <c r="CO11" s="121"/>
      <c r="CP11" s="20">
        <v>4</v>
      </c>
      <c r="CQ11" s="19">
        <v>924.42</v>
      </c>
      <c r="CR11" s="17">
        <v>43439</v>
      </c>
      <c r="CS11" s="19">
        <v>924.42</v>
      </c>
      <c r="CT11" s="70" t="s">
        <v>495</v>
      </c>
      <c r="CU11" s="24">
        <v>37</v>
      </c>
      <c r="CV11" s="16"/>
      <c r="CW11" s="141"/>
      <c r="CX11" s="121"/>
      <c r="CY11" s="20">
        <v>4</v>
      </c>
      <c r="CZ11" s="19">
        <v>890.25</v>
      </c>
      <c r="DA11" s="400">
        <v>43440</v>
      </c>
      <c r="DB11" s="19">
        <v>890.25</v>
      </c>
      <c r="DC11" s="402" t="s">
        <v>477</v>
      </c>
      <c r="DD11" s="403">
        <v>37</v>
      </c>
      <c r="DE11" s="16"/>
      <c r="DF11" s="141"/>
      <c r="DG11" s="121"/>
      <c r="DH11" s="20">
        <v>4</v>
      </c>
      <c r="DI11" s="19">
        <v>954.81</v>
      </c>
      <c r="DJ11" s="400">
        <v>43440</v>
      </c>
      <c r="DK11" s="19">
        <v>954.81</v>
      </c>
      <c r="DL11" s="402" t="s">
        <v>464</v>
      </c>
      <c r="DM11" s="403">
        <v>37</v>
      </c>
      <c r="DN11" s="16"/>
      <c r="DO11" s="141"/>
      <c r="DP11" s="121"/>
      <c r="DQ11" s="20">
        <v>4</v>
      </c>
      <c r="DR11" s="30">
        <v>975.06</v>
      </c>
      <c r="DS11" s="58">
        <v>43442</v>
      </c>
      <c r="DT11" s="30">
        <v>975.06</v>
      </c>
      <c r="DU11" s="76" t="s">
        <v>497</v>
      </c>
      <c r="DV11" s="24">
        <v>40</v>
      </c>
      <c r="DW11" s="16"/>
      <c r="DX11" s="141"/>
      <c r="DY11" s="121"/>
      <c r="DZ11" s="20">
        <v>4</v>
      </c>
      <c r="EA11" s="30">
        <v>919.9</v>
      </c>
      <c r="EB11" s="58">
        <v>43444</v>
      </c>
      <c r="EC11" s="30">
        <v>919.9</v>
      </c>
      <c r="ED11" s="76" t="s">
        <v>513</v>
      </c>
      <c r="EE11" s="24">
        <v>42</v>
      </c>
      <c r="EF11" s="16"/>
      <c r="EG11" s="141"/>
      <c r="EH11" s="121"/>
      <c r="EI11" s="20">
        <v>4</v>
      </c>
      <c r="EJ11" s="19">
        <v>895.8</v>
      </c>
      <c r="EK11" s="17">
        <v>43442</v>
      </c>
      <c r="EL11" s="19">
        <v>895.8</v>
      </c>
      <c r="EM11" s="43" t="s">
        <v>524</v>
      </c>
      <c r="EN11" s="24">
        <v>40</v>
      </c>
      <c r="EO11" s="16"/>
      <c r="EP11" s="141"/>
      <c r="EQ11" s="121"/>
      <c r="ER11" s="20">
        <v>4</v>
      </c>
      <c r="ES11" s="19">
        <v>947.85</v>
      </c>
      <c r="ET11" s="17">
        <v>43446</v>
      </c>
      <c r="EU11" s="19">
        <v>947.85</v>
      </c>
      <c r="EV11" s="43" t="s">
        <v>532</v>
      </c>
      <c r="EW11" s="24">
        <v>42</v>
      </c>
      <c r="EX11" s="16"/>
      <c r="EY11" s="141"/>
      <c r="EZ11" s="121"/>
      <c r="FA11" s="20">
        <v>4</v>
      </c>
      <c r="FB11" s="167">
        <v>920.63</v>
      </c>
      <c r="FC11" s="150">
        <v>43445</v>
      </c>
      <c r="FD11" s="167">
        <v>920.63</v>
      </c>
      <c r="FE11" s="110" t="s">
        <v>527</v>
      </c>
      <c r="FF11" s="111">
        <v>42</v>
      </c>
      <c r="FG11" s="16"/>
      <c r="FH11" s="141"/>
      <c r="FI11" s="121"/>
      <c r="FJ11" s="20">
        <v>4</v>
      </c>
      <c r="FK11" s="30">
        <v>901.5</v>
      </c>
      <c r="FL11" s="58">
        <v>43445</v>
      </c>
      <c r="FM11" s="30">
        <v>901.5</v>
      </c>
      <c r="FN11" s="76" t="s">
        <v>505</v>
      </c>
      <c r="FO11" s="24">
        <v>42</v>
      </c>
      <c r="FP11" s="16"/>
      <c r="FQ11" s="141"/>
      <c r="FR11" s="121"/>
      <c r="FS11" s="20">
        <v>4</v>
      </c>
      <c r="FT11" s="19">
        <v>965.69</v>
      </c>
      <c r="FU11" s="150">
        <v>43445</v>
      </c>
      <c r="FV11" s="19">
        <v>965.69</v>
      </c>
      <c r="FW11" s="270" t="s">
        <v>467</v>
      </c>
      <c r="FX11" s="111">
        <v>42</v>
      </c>
      <c r="FY11" s="16"/>
      <c r="FZ11" s="141"/>
      <c r="GA11" s="121"/>
      <c r="GB11" s="20">
        <v>4</v>
      </c>
      <c r="GC11" s="19">
        <v>907.94</v>
      </c>
      <c r="GD11" s="17">
        <v>43446</v>
      </c>
      <c r="GE11" s="19">
        <v>907.94</v>
      </c>
      <c r="GF11" s="70" t="s">
        <v>531</v>
      </c>
      <c r="GG11" s="24">
        <v>42</v>
      </c>
      <c r="GH11" s="16"/>
      <c r="GI11" s="141"/>
      <c r="GJ11" s="121"/>
      <c r="GK11" s="20">
        <v>4</v>
      </c>
      <c r="GL11" s="19">
        <v>907.48</v>
      </c>
      <c r="GM11" s="17">
        <v>43447</v>
      </c>
      <c r="GN11" s="19">
        <v>907.48</v>
      </c>
      <c r="GO11" s="70" t="s">
        <v>537</v>
      </c>
      <c r="GP11" s="24">
        <v>42</v>
      </c>
      <c r="GQ11" s="16"/>
      <c r="GR11" s="141"/>
      <c r="GS11" s="121"/>
      <c r="GT11" s="20">
        <v>4</v>
      </c>
      <c r="GU11" s="19">
        <v>886.8</v>
      </c>
      <c r="GV11" s="17">
        <v>43448</v>
      </c>
      <c r="GW11" s="19">
        <v>886.8</v>
      </c>
      <c r="GX11" s="311" t="s">
        <v>541</v>
      </c>
      <c r="GY11" s="24">
        <v>42</v>
      </c>
      <c r="GZ11" s="16"/>
      <c r="HA11" s="141"/>
      <c r="HB11" s="121"/>
      <c r="HC11" s="20">
        <v>4</v>
      </c>
      <c r="HD11" s="30">
        <v>913.5</v>
      </c>
      <c r="HE11" s="58">
        <v>43448</v>
      </c>
      <c r="HF11" s="30">
        <v>913.5</v>
      </c>
      <c r="HG11" s="76" t="s">
        <v>542</v>
      </c>
      <c r="HH11" s="24">
        <v>42</v>
      </c>
      <c r="HI11" s="16"/>
      <c r="HJ11" s="141"/>
      <c r="HK11" s="121"/>
      <c r="HL11" s="20">
        <v>4</v>
      </c>
      <c r="HM11" s="19">
        <v>970.52</v>
      </c>
      <c r="HN11" s="17">
        <v>43449</v>
      </c>
      <c r="HO11" s="19">
        <v>970.52</v>
      </c>
      <c r="HP11" s="593" t="s">
        <v>547</v>
      </c>
      <c r="HQ11" s="24">
        <v>42</v>
      </c>
      <c r="HR11" s="19"/>
      <c r="HS11" s="30"/>
      <c r="HT11" s="121"/>
      <c r="HU11" s="20">
        <v>4</v>
      </c>
      <c r="HV11" s="19">
        <v>981.41</v>
      </c>
      <c r="HW11" s="58">
        <v>43448</v>
      </c>
      <c r="HX11" s="19">
        <v>981.41</v>
      </c>
      <c r="HY11" s="76" t="s">
        <v>545</v>
      </c>
      <c r="HZ11" s="24">
        <v>42</v>
      </c>
      <c r="IA11" s="30"/>
      <c r="IB11" s="141"/>
      <c r="IC11" s="121"/>
      <c r="ID11" s="20">
        <v>4</v>
      </c>
      <c r="IE11" s="19">
        <v>919.4</v>
      </c>
      <c r="IF11" s="17">
        <v>43449</v>
      </c>
      <c r="IG11" s="19">
        <v>919.4</v>
      </c>
      <c r="IH11" s="43" t="s">
        <v>552</v>
      </c>
      <c r="II11" s="24">
        <v>42</v>
      </c>
      <c r="IJ11" s="16"/>
      <c r="IK11" s="141"/>
      <c r="IL11" s="121"/>
      <c r="IM11" s="20">
        <v>4</v>
      </c>
      <c r="IN11" s="30">
        <v>997.73</v>
      </c>
      <c r="IO11" s="626">
        <v>43450</v>
      </c>
      <c r="IP11" s="30">
        <v>997.73</v>
      </c>
      <c r="IQ11" s="76" t="s">
        <v>559</v>
      </c>
      <c r="IR11" s="24">
        <v>42</v>
      </c>
      <c r="IS11" s="16"/>
      <c r="IT11" s="141"/>
      <c r="IU11" s="121"/>
      <c r="IV11" s="20">
        <v>4</v>
      </c>
      <c r="IW11" s="19">
        <v>889.9</v>
      </c>
      <c r="IX11" s="17">
        <v>43451</v>
      </c>
      <c r="IY11" s="19">
        <v>889.9</v>
      </c>
      <c r="IZ11" s="70" t="s">
        <v>570</v>
      </c>
      <c r="JA11" s="24">
        <v>42</v>
      </c>
      <c r="JB11" s="16"/>
      <c r="JC11" s="141"/>
      <c r="JD11" s="121"/>
      <c r="JE11" s="20">
        <v>4</v>
      </c>
      <c r="JF11" s="19">
        <v>903.6</v>
      </c>
      <c r="JG11" s="17">
        <v>43452</v>
      </c>
      <c r="JH11" s="19">
        <v>903.6</v>
      </c>
      <c r="JI11" s="70" t="s">
        <v>576</v>
      </c>
      <c r="JJ11" s="24">
        <v>42</v>
      </c>
      <c r="JK11" s="16"/>
      <c r="JL11" s="141"/>
      <c r="JM11" s="121"/>
      <c r="JN11" s="20">
        <v>4</v>
      </c>
      <c r="JO11" s="19">
        <v>907.48</v>
      </c>
      <c r="JP11" s="17">
        <v>43452</v>
      </c>
      <c r="JQ11" s="19">
        <v>907.48</v>
      </c>
      <c r="JR11" s="70" t="s">
        <v>578</v>
      </c>
      <c r="JS11" s="24">
        <v>42</v>
      </c>
      <c r="JT11" s="16"/>
      <c r="JU11" s="141"/>
      <c r="JV11" s="121"/>
      <c r="JW11" s="20">
        <v>4</v>
      </c>
      <c r="JX11" s="19">
        <v>969.78</v>
      </c>
      <c r="JY11" s="17">
        <v>43453</v>
      </c>
      <c r="JZ11" s="19">
        <v>969.78</v>
      </c>
      <c r="KA11" s="70" t="s">
        <v>585</v>
      </c>
      <c r="KB11" s="24">
        <v>42</v>
      </c>
      <c r="KC11" s="16"/>
      <c r="KD11" s="141"/>
      <c r="KE11" s="121"/>
      <c r="KF11" s="20">
        <v>4</v>
      </c>
      <c r="KG11" s="19">
        <v>885.5</v>
      </c>
      <c r="KH11" s="17">
        <v>43452</v>
      </c>
      <c r="KI11" s="19">
        <v>885.5</v>
      </c>
      <c r="KJ11" s="70" t="s">
        <v>580</v>
      </c>
      <c r="KK11" s="24">
        <v>42</v>
      </c>
      <c r="KL11" s="16"/>
      <c r="KM11" s="141"/>
      <c r="KN11" s="121"/>
      <c r="KO11" s="20">
        <v>4</v>
      </c>
      <c r="KP11" s="190">
        <v>892.2</v>
      </c>
      <c r="KQ11" s="105">
        <v>43453</v>
      </c>
      <c r="KR11" s="190">
        <v>892.2</v>
      </c>
      <c r="KS11" s="124" t="s">
        <v>583</v>
      </c>
      <c r="KT11" s="103">
        <v>42</v>
      </c>
      <c r="KU11" s="16"/>
      <c r="KV11" s="141"/>
      <c r="KW11" s="121"/>
      <c r="KX11" s="20">
        <v>4</v>
      </c>
      <c r="KY11" s="190">
        <v>945.58</v>
      </c>
      <c r="KZ11" s="17">
        <v>43453</v>
      </c>
      <c r="LA11" s="190">
        <v>945.58</v>
      </c>
      <c r="LB11" s="70" t="s">
        <v>586</v>
      </c>
      <c r="LC11" s="24">
        <v>42</v>
      </c>
      <c r="LD11" s="16"/>
      <c r="LE11" s="141"/>
      <c r="LF11" s="121"/>
      <c r="LG11" s="20">
        <v>4</v>
      </c>
      <c r="LH11" s="19">
        <v>917.91</v>
      </c>
      <c r="LI11" s="17">
        <v>43454</v>
      </c>
      <c r="LJ11" s="19">
        <v>917.91</v>
      </c>
      <c r="LK11" s="70" t="s">
        <v>595</v>
      </c>
      <c r="LL11" s="24">
        <v>42</v>
      </c>
      <c r="LM11" s="16"/>
      <c r="LN11" s="141"/>
      <c r="LO11" s="121"/>
      <c r="LP11" s="20">
        <v>4</v>
      </c>
      <c r="LQ11" s="190">
        <v>933.79</v>
      </c>
      <c r="LR11" s="17">
        <v>43455</v>
      </c>
      <c r="LS11" s="190">
        <v>933.79</v>
      </c>
      <c r="LT11" s="70" t="s">
        <v>601</v>
      </c>
      <c r="LU11" s="24">
        <v>42</v>
      </c>
      <c r="LV11" s="16"/>
      <c r="LW11" s="141"/>
      <c r="LX11" s="121"/>
      <c r="LY11" s="20">
        <v>4</v>
      </c>
      <c r="LZ11" s="180">
        <v>899.9</v>
      </c>
      <c r="MA11" s="17">
        <v>43455</v>
      </c>
      <c r="MB11" s="180">
        <v>899.9</v>
      </c>
      <c r="MC11" s="70" t="s">
        <v>605</v>
      </c>
      <c r="MD11" s="24">
        <v>42</v>
      </c>
      <c r="ME11" s="16"/>
      <c r="MF11" s="141"/>
      <c r="MG11" s="121"/>
      <c r="MH11" s="20">
        <v>4</v>
      </c>
      <c r="MI11" s="167">
        <v>871.3</v>
      </c>
      <c r="MJ11" s="150">
        <v>43455</v>
      </c>
      <c r="MK11" s="167">
        <v>871.3</v>
      </c>
      <c r="ML11" s="270" t="s">
        <v>609</v>
      </c>
      <c r="MM11" s="111">
        <v>42</v>
      </c>
      <c r="MN11" s="16"/>
      <c r="MO11" s="141"/>
      <c r="MP11" s="121"/>
      <c r="MQ11" s="20">
        <v>4</v>
      </c>
      <c r="MR11" s="180">
        <v>958.73</v>
      </c>
      <c r="MS11" s="17">
        <v>43457</v>
      </c>
      <c r="MT11" s="180">
        <v>958.73</v>
      </c>
      <c r="MU11" s="70" t="s">
        <v>626</v>
      </c>
      <c r="MV11" s="24">
        <v>42</v>
      </c>
      <c r="MW11" s="16"/>
      <c r="MX11" s="141"/>
      <c r="MY11" s="121"/>
      <c r="MZ11" s="20">
        <v>4</v>
      </c>
      <c r="NA11" s="19">
        <v>942.1</v>
      </c>
      <c r="NB11" s="17">
        <v>43460</v>
      </c>
      <c r="NC11" s="19">
        <v>942.1</v>
      </c>
      <c r="ND11" s="70" t="s">
        <v>634</v>
      </c>
      <c r="NE11" s="24">
        <v>42</v>
      </c>
      <c r="NF11" s="16"/>
      <c r="NG11" s="141"/>
      <c r="NH11" s="121"/>
      <c r="NI11" s="20">
        <v>4</v>
      </c>
      <c r="NJ11" s="19">
        <v>901.3</v>
      </c>
      <c r="NK11" s="17">
        <v>43456</v>
      </c>
      <c r="NL11" s="19">
        <v>901.3</v>
      </c>
      <c r="NM11" s="70" t="s">
        <v>613</v>
      </c>
      <c r="NN11" s="24">
        <v>42</v>
      </c>
      <c r="NO11" s="16"/>
      <c r="NP11" s="141"/>
      <c r="NQ11" s="171"/>
      <c r="NR11" s="20">
        <v>4</v>
      </c>
      <c r="NS11" s="180">
        <v>946.6</v>
      </c>
      <c r="NT11" s="17">
        <v>43456</v>
      </c>
      <c r="NU11" s="180">
        <v>946.6</v>
      </c>
      <c r="NV11" s="70" t="s">
        <v>615</v>
      </c>
      <c r="NW11" s="24">
        <v>42</v>
      </c>
      <c r="NX11" s="16"/>
      <c r="NY11" s="141"/>
      <c r="NZ11" s="121"/>
      <c r="OA11" s="20">
        <v>4</v>
      </c>
      <c r="OB11" s="19">
        <v>944.67</v>
      </c>
      <c r="OC11" s="105">
        <v>43456</v>
      </c>
      <c r="OD11" s="19">
        <v>944.67</v>
      </c>
      <c r="OE11" s="124" t="s">
        <v>621</v>
      </c>
      <c r="OF11" s="103">
        <v>42</v>
      </c>
      <c r="OG11" s="16"/>
      <c r="OH11" s="141"/>
      <c r="OI11" s="121"/>
      <c r="OJ11" s="20">
        <v>4</v>
      </c>
      <c r="OK11" s="19">
        <v>861.8</v>
      </c>
      <c r="OL11" s="17">
        <v>43456</v>
      </c>
      <c r="OM11" s="19">
        <v>861.8</v>
      </c>
      <c r="ON11" s="70" t="s">
        <v>617</v>
      </c>
      <c r="OO11" s="482">
        <v>42</v>
      </c>
      <c r="OP11" s="16"/>
      <c r="OQ11" s="141"/>
      <c r="OR11" s="121"/>
      <c r="OS11" s="20">
        <v>4</v>
      </c>
      <c r="OT11" s="19">
        <v>906.7</v>
      </c>
      <c r="OU11" s="17">
        <v>43457</v>
      </c>
      <c r="OV11" s="19">
        <v>906.7</v>
      </c>
      <c r="OW11" s="70" t="s">
        <v>625</v>
      </c>
      <c r="OX11" s="24">
        <v>42</v>
      </c>
      <c r="OY11" s="16"/>
      <c r="OZ11" s="141"/>
      <c r="PA11" s="121"/>
      <c r="PB11" s="20">
        <v>4</v>
      </c>
      <c r="PC11" s="19">
        <v>884.81</v>
      </c>
      <c r="PD11" s="17">
        <v>43458</v>
      </c>
      <c r="PE11" s="19">
        <v>884.81</v>
      </c>
      <c r="PF11" s="70" t="s">
        <v>630</v>
      </c>
      <c r="PG11" s="24">
        <v>42</v>
      </c>
      <c r="PH11" s="16"/>
      <c r="PI11" s="141"/>
      <c r="PJ11" s="121"/>
      <c r="PK11" s="20">
        <v>4</v>
      </c>
      <c r="PL11" s="19">
        <v>900</v>
      </c>
      <c r="PM11" s="17">
        <v>43461</v>
      </c>
      <c r="PN11" s="19">
        <v>900</v>
      </c>
      <c r="PO11" s="70" t="s">
        <v>642</v>
      </c>
      <c r="PP11" s="24">
        <v>38</v>
      </c>
      <c r="PQ11" s="16"/>
      <c r="PR11" s="141"/>
      <c r="PS11" s="121"/>
      <c r="PT11" s="20">
        <v>4</v>
      </c>
      <c r="PU11" s="19">
        <v>932.58</v>
      </c>
      <c r="PV11" s="17">
        <v>43462</v>
      </c>
      <c r="PW11" s="19">
        <v>932.58</v>
      </c>
      <c r="PX11" s="270" t="s">
        <v>653</v>
      </c>
      <c r="PY11" s="24">
        <v>38</v>
      </c>
      <c r="PZ11" s="16"/>
      <c r="QA11" s="141"/>
      <c r="QB11" s="121"/>
      <c r="QC11" s="20">
        <v>4</v>
      </c>
      <c r="QD11" s="19">
        <v>913.08</v>
      </c>
      <c r="QE11" s="105">
        <v>43462</v>
      </c>
      <c r="QF11" s="19">
        <v>913.08</v>
      </c>
      <c r="QG11" s="124" t="s">
        <v>658</v>
      </c>
      <c r="QH11" s="24">
        <v>38</v>
      </c>
      <c r="QI11" s="16"/>
      <c r="QJ11" s="129"/>
      <c r="QK11" s="121"/>
      <c r="QL11" s="20">
        <v>4</v>
      </c>
      <c r="QM11" s="19">
        <v>896.7</v>
      </c>
      <c r="QN11" s="17">
        <v>43461</v>
      </c>
      <c r="QO11" s="19">
        <v>896.7</v>
      </c>
      <c r="QP11" s="70" t="s">
        <v>645</v>
      </c>
      <c r="QQ11" s="24">
        <v>38</v>
      </c>
      <c r="QR11" s="16"/>
      <c r="QS11" s="129"/>
      <c r="QT11" s="121"/>
      <c r="QU11" s="20">
        <v>4</v>
      </c>
      <c r="QV11" s="19">
        <v>906.27</v>
      </c>
      <c r="QW11" s="17">
        <v>43461</v>
      </c>
      <c r="QX11" s="19">
        <v>906.27</v>
      </c>
      <c r="QY11" s="70" t="s">
        <v>649</v>
      </c>
      <c r="QZ11" s="24">
        <v>38</v>
      </c>
      <c r="RA11" s="16"/>
      <c r="RB11" s="129"/>
      <c r="RC11" s="121"/>
      <c r="RD11" s="20"/>
      <c r="RE11" s="19"/>
      <c r="RF11" s="17"/>
      <c r="RG11" s="19"/>
      <c r="RH11" s="70"/>
      <c r="RI11" s="24"/>
      <c r="RJ11" s="16"/>
      <c r="RK11" s="129"/>
      <c r="RL11" s="121"/>
      <c r="RM11" s="20">
        <v>4</v>
      </c>
      <c r="RN11" s="19">
        <v>962.36</v>
      </c>
      <c r="RO11" s="400">
        <v>43462</v>
      </c>
      <c r="RP11" s="401">
        <v>962.36</v>
      </c>
      <c r="RQ11" s="402" t="s">
        <v>662</v>
      </c>
      <c r="RR11" s="403">
        <v>38</v>
      </c>
      <c r="RS11" s="16"/>
      <c r="RT11" s="129"/>
      <c r="RU11" s="121"/>
      <c r="RV11" s="20">
        <v>4</v>
      </c>
      <c r="RW11" s="19"/>
      <c r="RX11" s="17"/>
      <c r="RY11" s="19"/>
      <c r="RZ11" s="70"/>
      <c r="SA11" s="24"/>
      <c r="SB11" s="16"/>
      <c r="SC11" s="129"/>
      <c r="SD11" s="121"/>
      <c r="SE11" s="20">
        <v>4</v>
      </c>
      <c r="SF11" s="19">
        <v>933.33</v>
      </c>
      <c r="SG11" s="17">
        <v>43463</v>
      </c>
      <c r="SH11" s="19">
        <v>933.33</v>
      </c>
      <c r="SI11" s="70" t="s">
        <v>654</v>
      </c>
      <c r="SJ11" s="24">
        <v>38</v>
      </c>
      <c r="SK11" s="16"/>
      <c r="SL11" s="129"/>
      <c r="SM11" s="121"/>
      <c r="SN11" s="20">
        <v>4</v>
      </c>
      <c r="SO11" s="19">
        <v>850.95</v>
      </c>
      <c r="SP11" s="17">
        <v>43463</v>
      </c>
      <c r="SQ11" s="19">
        <v>850.95</v>
      </c>
      <c r="SR11" s="70" t="s">
        <v>664</v>
      </c>
      <c r="SS11" s="24">
        <v>38</v>
      </c>
      <c r="ST11" s="16"/>
      <c r="SU11" s="129"/>
      <c r="SV11" s="121"/>
      <c r="SW11" s="20">
        <v>4</v>
      </c>
      <c r="SX11" s="19">
        <v>936.2</v>
      </c>
      <c r="SY11" s="17">
        <v>43463</v>
      </c>
      <c r="SZ11" s="19">
        <v>936.2</v>
      </c>
      <c r="TA11" s="70" t="s">
        <v>665</v>
      </c>
      <c r="TB11" s="24">
        <v>38</v>
      </c>
      <c r="TC11" s="16"/>
      <c r="TD11" s="129"/>
      <c r="TE11" s="121"/>
      <c r="TF11" s="20">
        <v>4</v>
      </c>
      <c r="TG11" s="19">
        <v>907.03</v>
      </c>
      <c r="TH11" s="17">
        <v>43464</v>
      </c>
      <c r="TI11" s="19">
        <v>907.03</v>
      </c>
      <c r="TJ11" s="70" t="s">
        <v>669</v>
      </c>
      <c r="TK11" s="24">
        <v>38</v>
      </c>
      <c r="TM11" s="141" t="s">
        <v>33</v>
      </c>
      <c r="TN11" s="2"/>
      <c r="TO11" s="20">
        <v>4</v>
      </c>
      <c r="TP11" s="19">
        <v>923.5</v>
      </c>
      <c r="TQ11" s="17">
        <v>43464</v>
      </c>
      <c r="TR11" s="19">
        <v>923.5</v>
      </c>
      <c r="TS11" s="70" t="s">
        <v>670</v>
      </c>
      <c r="TT11" s="24">
        <v>38</v>
      </c>
      <c r="TV11" s="141" t="s">
        <v>33</v>
      </c>
      <c r="TW11" s="2"/>
      <c r="TX11" s="20">
        <v>4</v>
      </c>
      <c r="TY11" s="19"/>
      <c r="TZ11" s="17"/>
      <c r="UA11" s="19"/>
      <c r="UB11" s="70"/>
      <c r="UC11" s="24"/>
      <c r="UE11" s="141" t="s">
        <v>33</v>
      </c>
      <c r="UF11" s="2"/>
      <c r="UG11" s="20">
        <v>4</v>
      </c>
      <c r="UH11" s="19"/>
      <c r="UI11" s="17"/>
      <c r="UJ11" s="19"/>
      <c r="UK11" s="70"/>
      <c r="UL11" s="24"/>
      <c r="UN11" s="141" t="s">
        <v>33</v>
      </c>
      <c r="UO11" s="2"/>
      <c r="UP11" s="20">
        <v>4</v>
      </c>
      <c r="UQ11" s="19"/>
      <c r="UR11" s="17"/>
      <c r="US11" s="19"/>
      <c r="UT11" s="70"/>
      <c r="UU11" s="24"/>
      <c r="UW11" s="141" t="s">
        <v>33</v>
      </c>
      <c r="UX11" s="2"/>
      <c r="UY11" s="20">
        <v>4</v>
      </c>
      <c r="UZ11" s="19"/>
      <c r="VA11" s="17"/>
      <c r="VB11" s="19"/>
      <c r="VC11" s="70"/>
      <c r="VD11" s="24"/>
      <c r="VF11" s="141" t="s">
        <v>33</v>
      </c>
      <c r="VG11" s="2"/>
      <c r="VH11" s="20">
        <v>4</v>
      </c>
      <c r="VI11" s="19"/>
      <c r="VJ11" s="17"/>
      <c r="VK11" s="19"/>
      <c r="VL11" s="70"/>
      <c r="VM11" s="24"/>
      <c r="VO11" s="141" t="s">
        <v>33</v>
      </c>
      <c r="VP11" s="2"/>
      <c r="VQ11" s="20">
        <v>4</v>
      </c>
      <c r="VR11" s="19"/>
      <c r="VS11" s="17"/>
      <c r="VT11" s="19"/>
      <c r="VU11" s="70"/>
      <c r="VV11" s="24"/>
      <c r="VX11" s="141" t="s">
        <v>33</v>
      </c>
      <c r="VY11" s="2"/>
      <c r="VZ11" s="20">
        <v>4</v>
      </c>
      <c r="WA11" s="19"/>
      <c r="WB11" s="17"/>
      <c r="WC11" s="19"/>
      <c r="WD11" s="70"/>
      <c r="WE11" s="24"/>
      <c r="WG11" s="141" t="s">
        <v>33</v>
      </c>
      <c r="WH11" s="2"/>
      <c r="WI11" s="20">
        <v>4</v>
      </c>
      <c r="WJ11" s="19"/>
      <c r="WK11" s="17"/>
      <c r="WL11" s="19"/>
      <c r="WM11" s="70"/>
      <c r="WN11" s="24"/>
      <c r="WP11" s="141" t="s">
        <v>33</v>
      </c>
      <c r="WQ11" s="2"/>
      <c r="WR11" s="20">
        <v>4</v>
      </c>
      <c r="WS11" s="19"/>
      <c r="WT11" s="17"/>
      <c r="WU11" s="19"/>
      <c r="WV11" s="70"/>
      <c r="WW11" s="24"/>
      <c r="WY11" s="141" t="s">
        <v>33</v>
      </c>
      <c r="WZ11" s="2"/>
      <c r="XA11" s="20">
        <v>4</v>
      </c>
      <c r="XB11" s="19"/>
      <c r="XC11" s="17"/>
      <c r="XD11" s="19"/>
      <c r="XE11" s="70"/>
      <c r="XF11" s="24"/>
      <c r="XH11" s="141" t="s">
        <v>33</v>
      </c>
      <c r="XI11" s="2"/>
      <c r="XJ11" s="20">
        <v>4</v>
      </c>
      <c r="XK11" s="19"/>
      <c r="XL11" s="17"/>
      <c r="XM11" s="19"/>
      <c r="XN11" s="70"/>
      <c r="XO11" s="24"/>
      <c r="XQ11" s="141" t="s">
        <v>33</v>
      </c>
      <c r="XR11" s="2"/>
      <c r="XS11" s="20">
        <v>4</v>
      </c>
      <c r="XT11" s="19"/>
      <c r="XU11" s="17"/>
      <c r="XV11" s="19"/>
      <c r="XW11" s="70"/>
      <c r="XX11" s="24"/>
      <c r="XZ11" s="141" t="s">
        <v>33</v>
      </c>
      <c r="YA11" s="2"/>
      <c r="YB11" s="20">
        <v>4</v>
      </c>
      <c r="YC11" s="19"/>
      <c r="YD11" s="17"/>
      <c r="YE11" s="19"/>
      <c r="YF11" s="70"/>
      <c r="YG11" s="24"/>
      <c r="YI11" s="141" t="s">
        <v>33</v>
      </c>
      <c r="YJ11" s="2" t="s">
        <v>60</v>
      </c>
      <c r="YK11" s="20">
        <v>4</v>
      </c>
      <c r="YL11" s="19"/>
      <c r="YM11" s="17"/>
      <c r="YN11" s="19"/>
      <c r="YO11" s="70"/>
      <c r="YP11" s="24"/>
      <c r="YR11" s="141" t="s">
        <v>33</v>
      </c>
      <c r="YS11" s="2"/>
      <c r="YT11" s="20">
        <v>4</v>
      </c>
      <c r="YU11" s="19"/>
      <c r="YV11" s="17"/>
      <c r="YW11" s="19"/>
      <c r="YX11" s="70"/>
      <c r="YY11" s="24"/>
      <c r="ZA11" s="141" t="s">
        <v>33</v>
      </c>
      <c r="ZB11" s="2"/>
      <c r="ZC11" s="20">
        <v>4</v>
      </c>
      <c r="ZD11" s="19"/>
      <c r="ZE11" s="17"/>
      <c r="ZF11" s="19"/>
      <c r="ZG11" s="70"/>
      <c r="ZH11" s="24"/>
      <c r="ZJ11" s="141" t="s">
        <v>33</v>
      </c>
      <c r="ZK11" s="2"/>
      <c r="ZL11" s="20">
        <v>4</v>
      </c>
      <c r="ZM11" s="19"/>
      <c r="ZN11" s="17"/>
      <c r="ZO11" s="19"/>
      <c r="ZP11" s="70"/>
      <c r="ZQ11" s="24"/>
      <c r="ZS11" s="141" t="s">
        <v>33</v>
      </c>
      <c r="ZT11" s="2"/>
      <c r="ZU11" s="20">
        <v>4</v>
      </c>
      <c r="ZV11" s="19"/>
      <c r="ZW11" s="17"/>
      <c r="ZX11" s="19"/>
      <c r="ZY11" s="70"/>
      <c r="ZZ11" s="24"/>
      <c r="AAB11" s="141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1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1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1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1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1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1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1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1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IDEAL TRADING</v>
      </c>
      <c r="C12" s="16" t="str">
        <f t="shared" si="8"/>
        <v xml:space="preserve">I B P </v>
      </c>
      <c r="D12" s="72" t="str">
        <f t="shared" si="8"/>
        <v>PED. 31814625</v>
      </c>
      <c r="E12" s="155">
        <f t="shared" si="8"/>
        <v>43439</v>
      </c>
      <c r="F12" s="74">
        <f t="shared" si="8"/>
        <v>19006.400000000001</v>
      </c>
      <c r="G12" s="15">
        <f t="shared" si="8"/>
        <v>20</v>
      </c>
      <c r="H12" s="64">
        <f t="shared" si="8"/>
        <v>19116.080000000002</v>
      </c>
      <c r="I12" s="18">
        <f t="shared" si="8"/>
        <v>-109.68000000000029</v>
      </c>
      <c r="K12" s="129"/>
      <c r="L12" s="121"/>
      <c r="M12" s="20">
        <v>5</v>
      </c>
      <c r="N12" s="190">
        <v>914.4</v>
      </c>
      <c r="O12" s="105">
        <v>43435</v>
      </c>
      <c r="P12" s="190">
        <v>914.4</v>
      </c>
      <c r="Q12" s="124" t="s">
        <v>471</v>
      </c>
      <c r="R12" s="103">
        <v>37</v>
      </c>
      <c r="S12" s="16"/>
      <c r="T12" s="129"/>
      <c r="U12" s="121"/>
      <c r="V12" s="20">
        <v>5</v>
      </c>
      <c r="W12" s="190">
        <v>885.4</v>
      </c>
      <c r="X12" s="17">
        <v>43435</v>
      </c>
      <c r="Y12" s="190">
        <v>885.4</v>
      </c>
      <c r="Z12" s="70" t="s">
        <v>473</v>
      </c>
      <c r="AA12" s="24">
        <v>37</v>
      </c>
      <c r="AB12" s="16"/>
      <c r="AC12" s="129"/>
      <c r="AD12" s="121"/>
      <c r="AE12" s="20">
        <v>5</v>
      </c>
      <c r="AF12" s="190">
        <v>975.96</v>
      </c>
      <c r="AG12" s="17">
        <v>43436</v>
      </c>
      <c r="AH12" s="190">
        <v>975.96</v>
      </c>
      <c r="AI12" s="70" t="s">
        <v>481</v>
      </c>
      <c r="AJ12" s="24">
        <v>37</v>
      </c>
      <c r="AK12" s="16"/>
      <c r="AL12" s="129"/>
      <c r="AM12" s="121"/>
      <c r="AN12" s="20">
        <v>5</v>
      </c>
      <c r="AO12" s="19">
        <v>964.17</v>
      </c>
      <c r="AP12" s="17">
        <v>43441</v>
      </c>
      <c r="AQ12" s="19">
        <v>964.17</v>
      </c>
      <c r="AR12" s="70" t="s">
        <v>478</v>
      </c>
      <c r="AS12" s="24">
        <v>38</v>
      </c>
      <c r="AT12" s="16"/>
      <c r="AU12" s="129"/>
      <c r="AV12" s="121"/>
      <c r="AW12" s="20">
        <v>5</v>
      </c>
      <c r="AX12" s="19">
        <v>913.1</v>
      </c>
      <c r="AY12" s="105">
        <v>43441</v>
      </c>
      <c r="AZ12" s="19">
        <v>913.1</v>
      </c>
      <c r="BA12" s="124" t="s">
        <v>519</v>
      </c>
      <c r="BB12" s="414">
        <v>38</v>
      </c>
      <c r="BC12" s="16"/>
      <c r="BD12" s="129"/>
      <c r="BE12" s="121"/>
      <c r="BF12" s="20">
        <v>5</v>
      </c>
      <c r="BG12" s="19">
        <v>878.2</v>
      </c>
      <c r="BH12" s="400">
        <v>43441</v>
      </c>
      <c r="BI12" s="19">
        <v>878.2</v>
      </c>
      <c r="BJ12" s="402" t="s">
        <v>511</v>
      </c>
      <c r="BK12" s="403">
        <v>38</v>
      </c>
      <c r="BL12" s="16"/>
      <c r="BM12" s="129"/>
      <c r="BN12" s="121"/>
      <c r="BO12" s="20">
        <v>5</v>
      </c>
      <c r="BP12" s="19">
        <v>881</v>
      </c>
      <c r="BQ12" s="400">
        <v>43439</v>
      </c>
      <c r="BR12" s="19">
        <v>881</v>
      </c>
      <c r="BS12" s="402" t="s">
        <v>502</v>
      </c>
      <c r="BT12" s="403">
        <v>37</v>
      </c>
      <c r="BU12" s="16"/>
      <c r="BV12" s="129"/>
      <c r="BW12" s="121"/>
      <c r="BX12" s="20">
        <v>5</v>
      </c>
      <c r="BY12" s="19">
        <v>900.5</v>
      </c>
      <c r="BZ12" s="400">
        <v>43438</v>
      </c>
      <c r="CA12" s="19">
        <v>900.5</v>
      </c>
      <c r="CB12" s="402" t="s">
        <v>475</v>
      </c>
      <c r="CC12" s="403">
        <v>37</v>
      </c>
      <c r="CD12" s="16"/>
      <c r="CE12" s="129"/>
      <c r="CF12" s="121"/>
      <c r="CG12" s="20">
        <v>5</v>
      </c>
      <c r="CH12" s="19">
        <v>968.41</v>
      </c>
      <c r="CI12" s="17">
        <v>43439</v>
      </c>
      <c r="CJ12" s="19">
        <v>968.41</v>
      </c>
      <c r="CK12" s="70" t="s">
        <v>487</v>
      </c>
      <c r="CL12" s="24">
        <v>37</v>
      </c>
      <c r="CM12" s="16"/>
      <c r="CN12" s="129"/>
      <c r="CO12" s="121"/>
      <c r="CP12" s="20">
        <v>5</v>
      </c>
      <c r="CQ12" s="19">
        <v>906.27</v>
      </c>
      <c r="CR12" s="17">
        <v>43439</v>
      </c>
      <c r="CS12" s="19">
        <v>906.27</v>
      </c>
      <c r="CT12" s="70" t="s">
        <v>495</v>
      </c>
      <c r="CU12" s="24">
        <v>37</v>
      </c>
      <c r="CV12" s="16"/>
      <c r="CW12" s="129"/>
      <c r="CX12" s="121"/>
      <c r="CY12" s="20">
        <v>5</v>
      </c>
      <c r="CZ12" s="19">
        <v>939.68</v>
      </c>
      <c r="DA12" s="400">
        <v>43440</v>
      </c>
      <c r="DB12" s="19">
        <v>939.68</v>
      </c>
      <c r="DC12" s="402" t="s">
        <v>477</v>
      </c>
      <c r="DD12" s="403">
        <v>37</v>
      </c>
      <c r="DE12" s="16"/>
      <c r="DF12" s="129"/>
      <c r="DG12" s="121"/>
      <c r="DH12" s="20">
        <v>5</v>
      </c>
      <c r="DI12" s="19">
        <v>908.99</v>
      </c>
      <c r="DJ12" s="400">
        <v>43440</v>
      </c>
      <c r="DK12" s="19">
        <v>908.99</v>
      </c>
      <c r="DL12" s="402" t="s">
        <v>464</v>
      </c>
      <c r="DM12" s="403">
        <v>37</v>
      </c>
      <c r="DN12" s="16"/>
      <c r="DO12" s="129"/>
      <c r="DP12" s="121"/>
      <c r="DQ12" s="20">
        <v>5</v>
      </c>
      <c r="DR12" s="30">
        <v>972.79</v>
      </c>
      <c r="DS12" s="58">
        <v>43442</v>
      </c>
      <c r="DT12" s="30">
        <v>972.79</v>
      </c>
      <c r="DU12" s="76" t="s">
        <v>497</v>
      </c>
      <c r="DV12" s="24">
        <v>40</v>
      </c>
      <c r="DW12" s="16"/>
      <c r="DX12" s="129"/>
      <c r="DY12" s="121"/>
      <c r="DZ12" s="20">
        <v>5</v>
      </c>
      <c r="EA12" s="30">
        <v>940.7</v>
      </c>
      <c r="EB12" s="58">
        <v>43444</v>
      </c>
      <c r="EC12" s="30">
        <v>940.7</v>
      </c>
      <c r="ED12" s="76" t="s">
        <v>513</v>
      </c>
      <c r="EE12" s="24">
        <v>42</v>
      </c>
      <c r="EF12" s="16"/>
      <c r="EG12" s="129"/>
      <c r="EH12" s="121"/>
      <c r="EI12" s="20">
        <v>5</v>
      </c>
      <c r="EJ12" s="19">
        <v>917.6</v>
      </c>
      <c r="EK12" s="17">
        <v>43442</v>
      </c>
      <c r="EL12" s="19">
        <v>917.6</v>
      </c>
      <c r="EM12" s="43" t="s">
        <v>524</v>
      </c>
      <c r="EN12" s="24">
        <v>40</v>
      </c>
      <c r="EO12" s="16"/>
      <c r="EP12" s="129"/>
      <c r="EQ12" s="121"/>
      <c r="ER12" s="20">
        <v>5</v>
      </c>
      <c r="ES12" s="19">
        <v>970.98</v>
      </c>
      <c r="ET12" s="17">
        <v>43446</v>
      </c>
      <c r="EU12" s="19">
        <v>970.98</v>
      </c>
      <c r="EV12" s="43" t="s">
        <v>532</v>
      </c>
      <c r="EW12" s="24">
        <v>42</v>
      </c>
      <c r="EX12" s="16"/>
      <c r="EY12" s="129"/>
      <c r="EZ12" s="121"/>
      <c r="FA12" s="20">
        <v>5</v>
      </c>
      <c r="FB12" s="167">
        <v>955.1</v>
      </c>
      <c r="FC12" s="150">
        <v>43445</v>
      </c>
      <c r="FD12" s="167">
        <v>955.1</v>
      </c>
      <c r="FE12" s="110" t="s">
        <v>527</v>
      </c>
      <c r="FF12" s="111">
        <v>42</v>
      </c>
      <c r="FG12" s="16"/>
      <c r="FH12" s="129"/>
      <c r="FI12" s="121"/>
      <c r="FJ12" s="20">
        <v>5</v>
      </c>
      <c r="FK12" s="30">
        <v>862.5</v>
      </c>
      <c r="FL12" s="58">
        <v>43445</v>
      </c>
      <c r="FM12" s="30">
        <v>862.5</v>
      </c>
      <c r="FN12" s="76" t="s">
        <v>505</v>
      </c>
      <c r="FO12" s="24">
        <v>42</v>
      </c>
      <c r="FP12" s="16"/>
      <c r="FQ12" s="129"/>
      <c r="FR12" s="121"/>
      <c r="FS12" s="20">
        <v>5</v>
      </c>
      <c r="FT12" s="19">
        <v>964.79</v>
      </c>
      <c r="FU12" s="150">
        <v>43445</v>
      </c>
      <c r="FV12" s="19">
        <v>964.79</v>
      </c>
      <c r="FW12" s="270" t="s">
        <v>467</v>
      </c>
      <c r="FX12" s="111">
        <v>42</v>
      </c>
      <c r="FY12" s="16"/>
      <c r="FZ12" s="129"/>
      <c r="GA12" s="121"/>
      <c r="GB12" s="20">
        <v>5</v>
      </c>
      <c r="GC12" s="19">
        <v>924.26</v>
      </c>
      <c r="GD12" s="17">
        <v>43446</v>
      </c>
      <c r="GE12" s="19">
        <v>924.26</v>
      </c>
      <c r="GF12" s="70" t="s">
        <v>531</v>
      </c>
      <c r="GG12" s="24">
        <v>42</v>
      </c>
      <c r="GH12" s="16"/>
      <c r="GI12" s="129"/>
      <c r="GJ12" s="121"/>
      <c r="GK12" s="20">
        <v>5</v>
      </c>
      <c r="GL12" s="19">
        <v>941.04</v>
      </c>
      <c r="GM12" s="17">
        <v>43447</v>
      </c>
      <c r="GN12" s="19">
        <v>941.04</v>
      </c>
      <c r="GO12" s="70" t="s">
        <v>540</v>
      </c>
      <c r="GP12" s="24">
        <v>42</v>
      </c>
      <c r="GQ12" s="16"/>
      <c r="GR12" s="129"/>
      <c r="GS12" s="121"/>
      <c r="GT12" s="20">
        <v>5</v>
      </c>
      <c r="GU12" s="19">
        <v>936.7</v>
      </c>
      <c r="GV12" s="17">
        <v>43448</v>
      </c>
      <c r="GW12" s="19">
        <v>936.7</v>
      </c>
      <c r="GX12" s="311" t="s">
        <v>541</v>
      </c>
      <c r="GY12" s="24">
        <v>42</v>
      </c>
      <c r="GZ12" s="16"/>
      <c r="HA12" s="129"/>
      <c r="HB12" s="121"/>
      <c r="HC12" s="20">
        <v>5</v>
      </c>
      <c r="HD12" s="30">
        <v>877.7</v>
      </c>
      <c r="HE12" s="58">
        <v>43448</v>
      </c>
      <c r="HF12" s="30">
        <v>877.7</v>
      </c>
      <c r="HG12" s="76" t="s">
        <v>542</v>
      </c>
      <c r="HH12" s="24">
        <v>42</v>
      </c>
      <c r="HI12" s="16"/>
      <c r="HJ12" s="129"/>
      <c r="HK12" s="121"/>
      <c r="HL12" s="20">
        <v>5</v>
      </c>
      <c r="HM12" s="416">
        <v>907.48</v>
      </c>
      <c r="HN12" s="17">
        <v>43449</v>
      </c>
      <c r="HO12" s="416">
        <v>907.48</v>
      </c>
      <c r="HP12" s="593" t="s">
        <v>549</v>
      </c>
      <c r="HQ12" s="24">
        <v>42</v>
      </c>
      <c r="HR12" s="416"/>
      <c r="HS12" s="30"/>
      <c r="HT12" s="121"/>
      <c r="HU12" s="20">
        <v>5</v>
      </c>
      <c r="HV12" s="416">
        <v>939.23</v>
      </c>
      <c r="HW12" s="58">
        <v>43448</v>
      </c>
      <c r="HX12" s="416">
        <v>939.23</v>
      </c>
      <c r="HY12" s="76" t="s">
        <v>545</v>
      </c>
      <c r="HZ12" s="24">
        <v>42</v>
      </c>
      <c r="IA12" s="30"/>
      <c r="IB12" s="129"/>
      <c r="IC12" s="121"/>
      <c r="ID12" s="20">
        <v>5</v>
      </c>
      <c r="IE12" s="19">
        <v>895.4</v>
      </c>
      <c r="IF12" s="17">
        <v>43449</v>
      </c>
      <c r="IG12" s="19">
        <v>895.4</v>
      </c>
      <c r="IH12" s="43" t="s">
        <v>552</v>
      </c>
      <c r="II12" s="24">
        <v>42</v>
      </c>
      <c r="IJ12" s="16"/>
      <c r="IK12" s="129"/>
      <c r="IL12" s="121"/>
      <c r="IM12" s="20">
        <v>5</v>
      </c>
      <c r="IN12" s="30">
        <v>958.28</v>
      </c>
      <c r="IO12" s="626">
        <v>43450</v>
      </c>
      <c r="IP12" s="30">
        <v>958.28</v>
      </c>
      <c r="IQ12" s="76" t="s">
        <v>559</v>
      </c>
      <c r="IR12" s="24">
        <v>42</v>
      </c>
      <c r="IS12" s="16"/>
      <c r="IT12" s="129"/>
      <c r="IU12" s="121"/>
      <c r="IV12" s="20">
        <v>5</v>
      </c>
      <c r="IW12" s="19">
        <v>889</v>
      </c>
      <c r="IX12" s="17">
        <v>43451</v>
      </c>
      <c r="IY12" s="19">
        <v>889</v>
      </c>
      <c r="IZ12" s="70" t="s">
        <v>569</v>
      </c>
      <c r="JA12" s="24">
        <v>42</v>
      </c>
      <c r="JB12" s="16"/>
      <c r="JC12" s="129"/>
      <c r="JD12" s="121"/>
      <c r="JE12" s="20">
        <v>5</v>
      </c>
      <c r="JF12" s="19">
        <v>896.3</v>
      </c>
      <c r="JG12" s="17">
        <v>43451</v>
      </c>
      <c r="JH12" s="19">
        <v>896.3</v>
      </c>
      <c r="JI12" s="70" t="s">
        <v>567</v>
      </c>
      <c r="JJ12" s="24">
        <v>42</v>
      </c>
      <c r="JK12" s="16"/>
      <c r="JL12" s="129"/>
      <c r="JM12" s="121"/>
      <c r="JN12" s="20">
        <v>5</v>
      </c>
      <c r="JO12" s="19">
        <v>974.15</v>
      </c>
      <c r="JP12" s="17">
        <v>43452</v>
      </c>
      <c r="JQ12" s="19">
        <v>974.15</v>
      </c>
      <c r="JR12" s="70" t="s">
        <v>578</v>
      </c>
      <c r="JS12" s="24">
        <v>42</v>
      </c>
      <c r="JT12" s="16"/>
      <c r="JU12" s="129"/>
      <c r="JV12" s="121"/>
      <c r="JW12" s="20">
        <v>5</v>
      </c>
      <c r="JX12" s="19">
        <v>925.78</v>
      </c>
      <c r="JY12" s="17">
        <v>43453</v>
      </c>
      <c r="JZ12" s="19">
        <v>925.78</v>
      </c>
      <c r="KA12" s="70" t="s">
        <v>585</v>
      </c>
      <c r="KB12" s="24">
        <v>42</v>
      </c>
      <c r="KC12" s="16"/>
      <c r="KD12" s="129"/>
      <c r="KE12" s="121"/>
      <c r="KF12" s="20">
        <v>5</v>
      </c>
      <c r="KG12" s="19">
        <v>903.5</v>
      </c>
      <c r="KH12" s="17">
        <v>43452</v>
      </c>
      <c r="KI12" s="19">
        <v>903.5</v>
      </c>
      <c r="KJ12" s="70" t="s">
        <v>580</v>
      </c>
      <c r="KK12" s="24">
        <v>42</v>
      </c>
      <c r="KL12" s="16"/>
      <c r="KM12" s="129"/>
      <c r="KN12" s="121"/>
      <c r="KO12" s="20">
        <v>5</v>
      </c>
      <c r="KP12" s="190">
        <v>957.5</v>
      </c>
      <c r="KQ12" s="105">
        <v>43453</v>
      </c>
      <c r="KR12" s="190">
        <v>957.5</v>
      </c>
      <c r="KS12" s="124" t="s">
        <v>583</v>
      </c>
      <c r="KT12" s="103">
        <v>42</v>
      </c>
      <c r="KU12" s="16"/>
      <c r="KV12" s="129"/>
      <c r="KW12" s="121"/>
      <c r="KX12" s="20">
        <v>5</v>
      </c>
      <c r="KY12" s="190">
        <v>916.55</v>
      </c>
      <c r="KZ12" s="17">
        <v>43453</v>
      </c>
      <c r="LA12" s="190">
        <v>916.55</v>
      </c>
      <c r="LB12" s="70" t="s">
        <v>586</v>
      </c>
      <c r="LC12" s="24">
        <v>42</v>
      </c>
      <c r="LD12" s="16"/>
      <c r="LE12" s="129"/>
      <c r="LF12" s="121"/>
      <c r="LG12" s="20">
        <v>5</v>
      </c>
      <c r="LH12" s="19">
        <v>915.65</v>
      </c>
      <c r="LI12" s="17">
        <v>43454</v>
      </c>
      <c r="LJ12" s="19">
        <v>915.65</v>
      </c>
      <c r="LK12" s="70" t="s">
        <v>595</v>
      </c>
      <c r="LL12" s="24">
        <v>42</v>
      </c>
      <c r="LM12" s="16"/>
      <c r="LN12" s="129"/>
      <c r="LO12" s="121"/>
      <c r="LP12" s="20">
        <v>5</v>
      </c>
      <c r="LQ12" s="190">
        <v>946.49</v>
      </c>
      <c r="LR12" s="17">
        <v>43455</v>
      </c>
      <c r="LS12" s="190">
        <v>946.49</v>
      </c>
      <c r="LT12" s="70" t="s">
        <v>601</v>
      </c>
      <c r="LU12" s="24">
        <v>42</v>
      </c>
      <c r="LV12" s="16"/>
      <c r="LW12" s="129"/>
      <c r="LX12" s="121"/>
      <c r="LY12" s="20">
        <v>5</v>
      </c>
      <c r="LZ12" s="19">
        <v>939.8</v>
      </c>
      <c r="MA12" s="17">
        <v>43455</v>
      </c>
      <c r="MB12" s="19">
        <v>939.8</v>
      </c>
      <c r="MC12" s="70" t="s">
        <v>605</v>
      </c>
      <c r="MD12" s="24">
        <v>42</v>
      </c>
      <c r="ME12" s="16"/>
      <c r="MF12" s="129"/>
      <c r="MG12" s="121"/>
      <c r="MH12" s="20">
        <v>5</v>
      </c>
      <c r="MI12" s="167">
        <v>904</v>
      </c>
      <c r="MJ12" s="150">
        <v>43455</v>
      </c>
      <c r="MK12" s="167">
        <v>904</v>
      </c>
      <c r="ML12" s="270" t="s">
        <v>609</v>
      </c>
      <c r="MM12" s="111">
        <v>42</v>
      </c>
      <c r="MN12" s="16"/>
      <c r="MO12" s="129"/>
      <c r="MP12" s="121"/>
      <c r="MQ12" s="20">
        <v>5</v>
      </c>
      <c r="MR12" s="19">
        <v>937.41</v>
      </c>
      <c r="MS12" s="17">
        <v>43457</v>
      </c>
      <c r="MT12" s="19">
        <v>937.41</v>
      </c>
      <c r="MU12" s="70" t="s">
        <v>626</v>
      </c>
      <c r="MV12" s="24">
        <v>42</v>
      </c>
      <c r="MW12" s="16"/>
      <c r="MX12" s="129"/>
      <c r="MY12" s="121"/>
      <c r="MZ12" s="20">
        <v>5</v>
      </c>
      <c r="NA12" s="19">
        <v>882.2</v>
      </c>
      <c r="NB12" s="17">
        <v>43460</v>
      </c>
      <c r="NC12" s="19">
        <v>882.2</v>
      </c>
      <c r="ND12" s="70" t="s">
        <v>634</v>
      </c>
      <c r="NE12" s="24">
        <v>42</v>
      </c>
      <c r="NF12" s="16"/>
      <c r="NG12" s="129"/>
      <c r="NH12" s="121"/>
      <c r="NI12" s="20">
        <v>5</v>
      </c>
      <c r="NJ12" s="19">
        <v>902.2</v>
      </c>
      <c r="NK12" s="17">
        <v>43456</v>
      </c>
      <c r="NL12" s="19">
        <v>902.2</v>
      </c>
      <c r="NM12" s="70" t="s">
        <v>613</v>
      </c>
      <c r="NN12" s="24">
        <v>42</v>
      </c>
      <c r="NO12" s="16"/>
      <c r="NP12" s="129"/>
      <c r="NQ12" s="171"/>
      <c r="NR12" s="20">
        <v>5</v>
      </c>
      <c r="NS12" s="19">
        <v>923.1</v>
      </c>
      <c r="NT12" s="17">
        <v>43456</v>
      </c>
      <c r="NU12" s="19">
        <v>923.1</v>
      </c>
      <c r="NV12" s="70" t="s">
        <v>615</v>
      </c>
      <c r="NW12" s="24">
        <v>42</v>
      </c>
      <c r="NX12" s="16"/>
      <c r="NY12" s="129"/>
      <c r="NZ12" s="121"/>
      <c r="OA12" s="20">
        <v>5</v>
      </c>
      <c r="OB12" s="19">
        <v>954.2</v>
      </c>
      <c r="OC12" s="105">
        <v>43456</v>
      </c>
      <c r="OD12" s="19">
        <v>954.2</v>
      </c>
      <c r="OE12" s="124" t="s">
        <v>621</v>
      </c>
      <c r="OF12" s="103">
        <v>42</v>
      </c>
      <c r="OG12" s="16"/>
      <c r="OH12" s="129"/>
      <c r="OI12" s="121"/>
      <c r="OJ12" s="20">
        <v>5</v>
      </c>
      <c r="OK12" s="19">
        <v>868.6</v>
      </c>
      <c r="OL12" s="17">
        <v>43456</v>
      </c>
      <c r="OM12" s="19">
        <v>868.6</v>
      </c>
      <c r="ON12" s="70" t="s">
        <v>617</v>
      </c>
      <c r="OO12" s="482">
        <v>42</v>
      </c>
      <c r="OP12" s="16"/>
      <c r="OQ12" s="129"/>
      <c r="OR12" s="121"/>
      <c r="OS12" s="20">
        <v>5</v>
      </c>
      <c r="OT12" s="19">
        <v>889</v>
      </c>
      <c r="OU12" s="17">
        <v>43457</v>
      </c>
      <c r="OV12" s="19">
        <v>889</v>
      </c>
      <c r="OW12" s="70" t="s">
        <v>625</v>
      </c>
      <c r="OX12" s="24">
        <v>42</v>
      </c>
      <c r="OY12" s="16"/>
      <c r="OZ12" s="129"/>
      <c r="PA12" s="121"/>
      <c r="PB12" s="20">
        <v>5</v>
      </c>
      <c r="PC12" s="19">
        <v>936.51</v>
      </c>
      <c r="PD12" s="17">
        <v>43458</v>
      </c>
      <c r="PE12" s="19">
        <v>936.51</v>
      </c>
      <c r="PF12" s="70" t="s">
        <v>632</v>
      </c>
      <c r="PG12" s="24">
        <v>42</v>
      </c>
      <c r="PH12" s="16"/>
      <c r="PI12" s="129"/>
      <c r="PJ12" s="121"/>
      <c r="PK12" s="20">
        <v>5</v>
      </c>
      <c r="PL12" s="19">
        <v>902</v>
      </c>
      <c r="PM12" s="17">
        <v>43461</v>
      </c>
      <c r="PN12" s="19">
        <v>902</v>
      </c>
      <c r="PO12" s="70" t="s">
        <v>642</v>
      </c>
      <c r="PP12" s="24">
        <v>38</v>
      </c>
      <c r="PQ12" s="16"/>
      <c r="PR12" s="129"/>
      <c r="PS12" s="121"/>
      <c r="PT12" s="20">
        <v>5</v>
      </c>
      <c r="PU12" s="19">
        <v>918.97</v>
      </c>
      <c r="PV12" s="17">
        <v>43462</v>
      </c>
      <c r="PW12" s="19">
        <v>918.07</v>
      </c>
      <c r="PX12" s="270" t="s">
        <v>660</v>
      </c>
      <c r="PY12" s="24">
        <v>38</v>
      </c>
      <c r="PZ12" s="16"/>
      <c r="QA12" s="129"/>
      <c r="QB12" s="121"/>
      <c r="QC12" s="20">
        <v>5</v>
      </c>
      <c r="QD12" s="19">
        <v>917.61</v>
      </c>
      <c r="QE12" s="105">
        <v>43462</v>
      </c>
      <c r="QF12" s="19">
        <v>917.61</v>
      </c>
      <c r="QG12" s="124" t="s">
        <v>657</v>
      </c>
      <c r="QH12" s="24">
        <v>38</v>
      </c>
      <c r="QI12" s="16"/>
      <c r="QJ12" s="141"/>
      <c r="QK12" s="121"/>
      <c r="QL12" s="20">
        <v>5</v>
      </c>
      <c r="QM12" s="19">
        <v>870.4</v>
      </c>
      <c r="QN12" s="17">
        <v>43461</v>
      </c>
      <c r="QO12" s="19">
        <v>870.4</v>
      </c>
      <c r="QP12" s="70" t="s">
        <v>645</v>
      </c>
      <c r="QQ12" s="24">
        <v>38</v>
      </c>
      <c r="QR12" s="16"/>
      <c r="QS12" s="141"/>
      <c r="QT12" s="121"/>
      <c r="QU12" s="20">
        <v>5</v>
      </c>
      <c r="QV12" s="19">
        <v>939.84</v>
      </c>
      <c r="QW12" s="17">
        <v>43461</v>
      </c>
      <c r="QX12" s="19">
        <v>939.84</v>
      </c>
      <c r="QY12" s="70" t="s">
        <v>649</v>
      </c>
      <c r="QZ12" s="24">
        <v>38</v>
      </c>
      <c r="RA12" s="16"/>
      <c r="RB12" s="141"/>
      <c r="RC12" s="121"/>
      <c r="RD12" s="20"/>
      <c r="RE12" s="19"/>
      <c r="RF12" s="17"/>
      <c r="RG12" s="19"/>
      <c r="RH12" s="70"/>
      <c r="RI12" s="24"/>
      <c r="RJ12" s="16"/>
      <c r="RK12" s="141"/>
      <c r="RL12" s="121"/>
      <c r="RM12" s="20">
        <v>5</v>
      </c>
      <c r="RN12" s="19">
        <v>910.2</v>
      </c>
      <c r="RO12" s="400">
        <v>43462</v>
      </c>
      <c r="RP12" s="401">
        <v>910.2</v>
      </c>
      <c r="RQ12" s="402" t="s">
        <v>662</v>
      </c>
      <c r="RR12" s="403">
        <v>38</v>
      </c>
      <c r="RS12" s="16"/>
      <c r="RT12" s="141"/>
      <c r="RU12" s="121"/>
      <c r="RV12" s="20">
        <v>5</v>
      </c>
      <c r="RW12" s="19"/>
      <c r="RX12" s="17"/>
      <c r="RY12" s="19"/>
      <c r="RZ12" s="70"/>
      <c r="SA12" s="24"/>
      <c r="SB12" s="16"/>
      <c r="SC12" s="141" t="s">
        <v>33</v>
      </c>
      <c r="SD12" s="121"/>
      <c r="SE12" s="20">
        <v>5</v>
      </c>
      <c r="SF12" s="19">
        <v>941.04</v>
      </c>
      <c r="SG12" s="17">
        <v>43463</v>
      </c>
      <c r="SH12" s="19">
        <v>941.04</v>
      </c>
      <c r="SI12" s="70" t="s">
        <v>654</v>
      </c>
      <c r="SJ12" s="24">
        <v>38</v>
      </c>
      <c r="SK12" s="16"/>
      <c r="SL12" s="141"/>
      <c r="SM12" s="121"/>
      <c r="SN12" s="20">
        <v>5</v>
      </c>
      <c r="SO12" s="19">
        <v>822.83</v>
      </c>
      <c r="SP12" s="17">
        <v>43463</v>
      </c>
      <c r="SQ12" s="19">
        <v>822.83</v>
      </c>
      <c r="SR12" s="70" t="s">
        <v>664</v>
      </c>
      <c r="SS12" s="24">
        <v>38</v>
      </c>
      <c r="ST12" s="16"/>
      <c r="SU12" s="141" t="s">
        <v>33</v>
      </c>
      <c r="SV12" s="121"/>
      <c r="SW12" s="20">
        <v>5</v>
      </c>
      <c r="SX12" s="19">
        <v>909</v>
      </c>
      <c r="SY12" s="17">
        <v>43463</v>
      </c>
      <c r="SZ12" s="19">
        <v>909</v>
      </c>
      <c r="TA12" s="70" t="s">
        <v>665</v>
      </c>
      <c r="TB12" s="24">
        <v>38</v>
      </c>
      <c r="TC12" s="16"/>
      <c r="TD12" s="141" t="s">
        <v>33</v>
      </c>
      <c r="TE12" s="121"/>
      <c r="TF12" s="20">
        <v>5</v>
      </c>
      <c r="TG12" s="19">
        <v>967.35</v>
      </c>
      <c r="TH12" s="17">
        <v>43464</v>
      </c>
      <c r="TI12" s="19">
        <v>967.35</v>
      </c>
      <c r="TJ12" s="70" t="s">
        <v>669</v>
      </c>
      <c r="TK12" s="24">
        <v>38</v>
      </c>
      <c r="TM12" s="129"/>
      <c r="TN12" s="2"/>
      <c r="TO12" s="20">
        <v>5</v>
      </c>
      <c r="TP12" s="19">
        <v>893.1</v>
      </c>
      <c r="TQ12" s="17">
        <v>43464</v>
      </c>
      <c r="TR12" s="19">
        <v>893.1</v>
      </c>
      <c r="TS12" s="70" t="s">
        <v>670</v>
      </c>
      <c r="TT12" s="24">
        <v>38</v>
      </c>
      <c r="TV12" s="129"/>
      <c r="TW12" s="2"/>
      <c r="TX12" s="20">
        <v>5</v>
      </c>
      <c r="TY12" s="19"/>
      <c r="TZ12" s="17"/>
      <c r="UA12" s="19"/>
      <c r="UB12" s="70"/>
      <c r="UC12" s="24"/>
      <c r="UE12" s="129"/>
      <c r="UF12" s="2"/>
      <c r="UG12" s="20">
        <v>5</v>
      </c>
      <c r="UH12" s="19"/>
      <c r="UI12" s="17"/>
      <c r="UJ12" s="19"/>
      <c r="UK12" s="70"/>
      <c r="UL12" s="24"/>
      <c r="UN12" s="129"/>
      <c r="UO12" s="2"/>
      <c r="UP12" s="20">
        <v>5</v>
      </c>
      <c r="UQ12" s="19"/>
      <c r="UR12" s="17"/>
      <c r="US12" s="19"/>
      <c r="UT12" s="70"/>
      <c r="UU12" s="24"/>
      <c r="UW12" s="129"/>
      <c r="UX12" s="2"/>
      <c r="UY12" s="20">
        <v>5</v>
      </c>
      <c r="UZ12" s="19"/>
      <c r="VA12" s="17"/>
      <c r="VB12" s="19"/>
      <c r="VC12" s="70"/>
      <c r="VD12" s="24"/>
      <c r="VF12" s="129"/>
      <c r="VG12" s="2"/>
      <c r="VH12" s="20">
        <v>5</v>
      </c>
      <c r="VI12" s="19"/>
      <c r="VJ12" s="17"/>
      <c r="VK12" s="19"/>
      <c r="VL12" s="70"/>
      <c r="VM12" s="24"/>
      <c r="VO12" s="129"/>
      <c r="VP12" s="2"/>
      <c r="VQ12" s="20">
        <v>5</v>
      </c>
      <c r="VR12" s="19"/>
      <c r="VS12" s="17"/>
      <c r="VT12" s="19"/>
      <c r="VU12" s="70"/>
      <c r="VV12" s="24"/>
      <c r="VX12" s="129"/>
      <c r="VY12" s="2"/>
      <c r="VZ12" s="20">
        <v>5</v>
      </c>
      <c r="WA12" s="19"/>
      <c r="WB12" s="17"/>
      <c r="WC12" s="19"/>
      <c r="WD12" s="70"/>
      <c r="WE12" s="24"/>
      <c r="WG12" s="129"/>
      <c r="WH12" s="2"/>
      <c r="WI12" s="20">
        <v>5</v>
      </c>
      <c r="WJ12" s="19"/>
      <c r="WK12" s="17"/>
      <c r="WL12" s="19"/>
      <c r="WM12" s="70"/>
      <c r="WN12" s="24"/>
      <c r="WP12" s="129"/>
      <c r="WQ12" s="2"/>
      <c r="WR12" s="20">
        <v>5</v>
      </c>
      <c r="WS12" s="19"/>
      <c r="WT12" s="17"/>
      <c r="WU12" s="19"/>
      <c r="WV12" s="70"/>
      <c r="WW12" s="24"/>
      <c r="WY12" s="129"/>
      <c r="WZ12" s="2"/>
      <c r="XA12" s="20">
        <v>5</v>
      </c>
      <c r="XB12" s="19"/>
      <c r="XC12" s="17"/>
      <c r="XD12" s="19"/>
      <c r="XE12" s="70"/>
      <c r="XF12" s="24"/>
      <c r="XH12" s="129"/>
      <c r="XI12" s="2"/>
      <c r="XJ12" s="20">
        <v>5</v>
      </c>
      <c r="XK12" s="19"/>
      <c r="XL12" s="17"/>
      <c r="XM12" s="19"/>
      <c r="XN12" s="70"/>
      <c r="XO12" s="24"/>
      <c r="XQ12" s="129"/>
      <c r="XR12" s="2"/>
      <c r="XS12" s="20">
        <v>5</v>
      </c>
      <c r="XT12" s="19"/>
      <c r="XU12" s="17"/>
      <c r="XV12" s="19"/>
      <c r="XW12" s="70"/>
      <c r="XX12" s="24"/>
      <c r="XZ12" s="129"/>
      <c r="YA12" s="2"/>
      <c r="YB12" s="20">
        <v>5</v>
      </c>
      <c r="YC12" s="19"/>
      <c r="YD12" s="17"/>
      <c r="YE12" s="19"/>
      <c r="YF12" s="70"/>
      <c r="YG12" s="24"/>
      <c r="YI12" s="129"/>
      <c r="YJ12" s="2"/>
      <c r="YK12" s="20">
        <v>5</v>
      </c>
      <c r="YL12" s="19"/>
      <c r="YM12" s="17"/>
      <c r="YN12" s="19"/>
      <c r="YO12" s="70"/>
      <c r="YP12" s="24"/>
      <c r="YR12" s="129"/>
      <c r="YS12" s="2"/>
      <c r="YT12" s="20">
        <v>5</v>
      </c>
      <c r="YU12" s="19"/>
      <c r="YV12" s="17"/>
      <c r="YW12" s="19"/>
      <c r="YX12" s="70"/>
      <c r="YY12" s="24"/>
      <c r="ZA12" s="129"/>
      <c r="ZB12" s="2"/>
      <c r="ZC12" s="20">
        <v>5</v>
      </c>
      <c r="ZD12" s="19"/>
      <c r="ZE12" s="17"/>
      <c r="ZF12" s="19"/>
      <c r="ZG12" s="70"/>
      <c r="ZH12" s="24"/>
      <c r="ZJ12" s="129"/>
      <c r="ZK12" s="2"/>
      <c r="ZL12" s="20">
        <v>5</v>
      </c>
      <c r="ZM12" s="19"/>
      <c r="ZN12" s="17"/>
      <c r="ZO12" s="19"/>
      <c r="ZP12" s="70"/>
      <c r="ZQ12" s="24"/>
      <c r="ZS12" s="129"/>
      <c r="ZT12" s="2"/>
      <c r="ZU12" s="20">
        <v>5</v>
      </c>
      <c r="ZV12" s="19"/>
      <c r="ZW12" s="17"/>
      <c r="ZX12" s="19"/>
      <c r="ZY12" s="70"/>
      <c r="ZZ12" s="24"/>
      <c r="AAB12" s="129"/>
      <c r="AAC12" s="2"/>
      <c r="AAD12" s="20">
        <v>5</v>
      </c>
      <c r="AAE12" s="19"/>
      <c r="AAF12" s="17"/>
      <c r="AAG12" s="19"/>
      <c r="AAH12" s="70"/>
      <c r="AAI12" s="24"/>
      <c r="AAK12" s="129"/>
      <c r="AAL12" s="2"/>
      <c r="AAM12" s="20">
        <v>5</v>
      </c>
      <c r="AAN12" s="19"/>
      <c r="AAO12" s="17"/>
      <c r="AAP12" s="19"/>
      <c r="AAQ12" s="70"/>
      <c r="AAR12" s="24"/>
      <c r="AAT12" s="129"/>
      <c r="AAU12" s="2"/>
      <c r="AAV12" s="20">
        <v>5</v>
      </c>
      <c r="AAW12" s="19"/>
      <c r="AAX12" s="17"/>
      <c r="AAY12" s="19"/>
      <c r="AAZ12" s="70"/>
      <c r="ABA12" s="24"/>
      <c r="ABC12" s="129"/>
      <c r="ABD12" s="2"/>
      <c r="ABE12" s="20">
        <v>5</v>
      </c>
      <c r="ABF12" s="19"/>
      <c r="ABG12" s="17"/>
      <c r="ABH12" s="19"/>
      <c r="ABI12" s="70"/>
      <c r="ABJ12" s="24"/>
      <c r="ABL12" s="129"/>
      <c r="ABM12" s="2"/>
      <c r="ABN12" s="20">
        <v>5</v>
      </c>
      <c r="ABO12" s="19"/>
      <c r="ABP12" s="17"/>
      <c r="ABQ12" s="19"/>
      <c r="ABR12" s="70"/>
      <c r="ABS12" s="24"/>
      <c r="ABU12" s="129"/>
      <c r="ABV12" s="2"/>
      <c r="ABW12" s="20">
        <v>5</v>
      </c>
      <c r="ABX12" s="19"/>
      <c r="ABY12" s="17"/>
      <c r="ABZ12" s="19"/>
      <c r="ACA12" s="70"/>
      <c r="ACB12" s="24"/>
      <c r="ACD12" s="129"/>
      <c r="ACE12" s="2"/>
      <c r="ACF12" s="20">
        <v>5</v>
      </c>
      <c r="ACG12" s="19"/>
      <c r="ACH12" s="17"/>
      <c r="ACI12" s="19"/>
      <c r="ACJ12" s="70"/>
      <c r="ACK12" s="24"/>
      <c r="ACM12" s="129"/>
      <c r="ACN12" s="2"/>
      <c r="ACO12" s="20">
        <v>5</v>
      </c>
      <c r="ACP12" s="19"/>
      <c r="ACQ12" s="17"/>
      <c r="ACR12" s="19"/>
      <c r="ACS12" s="70"/>
      <c r="ACT12" s="24"/>
      <c r="ACV12" s="129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TYSON FRESH MEAT</v>
      </c>
      <c r="C13" s="16" t="str">
        <f t="shared" si="9"/>
        <v xml:space="preserve">I B P </v>
      </c>
      <c r="D13" s="72" t="str">
        <f t="shared" si="9"/>
        <v>PED. 31847947</v>
      </c>
      <c r="E13" s="155">
        <f t="shared" si="9"/>
        <v>43439</v>
      </c>
      <c r="F13" s="74">
        <f t="shared" si="9"/>
        <v>18308.88</v>
      </c>
      <c r="G13" s="15">
        <f t="shared" si="9"/>
        <v>20</v>
      </c>
      <c r="H13" s="64">
        <f t="shared" si="9"/>
        <v>18333.650000000001</v>
      </c>
      <c r="I13" s="18">
        <f t="shared" si="9"/>
        <v>-24.770000000000437</v>
      </c>
      <c r="K13" s="59"/>
      <c r="L13" s="121"/>
      <c r="M13" s="20">
        <v>6</v>
      </c>
      <c r="N13" s="190">
        <v>927.1</v>
      </c>
      <c r="O13" s="105">
        <v>43435</v>
      </c>
      <c r="P13" s="190">
        <v>927.1</v>
      </c>
      <c r="Q13" s="124" t="s">
        <v>471</v>
      </c>
      <c r="R13" s="103">
        <v>37</v>
      </c>
      <c r="S13" s="16"/>
      <c r="T13" s="59"/>
      <c r="U13" s="121"/>
      <c r="V13" s="20">
        <v>6</v>
      </c>
      <c r="W13" s="190">
        <v>891.8</v>
      </c>
      <c r="X13" s="17">
        <v>43435</v>
      </c>
      <c r="Y13" s="190">
        <v>891.8</v>
      </c>
      <c r="Z13" s="70" t="s">
        <v>473</v>
      </c>
      <c r="AA13" s="24">
        <v>37</v>
      </c>
      <c r="AB13" s="16"/>
      <c r="AC13" s="59"/>
      <c r="AD13" s="121"/>
      <c r="AE13" s="20">
        <v>6</v>
      </c>
      <c r="AF13" s="190">
        <v>957.37</v>
      </c>
      <c r="AG13" s="17">
        <v>43436</v>
      </c>
      <c r="AH13" s="190">
        <v>957.37</v>
      </c>
      <c r="AI13" s="70" t="s">
        <v>481</v>
      </c>
      <c r="AJ13" s="24">
        <v>37</v>
      </c>
      <c r="AK13" s="16"/>
      <c r="AL13" s="59"/>
      <c r="AM13" s="121"/>
      <c r="AN13" s="20">
        <v>6</v>
      </c>
      <c r="AO13" s="19">
        <v>926.08</v>
      </c>
      <c r="AP13" s="17">
        <v>43441</v>
      </c>
      <c r="AQ13" s="19">
        <v>926.08</v>
      </c>
      <c r="AR13" s="70" t="s">
        <v>478</v>
      </c>
      <c r="AS13" s="24">
        <v>38</v>
      </c>
      <c r="AT13" s="16"/>
      <c r="AU13" s="59"/>
      <c r="AV13" s="553"/>
      <c r="AW13" s="20">
        <v>6</v>
      </c>
      <c r="AX13" s="19">
        <v>933.9</v>
      </c>
      <c r="AY13" s="105">
        <v>43441</v>
      </c>
      <c r="AZ13" s="19">
        <v>933.9</v>
      </c>
      <c r="BA13" s="124" t="s">
        <v>519</v>
      </c>
      <c r="BB13" s="414">
        <v>38</v>
      </c>
      <c r="BC13" s="16"/>
      <c r="BD13" s="59"/>
      <c r="BE13" s="121"/>
      <c r="BF13" s="20">
        <v>6</v>
      </c>
      <c r="BG13" s="19">
        <v>923.5</v>
      </c>
      <c r="BH13" s="400">
        <v>43441</v>
      </c>
      <c r="BI13" s="19">
        <v>923.5</v>
      </c>
      <c r="BJ13" s="402" t="s">
        <v>517</v>
      </c>
      <c r="BK13" s="403">
        <v>38</v>
      </c>
      <c r="BL13" s="16"/>
      <c r="BM13" s="59"/>
      <c r="BN13" s="121"/>
      <c r="BO13" s="20">
        <v>6</v>
      </c>
      <c r="BP13" s="19">
        <v>903.5</v>
      </c>
      <c r="BQ13" s="400">
        <v>43439</v>
      </c>
      <c r="BR13" s="19">
        <v>903.5</v>
      </c>
      <c r="BS13" s="402" t="s">
        <v>502</v>
      </c>
      <c r="BT13" s="403">
        <v>37</v>
      </c>
      <c r="BU13" s="16"/>
      <c r="BV13" s="59"/>
      <c r="BW13" s="121"/>
      <c r="BX13" s="20">
        <v>6</v>
      </c>
      <c r="BY13" s="19">
        <v>902.5</v>
      </c>
      <c r="BZ13" s="400">
        <v>43438</v>
      </c>
      <c r="CA13" s="19">
        <v>902.5</v>
      </c>
      <c r="CB13" s="402" t="s">
        <v>475</v>
      </c>
      <c r="CC13" s="403">
        <v>37</v>
      </c>
      <c r="CD13" s="16"/>
      <c r="CE13" s="59"/>
      <c r="CF13" s="121"/>
      <c r="CG13" s="20">
        <v>6</v>
      </c>
      <c r="CH13" s="19">
        <v>944.37</v>
      </c>
      <c r="CI13" s="17">
        <v>43439</v>
      </c>
      <c r="CJ13" s="19">
        <v>944.37</v>
      </c>
      <c r="CK13" s="70" t="s">
        <v>487</v>
      </c>
      <c r="CL13" s="24">
        <v>37</v>
      </c>
      <c r="CM13" s="16"/>
      <c r="CN13" s="59"/>
      <c r="CO13" s="121"/>
      <c r="CP13" s="20">
        <v>6</v>
      </c>
      <c r="CQ13" s="19">
        <v>918.07</v>
      </c>
      <c r="CR13" s="17">
        <v>43439</v>
      </c>
      <c r="CS13" s="19">
        <v>918.07</v>
      </c>
      <c r="CT13" s="70" t="s">
        <v>495</v>
      </c>
      <c r="CU13" s="24">
        <v>37</v>
      </c>
      <c r="CV13" s="16"/>
      <c r="CW13" s="59"/>
      <c r="CX13" s="121"/>
      <c r="CY13" s="20">
        <v>6</v>
      </c>
      <c r="CZ13" s="19">
        <v>936.05</v>
      </c>
      <c r="DA13" s="400">
        <v>43440</v>
      </c>
      <c r="DB13" s="19">
        <v>936.05</v>
      </c>
      <c r="DC13" s="402" t="s">
        <v>477</v>
      </c>
      <c r="DD13" s="403">
        <v>37</v>
      </c>
      <c r="DE13" s="16"/>
      <c r="DF13" s="59"/>
      <c r="DG13" s="121"/>
      <c r="DH13" s="20">
        <v>6</v>
      </c>
      <c r="DI13" s="19">
        <v>957.53</v>
      </c>
      <c r="DJ13" s="400">
        <v>43440</v>
      </c>
      <c r="DK13" s="19">
        <v>957.53</v>
      </c>
      <c r="DL13" s="402" t="s">
        <v>464</v>
      </c>
      <c r="DM13" s="403">
        <v>37</v>
      </c>
      <c r="DN13" s="16"/>
      <c r="DO13" s="59"/>
      <c r="DP13" s="121"/>
      <c r="DQ13" s="20">
        <v>6</v>
      </c>
      <c r="DR13" s="30">
        <v>977.32</v>
      </c>
      <c r="DS13" s="58">
        <v>43442</v>
      </c>
      <c r="DT13" s="30">
        <v>977.32</v>
      </c>
      <c r="DU13" s="76" t="s">
        <v>497</v>
      </c>
      <c r="DV13" s="24">
        <v>40</v>
      </c>
      <c r="DW13" s="16"/>
      <c r="DX13" s="59"/>
      <c r="DY13" s="121"/>
      <c r="DZ13" s="20">
        <v>6</v>
      </c>
      <c r="EA13" s="30">
        <v>878.2</v>
      </c>
      <c r="EB13" s="58">
        <v>43444</v>
      </c>
      <c r="EC13" s="30">
        <v>878.2</v>
      </c>
      <c r="ED13" s="76" t="s">
        <v>513</v>
      </c>
      <c r="EE13" s="24">
        <v>42</v>
      </c>
      <c r="EF13" s="16"/>
      <c r="EG13" s="59"/>
      <c r="EH13" s="121"/>
      <c r="EI13" s="20">
        <v>6</v>
      </c>
      <c r="EJ13" s="19">
        <v>875.9</v>
      </c>
      <c r="EK13" s="17">
        <v>43442</v>
      </c>
      <c r="EL13" s="19">
        <v>875.9</v>
      </c>
      <c r="EM13" s="43" t="s">
        <v>524</v>
      </c>
      <c r="EN13" s="24">
        <v>40</v>
      </c>
      <c r="EO13" s="16"/>
      <c r="EP13" s="59"/>
      <c r="EQ13" s="121"/>
      <c r="ER13" s="20">
        <v>6</v>
      </c>
      <c r="ES13" s="19">
        <v>935.15</v>
      </c>
      <c r="ET13" s="17">
        <v>43446</v>
      </c>
      <c r="EU13" s="19">
        <v>935.15</v>
      </c>
      <c r="EV13" s="43" t="s">
        <v>532</v>
      </c>
      <c r="EW13" s="24">
        <v>42</v>
      </c>
      <c r="EX13" s="16"/>
      <c r="EY13" s="59"/>
      <c r="EZ13" s="121"/>
      <c r="FA13" s="20">
        <v>6</v>
      </c>
      <c r="FB13" s="167">
        <v>939.68</v>
      </c>
      <c r="FC13" s="150">
        <v>43445</v>
      </c>
      <c r="FD13" s="167">
        <v>939.68</v>
      </c>
      <c r="FE13" s="110" t="s">
        <v>527</v>
      </c>
      <c r="FF13" s="111">
        <v>42</v>
      </c>
      <c r="FG13" s="16"/>
      <c r="FH13" s="59"/>
      <c r="FI13" s="121"/>
      <c r="FJ13" s="20">
        <v>6</v>
      </c>
      <c r="FK13" s="30">
        <v>898.5</v>
      </c>
      <c r="FL13" s="58">
        <v>43445</v>
      </c>
      <c r="FM13" s="30">
        <v>898.5</v>
      </c>
      <c r="FN13" s="76" t="s">
        <v>505</v>
      </c>
      <c r="FO13" s="24">
        <v>42</v>
      </c>
      <c r="FP13" s="16"/>
      <c r="FQ13" s="59"/>
      <c r="FR13" s="121"/>
      <c r="FS13" s="20">
        <v>6</v>
      </c>
      <c r="FT13" s="19">
        <v>944.37</v>
      </c>
      <c r="FU13" s="150">
        <v>43445</v>
      </c>
      <c r="FV13" s="19">
        <v>944.37</v>
      </c>
      <c r="FW13" s="270" t="s">
        <v>467</v>
      </c>
      <c r="FX13" s="111">
        <v>42</v>
      </c>
      <c r="FY13" s="16"/>
      <c r="FZ13" s="59"/>
      <c r="GA13" s="121"/>
      <c r="GB13" s="20">
        <v>6</v>
      </c>
      <c r="GC13" s="19">
        <v>952.38</v>
      </c>
      <c r="GD13" s="17">
        <v>43446</v>
      </c>
      <c r="GE13" s="19">
        <v>952.38</v>
      </c>
      <c r="GF13" s="70" t="s">
        <v>531</v>
      </c>
      <c r="GG13" s="24">
        <v>42</v>
      </c>
      <c r="GH13" s="16"/>
      <c r="GI13" s="59"/>
      <c r="GJ13" s="121"/>
      <c r="GK13" s="20">
        <v>6</v>
      </c>
      <c r="GL13" s="19">
        <v>937.87</v>
      </c>
      <c r="GM13" s="17">
        <v>43447</v>
      </c>
      <c r="GN13" s="19">
        <v>937.87</v>
      </c>
      <c r="GO13" s="70" t="s">
        <v>540</v>
      </c>
      <c r="GP13" s="24">
        <v>42</v>
      </c>
      <c r="GQ13" s="16"/>
      <c r="GR13" s="59"/>
      <c r="GS13" s="121"/>
      <c r="GT13" s="20">
        <v>6</v>
      </c>
      <c r="GU13" s="19">
        <v>925.8</v>
      </c>
      <c r="GV13" s="17">
        <v>43448</v>
      </c>
      <c r="GW13" s="19">
        <v>925.8</v>
      </c>
      <c r="GX13" s="311" t="s">
        <v>538</v>
      </c>
      <c r="GY13" s="24">
        <v>42</v>
      </c>
      <c r="GZ13" s="16"/>
      <c r="HA13" s="59"/>
      <c r="HB13" s="121"/>
      <c r="HC13" s="20">
        <v>6</v>
      </c>
      <c r="HD13" s="30">
        <v>903.6</v>
      </c>
      <c r="HE13" s="58">
        <v>43448</v>
      </c>
      <c r="HF13" s="30">
        <v>903.6</v>
      </c>
      <c r="HG13" s="76" t="s">
        <v>542</v>
      </c>
      <c r="HH13" s="24">
        <v>42</v>
      </c>
      <c r="HI13" s="16"/>
      <c r="HJ13" s="59"/>
      <c r="HK13" s="121"/>
      <c r="HL13" s="20">
        <v>6</v>
      </c>
      <c r="HM13" s="19">
        <v>907.03</v>
      </c>
      <c r="HN13" s="17">
        <v>43449</v>
      </c>
      <c r="HO13" s="19">
        <v>907.03</v>
      </c>
      <c r="HP13" s="593" t="s">
        <v>549</v>
      </c>
      <c r="HQ13" s="24">
        <v>42</v>
      </c>
      <c r="HR13" s="19"/>
      <c r="HS13" s="30"/>
      <c r="HT13" s="121"/>
      <c r="HU13" s="20">
        <v>6</v>
      </c>
      <c r="HV13" s="19">
        <v>984.13</v>
      </c>
      <c r="HW13" s="58">
        <v>43448</v>
      </c>
      <c r="HX13" s="19">
        <v>984.13</v>
      </c>
      <c r="HY13" s="76" t="s">
        <v>545</v>
      </c>
      <c r="HZ13" s="24">
        <v>42</v>
      </c>
      <c r="IA13" s="30"/>
      <c r="IB13" s="59"/>
      <c r="IC13" s="121"/>
      <c r="ID13" s="20">
        <v>6</v>
      </c>
      <c r="IE13" s="19">
        <v>906.7</v>
      </c>
      <c r="IF13" s="17">
        <v>43449</v>
      </c>
      <c r="IG13" s="19">
        <v>906.7</v>
      </c>
      <c r="IH13" s="43" t="s">
        <v>552</v>
      </c>
      <c r="II13" s="24">
        <v>42</v>
      </c>
      <c r="IJ13" s="16"/>
      <c r="IK13" s="59"/>
      <c r="IL13" s="121"/>
      <c r="IM13" s="20">
        <v>6</v>
      </c>
      <c r="IN13" s="30">
        <v>969.61</v>
      </c>
      <c r="IO13" s="626">
        <v>43450</v>
      </c>
      <c r="IP13" s="30">
        <v>969.61</v>
      </c>
      <c r="IQ13" s="76" t="s">
        <v>559</v>
      </c>
      <c r="IR13" s="24">
        <v>42</v>
      </c>
      <c r="IS13" s="16"/>
      <c r="IT13" s="59"/>
      <c r="IU13" s="121"/>
      <c r="IV13" s="20">
        <v>6</v>
      </c>
      <c r="IW13" s="19">
        <v>878.2</v>
      </c>
      <c r="IX13" s="17">
        <v>43451</v>
      </c>
      <c r="IY13" s="19">
        <v>878.2</v>
      </c>
      <c r="IZ13" s="70" t="s">
        <v>570</v>
      </c>
      <c r="JA13" s="24">
        <v>42</v>
      </c>
      <c r="JB13" s="16"/>
      <c r="JC13" s="59"/>
      <c r="JD13" s="121"/>
      <c r="JE13" s="20">
        <v>6</v>
      </c>
      <c r="JF13" s="19">
        <v>873.2</v>
      </c>
      <c r="JG13" s="17">
        <v>43452</v>
      </c>
      <c r="JH13" s="19">
        <v>873.2</v>
      </c>
      <c r="JI13" s="70" t="s">
        <v>575</v>
      </c>
      <c r="JJ13" s="24">
        <v>42</v>
      </c>
      <c r="JK13" s="16"/>
      <c r="JL13" s="59"/>
      <c r="JM13" s="121"/>
      <c r="JN13" s="20">
        <v>6</v>
      </c>
      <c r="JO13" s="19">
        <v>907.94</v>
      </c>
      <c r="JP13" s="17">
        <v>43452</v>
      </c>
      <c r="JQ13" s="19">
        <v>907.94</v>
      </c>
      <c r="JR13" s="70" t="s">
        <v>578</v>
      </c>
      <c r="JS13" s="24">
        <v>42</v>
      </c>
      <c r="JT13" s="16"/>
      <c r="JU13" s="59"/>
      <c r="JV13" s="121"/>
      <c r="JW13" s="20">
        <v>6</v>
      </c>
      <c r="JX13" s="19">
        <v>897.65</v>
      </c>
      <c r="JY13" s="17">
        <v>43453</v>
      </c>
      <c r="JZ13" s="19">
        <v>897.65</v>
      </c>
      <c r="KA13" s="70" t="s">
        <v>585</v>
      </c>
      <c r="KB13" s="24">
        <v>42</v>
      </c>
      <c r="KC13" s="16"/>
      <c r="KD13" s="59"/>
      <c r="KE13" s="121"/>
      <c r="KF13" s="20">
        <v>6</v>
      </c>
      <c r="KG13" s="19">
        <v>903.5</v>
      </c>
      <c r="KH13" s="17">
        <v>43452</v>
      </c>
      <c r="KI13" s="19">
        <v>903.5</v>
      </c>
      <c r="KJ13" s="70" t="s">
        <v>580</v>
      </c>
      <c r="KK13" s="24">
        <v>42</v>
      </c>
      <c r="KL13" s="16" t="s">
        <v>36</v>
      </c>
      <c r="KM13" s="59"/>
      <c r="KN13" s="121"/>
      <c r="KO13" s="20">
        <v>6</v>
      </c>
      <c r="KP13" s="190">
        <v>889.5</v>
      </c>
      <c r="KQ13" s="105">
        <v>43453</v>
      </c>
      <c r="KR13" s="190">
        <v>889.5</v>
      </c>
      <c r="KS13" s="124" t="s">
        <v>583</v>
      </c>
      <c r="KT13" s="103">
        <v>42</v>
      </c>
      <c r="KU13" s="16"/>
      <c r="KV13" s="59"/>
      <c r="KW13" s="121"/>
      <c r="KX13" s="20">
        <v>6</v>
      </c>
      <c r="KY13" s="190">
        <v>957.37</v>
      </c>
      <c r="KZ13" s="17">
        <v>43453</v>
      </c>
      <c r="LA13" s="190">
        <v>957.37</v>
      </c>
      <c r="LB13" s="70" t="s">
        <v>586</v>
      </c>
      <c r="LC13" s="24">
        <v>42</v>
      </c>
      <c r="LD13" s="16"/>
      <c r="LE13" s="59"/>
      <c r="LF13" s="121"/>
      <c r="LG13" s="20">
        <v>6</v>
      </c>
      <c r="LH13" s="19">
        <v>996.83</v>
      </c>
      <c r="LI13" s="17">
        <v>43454</v>
      </c>
      <c r="LJ13" s="19">
        <v>996.83</v>
      </c>
      <c r="LK13" s="70" t="s">
        <v>591</v>
      </c>
      <c r="LL13" s="24">
        <v>42</v>
      </c>
      <c r="LM13" s="16"/>
      <c r="LN13" s="129"/>
      <c r="LO13" s="121"/>
      <c r="LP13" s="20">
        <v>6</v>
      </c>
      <c r="LQ13" s="190">
        <v>930.61</v>
      </c>
      <c r="LR13" s="17">
        <v>43455</v>
      </c>
      <c r="LS13" s="190">
        <v>930.61</v>
      </c>
      <c r="LT13" s="70" t="s">
        <v>602</v>
      </c>
      <c r="LU13" s="24">
        <v>42</v>
      </c>
      <c r="LV13" s="16"/>
      <c r="LW13" s="129"/>
      <c r="LX13" s="121"/>
      <c r="LY13" s="20">
        <v>6</v>
      </c>
      <c r="LZ13" s="19">
        <v>903.1</v>
      </c>
      <c r="MA13" s="17">
        <v>43455</v>
      </c>
      <c r="MB13" s="19">
        <v>903.1</v>
      </c>
      <c r="MC13" s="70" t="s">
        <v>605</v>
      </c>
      <c r="MD13" s="24">
        <v>42</v>
      </c>
      <c r="ME13" s="16"/>
      <c r="MF13" s="129"/>
      <c r="MG13" s="121"/>
      <c r="MH13" s="20">
        <v>6</v>
      </c>
      <c r="MI13" s="167">
        <v>868.6</v>
      </c>
      <c r="MJ13" s="150">
        <v>43455</v>
      </c>
      <c r="MK13" s="167">
        <v>868.6</v>
      </c>
      <c r="ML13" s="270" t="s">
        <v>609</v>
      </c>
      <c r="MM13" s="111">
        <v>42</v>
      </c>
      <c r="MN13" s="16"/>
      <c r="MO13" s="129"/>
      <c r="MP13" s="121"/>
      <c r="MQ13" s="20">
        <v>6</v>
      </c>
      <c r="MR13" s="19">
        <v>947.39</v>
      </c>
      <c r="MS13" s="17">
        <v>43457</v>
      </c>
      <c r="MT13" s="19">
        <v>947.39</v>
      </c>
      <c r="MU13" s="70" t="s">
        <v>626</v>
      </c>
      <c r="MV13" s="24">
        <v>42</v>
      </c>
      <c r="MW13" s="16"/>
      <c r="MX13" s="129"/>
      <c r="MY13" s="121"/>
      <c r="MZ13" s="20">
        <v>6</v>
      </c>
      <c r="NA13" s="19">
        <v>934.8</v>
      </c>
      <c r="NB13" s="17">
        <v>43460</v>
      </c>
      <c r="NC13" s="19">
        <v>934.8</v>
      </c>
      <c r="ND13" s="70" t="s">
        <v>634</v>
      </c>
      <c r="NE13" s="24">
        <v>42</v>
      </c>
      <c r="NF13" s="16"/>
      <c r="NG13" s="129"/>
      <c r="NH13" s="121"/>
      <c r="NI13" s="20">
        <v>6</v>
      </c>
      <c r="NJ13" s="19">
        <v>885.9</v>
      </c>
      <c r="NK13" s="17">
        <v>43456</v>
      </c>
      <c r="NL13" s="19">
        <v>885.9</v>
      </c>
      <c r="NM13" s="70" t="s">
        <v>613</v>
      </c>
      <c r="NN13" s="24">
        <v>42</v>
      </c>
      <c r="NO13" s="16"/>
      <c r="NP13" s="129"/>
      <c r="NQ13" s="171"/>
      <c r="NR13" s="20">
        <v>6</v>
      </c>
      <c r="NS13" s="19">
        <v>893.1</v>
      </c>
      <c r="NT13" s="17">
        <v>43456</v>
      </c>
      <c r="NU13" s="19">
        <v>893.1</v>
      </c>
      <c r="NV13" s="70" t="s">
        <v>615</v>
      </c>
      <c r="NW13" s="24">
        <v>42</v>
      </c>
      <c r="NX13" s="16"/>
      <c r="NY13" s="129"/>
      <c r="NZ13" s="121"/>
      <c r="OA13" s="20">
        <v>6</v>
      </c>
      <c r="OB13" s="19">
        <v>934.24</v>
      </c>
      <c r="OC13" s="105">
        <v>43456</v>
      </c>
      <c r="OD13" s="19">
        <v>934.24</v>
      </c>
      <c r="OE13" s="124" t="s">
        <v>621</v>
      </c>
      <c r="OF13" s="103">
        <v>42</v>
      </c>
      <c r="OG13" s="16"/>
      <c r="OH13" s="129"/>
      <c r="OI13" s="121"/>
      <c r="OJ13" s="20">
        <v>6</v>
      </c>
      <c r="OK13" s="19">
        <v>944.8</v>
      </c>
      <c r="OL13" s="17">
        <v>43456</v>
      </c>
      <c r="OM13" s="19">
        <v>944.8</v>
      </c>
      <c r="ON13" s="70" t="s">
        <v>617</v>
      </c>
      <c r="OO13" s="482">
        <v>42</v>
      </c>
      <c r="OP13" s="16"/>
      <c r="OQ13" s="129"/>
      <c r="OR13" s="121"/>
      <c r="OS13" s="20">
        <v>6</v>
      </c>
      <c r="OT13" s="19">
        <v>900.4</v>
      </c>
      <c r="OU13" s="17">
        <v>43457</v>
      </c>
      <c r="OV13" s="19">
        <v>900.4</v>
      </c>
      <c r="OW13" s="70" t="s">
        <v>625</v>
      </c>
      <c r="OX13" s="24">
        <v>42</v>
      </c>
      <c r="OY13" s="16"/>
      <c r="OZ13" s="129"/>
      <c r="PA13" s="121"/>
      <c r="PB13" s="20">
        <v>6</v>
      </c>
      <c r="PC13" s="19">
        <v>927.89</v>
      </c>
      <c r="PD13" s="17">
        <v>43458</v>
      </c>
      <c r="PE13" s="19">
        <v>927.89</v>
      </c>
      <c r="PF13" s="70" t="s">
        <v>632</v>
      </c>
      <c r="PG13" s="24">
        <v>42</v>
      </c>
      <c r="PH13" s="16"/>
      <c r="PI13" s="129"/>
      <c r="PJ13" s="121"/>
      <c r="PK13" s="20">
        <v>6</v>
      </c>
      <c r="PL13" s="19">
        <v>897</v>
      </c>
      <c r="PM13" s="17">
        <v>43461</v>
      </c>
      <c r="PN13" s="19">
        <v>897</v>
      </c>
      <c r="PO13" s="70" t="s">
        <v>642</v>
      </c>
      <c r="PP13" s="24">
        <v>38</v>
      </c>
      <c r="PQ13" s="16"/>
      <c r="PR13" s="129"/>
      <c r="PS13" s="121"/>
      <c r="PT13" s="20">
        <v>6</v>
      </c>
      <c r="PU13" s="19">
        <v>889.94</v>
      </c>
      <c r="PV13" s="17">
        <v>43462</v>
      </c>
      <c r="PW13" s="19">
        <v>889.94</v>
      </c>
      <c r="PX13" s="270" t="s">
        <v>653</v>
      </c>
      <c r="PY13" s="24">
        <v>38</v>
      </c>
      <c r="PZ13" s="16"/>
      <c r="QA13" s="129"/>
      <c r="QB13" s="171"/>
      <c r="QC13" s="20">
        <v>6</v>
      </c>
      <c r="QD13" s="19">
        <v>958.44</v>
      </c>
      <c r="QE13" s="105">
        <v>43462</v>
      </c>
      <c r="QF13" s="19">
        <v>958.44</v>
      </c>
      <c r="QG13" s="124" t="s">
        <v>657</v>
      </c>
      <c r="QH13" s="24">
        <v>38</v>
      </c>
      <c r="QI13" s="16"/>
      <c r="QJ13" s="129"/>
      <c r="QK13" s="121"/>
      <c r="QL13" s="20">
        <v>6</v>
      </c>
      <c r="QM13" s="19">
        <v>908.5</v>
      </c>
      <c r="QN13" s="17">
        <v>43461</v>
      </c>
      <c r="QO13" s="19">
        <v>908.5</v>
      </c>
      <c r="QP13" s="70" t="s">
        <v>645</v>
      </c>
      <c r="QQ13" s="24">
        <v>38</v>
      </c>
      <c r="QR13" s="16"/>
      <c r="QS13" s="129"/>
      <c r="QT13" s="121"/>
      <c r="QU13" s="20">
        <v>6</v>
      </c>
      <c r="QV13" s="19">
        <v>951.18</v>
      </c>
      <c r="QW13" s="17">
        <v>43461</v>
      </c>
      <c r="QX13" s="19">
        <v>951.18</v>
      </c>
      <c r="QY13" s="70" t="s">
        <v>649</v>
      </c>
      <c r="QZ13" s="24">
        <v>38</v>
      </c>
      <c r="RA13" s="16"/>
      <c r="RB13" s="129"/>
      <c r="RC13" s="121"/>
      <c r="RD13" s="20"/>
      <c r="RE13" s="19"/>
      <c r="RF13" s="17"/>
      <c r="RG13" s="19"/>
      <c r="RH13" s="70"/>
      <c r="RI13" s="24"/>
      <c r="RJ13" s="16"/>
      <c r="RK13" s="129"/>
      <c r="RL13" s="121"/>
      <c r="RM13" s="20">
        <v>6</v>
      </c>
      <c r="RN13" s="19">
        <v>936.05</v>
      </c>
      <c r="RO13" s="400">
        <v>43462</v>
      </c>
      <c r="RP13" s="401">
        <v>936.05</v>
      </c>
      <c r="RQ13" s="402" t="s">
        <v>644</v>
      </c>
      <c r="RR13" s="403">
        <v>38</v>
      </c>
      <c r="RS13" s="16"/>
      <c r="RT13" s="129"/>
      <c r="RU13" s="121"/>
      <c r="RV13" s="20">
        <v>6</v>
      </c>
      <c r="RW13" s="19"/>
      <c r="RX13" s="17"/>
      <c r="RY13" s="19"/>
      <c r="RZ13" s="70"/>
      <c r="SA13" s="24"/>
      <c r="SB13" s="16"/>
      <c r="SC13" s="129"/>
      <c r="SD13" s="121"/>
      <c r="SE13" s="20">
        <v>6</v>
      </c>
      <c r="SF13" s="19">
        <v>967.35</v>
      </c>
      <c r="SG13" s="17">
        <v>43463</v>
      </c>
      <c r="SH13" s="19">
        <v>967.35</v>
      </c>
      <c r="SI13" s="70" t="s">
        <v>654</v>
      </c>
      <c r="SJ13" s="24">
        <v>38</v>
      </c>
      <c r="SK13" s="16"/>
      <c r="SL13" s="129"/>
      <c r="SM13" s="121"/>
      <c r="SN13" s="20">
        <v>6</v>
      </c>
      <c r="SO13" s="19">
        <v>850.05</v>
      </c>
      <c r="SP13" s="17">
        <v>43463</v>
      </c>
      <c r="SQ13" s="19">
        <v>850.05</v>
      </c>
      <c r="SR13" s="70" t="s">
        <v>668</v>
      </c>
      <c r="SS13" s="24">
        <v>38</v>
      </c>
      <c r="ST13" s="16"/>
      <c r="SU13" s="129"/>
      <c r="SV13" s="121"/>
      <c r="SW13" s="20">
        <v>6</v>
      </c>
      <c r="SX13" s="19">
        <v>891.8</v>
      </c>
      <c r="SY13" s="17">
        <v>43463</v>
      </c>
      <c r="SZ13" s="19">
        <v>891.8</v>
      </c>
      <c r="TA13" s="70" t="s">
        <v>665</v>
      </c>
      <c r="TB13" s="24">
        <v>38</v>
      </c>
      <c r="TC13" s="16"/>
      <c r="TD13" s="129"/>
      <c r="TE13" s="121"/>
      <c r="TF13" s="20">
        <v>6</v>
      </c>
      <c r="TG13" s="19">
        <v>1001.36</v>
      </c>
      <c r="TH13" s="17">
        <v>43464</v>
      </c>
      <c r="TI13" s="19">
        <v>1001.36</v>
      </c>
      <c r="TJ13" s="70" t="s">
        <v>669</v>
      </c>
      <c r="TK13" s="24">
        <v>38</v>
      </c>
      <c r="TM13" s="59"/>
      <c r="TN13" s="2"/>
      <c r="TO13" s="20">
        <v>6</v>
      </c>
      <c r="TP13" s="19">
        <v>911.3</v>
      </c>
      <c r="TQ13" s="17">
        <v>43464</v>
      </c>
      <c r="TR13" s="19">
        <v>911.3</v>
      </c>
      <c r="TS13" s="70" t="s">
        <v>670</v>
      </c>
      <c r="TT13" s="24">
        <v>38</v>
      </c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Smithfield</v>
      </c>
      <c r="D14" s="72" t="str">
        <f t="shared" si="10"/>
        <v>PED. 31813312</v>
      </c>
      <c r="E14" s="155">
        <f t="shared" si="10"/>
        <v>43439</v>
      </c>
      <c r="F14" s="74">
        <f t="shared" si="10"/>
        <v>18443.849999999999</v>
      </c>
      <c r="G14" s="15">
        <f t="shared" si="10"/>
        <v>20</v>
      </c>
      <c r="H14" s="64">
        <f t="shared" si="10"/>
        <v>18517.46</v>
      </c>
      <c r="I14" s="18">
        <f t="shared" si="10"/>
        <v>-73.610000000000582</v>
      </c>
      <c r="K14" s="7"/>
      <c r="L14" s="121"/>
      <c r="M14" s="20">
        <v>7</v>
      </c>
      <c r="N14" s="190">
        <v>947.5</v>
      </c>
      <c r="O14" s="105">
        <v>43435</v>
      </c>
      <c r="P14" s="190">
        <v>947.5</v>
      </c>
      <c r="Q14" s="124" t="s">
        <v>471</v>
      </c>
      <c r="R14" s="103">
        <v>37</v>
      </c>
      <c r="S14" s="309"/>
      <c r="T14" s="7"/>
      <c r="U14" s="121"/>
      <c r="V14" s="20">
        <v>7</v>
      </c>
      <c r="W14" s="190">
        <v>878.6</v>
      </c>
      <c r="X14" s="17">
        <v>43435</v>
      </c>
      <c r="Y14" s="190">
        <v>878.6</v>
      </c>
      <c r="Z14" s="70" t="s">
        <v>473</v>
      </c>
      <c r="AA14" s="24">
        <v>37</v>
      </c>
      <c r="AB14" s="16"/>
      <c r="AC14" s="7"/>
      <c r="AD14" s="121"/>
      <c r="AE14" s="20">
        <v>7</v>
      </c>
      <c r="AF14" s="190">
        <v>995.92</v>
      </c>
      <c r="AG14" s="17">
        <v>43436</v>
      </c>
      <c r="AH14" s="190">
        <v>995.92</v>
      </c>
      <c r="AI14" s="70" t="s">
        <v>481</v>
      </c>
      <c r="AJ14" s="24">
        <v>37</v>
      </c>
      <c r="AK14" s="16"/>
      <c r="AL14" s="59"/>
      <c r="AM14" s="121"/>
      <c r="AN14" s="20">
        <v>7</v>
      </c>
      <c r="AO14" s="19">
        <v>946.94</v>
      </c>
      <c r="AP14" s="17">
        <v>43441</v>
      </c>
      <c r="AQ14" s="19">
        <v>946.94</v>
      </c>
      <c r="AR14" s="70" t="s">
        <v>478</v>
      </c>
      <c r="AS14" s="24">
        <v>38</v>
      </c>
      <c r="AT14" s="16"/>
      <c r="AU14" s="59"/>
      <c r="AV14" s="121"/>
      <c r="AW14" s="20">
        <v>7</v>
      </c>
      <c r="AX14" s="19">
        <v>873.2</v>
      </c>
      <c r="AY14" s="105">
        <v>43441</v>
      </c>
      <c r="AZ14" s="19">
        <v>873.2</v>
      </c>
      <c r="BA14" s="124" t="s">
        <v>519</v>
      </c>
      <c r="BB14" s="414">
        <v>38</v>
      </c>
      <c r="BC14" s="16"/>
      <c r="BD14" s="59"/>
      <c r="BE14" s="121"/>
      <c r="BF14" s="20">
        <v>7</v>
      </c>
      <c r="BG14" s="19">
        <v>949.4</v>
      </c>
      <c r="BH14" s="400">
        <v>43441</v>
      </c>
      <c r="BI14" s="19">
        <v>949.4</v>
      </c>
      <c r="BJ14" s="402" t="s">
        <v>511</v>
      </c>
      <c r="BK14" s="403">
        <v>38</v>
      </c>
      <c r="BL14" s="16"/>
      <c r="BM14" s="59"/>
      <c r="BN14" s="121"/>
      <c r="BO14" s="20">
        <v>7</v>
      </c>
      <c r="BP14" s="19">
        <v>903.5</v>
      </c>
      <c r="BQ14" s="400">
        <v>43439</v>
      </c>
      <c r="BR14" s="19">
        <v>903.5</v>
      </c>
      <c r="BS14" s="402" t="s">
        <v>502</v>
      </c>
      <c r="BT14" s="403">
        <v>37</v>
      </c>
      <c r="BU14" s="16"/>
      <c r="BV14" s="59"/>
      <c r="BW14" s="121"/>
      <c r="BX14" s="20">
        <v>7</v>
      </c>
      <c r="BY14" s="19">
        <v>906.5</v>
      </c>
      <c r="BZ14" s="400">
        <v>43438</v>
      </c>
      <c r="CA14" s="19">
        <v>906.5</v>
      </c>
      <c r="CB14" s="402" t="s">
        <v>475</v>
      </c>
      <c r="CC14" s="403">
        <v>37</v>
      </c>
      <c r="CD14" s="16"/>
      <c r="CE14" s="59"/>
      <c r="CF14" s="121"/>
      <c r="CG14" s="20">
        <v>7</v>
      </c>
      <c r="CH14" s="19">
        <v>955.71</v>
      </c>
      <c r="CI14" s="17">
        <v>43439</v>
      </c>
      <c r="CJ14" s="19">
        <v>955.71</v>
      </c>
      <c r="CK14" s="70" t="s">
        <v>487</v>
      </c>
      <c r="CL14" s="24">
        <v>37</v>
      </c>
      <c r="CM14" s="16"/>
      <c r="CN14" s="59"/>
      <c r="CO14" s="121"/>
      <c r="CP14" s="20">
        <v>7</v>
      </c>
      <c r="CQ14" s="19">
        <v>907.18</v>
      </c>
      <c r="CR14" s="17">
        <v>43439</v>
      </c>
      <c r="CS14" s="19">
        <v>907.18</v>
      </c>
      <c r="CT14" s="70" t="s">
        <v>495</v>
      </c>
      <c r="CU14" s="24">
        <v>37</v>
      </c>
      <c r="CV14" s="16"/>
      <c r="CW14" s="59"/>
      <c r="CX14" s="121"/>
      <c r="CY14" s="20">
        <v>7</v>
      </c>
      <c r="CZ14" s="19">
        <v>941.5</v>
      </c>
      <c r="DA14" s="400">
        <v>43440</v>
      </c>
      <c r="DB14" s="19">
        <v>941.5</v>
      </c>
      <c r="DC14" s="402" t="s">
        <v>477</v>
      </c>
      <c r="DD14" s="403">
        <v>37</v>
      </c>
      <c r="DE14" s="16"/>
      <c r="DF14" s="59"/>
      <c r="DG14" s="121"/>
      <c r="DH14" s="20">
        <v>7</v>
      </c>
      <c r="DI14" s="19">
        <v>964.79</v>
      </c>
      <c r="DJ14" s="400">
        <v>43440</v>
      </c>
      <c r="DK14" s="19">
        <v>964.79</v>
      </c>
      <c r="DL14" s="402" t="s">
        <v>464</v>
      </c>
      <c r="DM14" s="403">
        <v>37</v>
      </c>
      <c r="DN14" s="16"/>
      <c r="DO14" s="59"/>
      <c r="DP14" s="121"/>
      <c r="DQ14" s="20">
        <v>7</v>
      </c>
      <c r="DR14" s="30">
        <v>980.05</v>
      </c>
      <c r="DS14" s="58">
        <v>43442</v>
      </c>
      <c r="DT14" s="30">
        <v>980.05</v>
      </c>
      <c r="DU14" s="76" t="s">
        <v>497</v>
      </c>
      <c r="DV14" s="24">
        <v>40</v>
      </c>
      <c r="DW14" s="16"/>
      <c r="DX14" s="59"/>
      <c r="DY14" s="121"/>
      <c r="DZ14" s="20">
        <v>7</v>
      </c>
      <c r="EA14" s="30">
        <v>899.9</v>
      </c>
      <c r="EB14" s="58">
        <v>43444</v>
      </c>
      <c r="EC14" s="30">
        <v>899.9</v>
      </c>
      <c r="ED14" s="76" t="s">
        <v>513</v>
      </c>
      <c r="EE14" s="24">
        <v>42</v>
      </c>
      <c r="EF14" s="16"/>
      <c r="EG14" s="59"/>
      <c r="EH14" s="121"/>
      <c r="EI14" s="20">
        <v>7</v>
      </c>
      <c r="EJ14" s="19">
        <v>876.8</v>
      </c>
      <c r="EK14" s="17">
        <v>43442</v>
      </c>
      <c r="EL14" s="19">
        <v>876.8</v>
      </c>
      <c r="EM14" s="43" t="s">
        <v>524</v>
      </c>
      <c r="EN14" s="24">
        <v>40</v>
      </c>
      <c r="EO14" s="16"/>
      <c r="EP14" s="59"/>
      <c r="EQ14" s="121"/>
      <c r="ER14" s="20">
        <v>7</v>
      </c>
      <c r="ES14" s="19">
        <v>963.27</v>
      </c>
      <c r="ET14" s="17">
        <v>43446</v>
      </c>
      <c r="EU14" s="19">
        <v>963.27</v>
      </c>
      <c r="EV14" s="43" t="s">
        <v>532</v>
      </c>
      <c r="EW14" s="24">
        <v>42</v>
      </c>
      <c r="EX14" s="16"/>
      <c r="EY14" s="59"/>
      <c r="EZ14" s="121"/>
      <c r="FA14" s="20">
        <v>7</v>
      </c>
      <c r="FB14" s="167">
        <v>954.65</v>
      </c>
      <c r="FC14" s="150">
        <v>43445</v>
      </c>
      <c r="FD14" s="167">
        <v>954.65</v>
      </c>
      <c r="FE14" s="110" t="s">
        <v>527</v>
      </c>
      <c r="FF14" s="111">
        <v>42</v>
      </c>
      <c r="FG14" s="16"/>
      <c r="FH14" s="59"/>
      <c r="FI14" s="121"/>
      <c r="FJ14" s="20">
        <v>7</v>
      </c>
      <c r="FK14" s="30">
        <v>903</v>
      </c>
      <c r="FL14" s="58">
        <v>43445</v>
      </c>
      <c r="FM14" s="30">
        <v>903</v>
      </c>
      <c r="FN14" s="76" t="s">
        <v>505</v>
      </c>
      <c r="FO14" s="24">
        <v>42</v>
      </c>
      <c r="FP14" s="16"/>
      <c r="FQ14" s="59"/>
      <c r="FR14" s="121"/>
      <c r="FS14" s="20">
        <v>7</v>
      </c>
      <c r="FT14" s="19">
        <v>972.04</v>
      </c>
      <c r="FU14" s="150">
        <v>43445</v>
      </c>
      <c r="FV14" s="19">
        <v>972.04</v>
      </c>
      <c r="FW14" s="270" t="s">
        <v>467</v>
      </c>
      <c r="FX14" s="111">
        <v>42</v>
      </c>
      <c r="FY14" s="16"/>
      <c r="FZ14" s="59"/>
      <c r="GA14" s="121"/>
      <c r="GB14" s="20">
        <v>7</v>
      </c>
      <c r="GC14" s="19">
        <v>957.37</v>
      </c>
      <c r="GD14" s="17">
        <v>43446</v>
      </c>
      <c r="GE14" s="19">
        <v>957.37</v>
      </c>
      <c r="GF14" s="70" t="s">
        <v>531</v>
      </c>
      <c r="GG14" s="24">
        <v>42</v>
      </c>
      <c r="GH14" s="16"/>
      <c r="GI14" s="59"/>
      <c r="GJ14" s="121"/>
      <c r="GK14" s="20">
        <v>7</v>
      </c>
      <c r="GL14" s="19">
        <v>940.14</v>
      </c>
      <c r="GM14" s="17">
        <v>43447</v>
      </c>
      <c r="GN14" s="19">
        <v>940.14</v>
      </c>
      <c r="GO14" s="70" t="s">
        <v>540</v>
      </c>
      <c r="GP14" s="24">
        <v>42</v>
      </c>
      <c r="GQ14" s="16"/>
      <c r="GR14" s="59"/>
      <c r="GS14" s="121"/>
      <c r="GT14" s="20">
        <v>7</v>
      </c>
      <c r="GU14" s="19">
        <v>908.1</v>
      </c>
      <c r="GV14" s="17">
        <v>43448</v>
      </c>
      <c r="GW14" s="19">
        <v>908.1</v>
      </c>
      <c r="GX14" s="311" t="s">
        <v>548</v>
      </c>
      <c r="GY14" s="24">
        <v>42</v>
      </c>
      <c r="GZ14" s="16"/>
      <c r="HA14" s="59"/>
      <c r="HB14" s="121"/>
      <c r="HC14" s="20">
        <v>7</v>
      </c>
      <c r="HD14" s="30">
        <v>874.5</v>
      </c>
      <c r="HE14" s="58">
        <v>43448</v>
      </c>
      <c r="HF14" s="30">
        <v>874.5</v>
      </c>
      <c r="HG14" s="76" t="s">
        <v>542</v>
      </c>
      <c r="HH14" s="24">
        <v>42</v>
      </c>
      <c r="HI14" s="16"/>
      <c r="HJ14" s="59"/>
      <c r="HK14" s="121"/>
      <c r="HL14" s="20">
        <v>7</v>
      </c>
      <c r="HM14" s="19">
        <v>975.06</v>
      </c>
      <c r="HN14" s="17">
        <v>43449</v>
      </c>
      <c r="HO14" s="19">
        <v>975.06</v>
      </c>
      <c r="HP14" s="593" t="s">
        <v>549</v>
      </c>
      <c r="HQ14" s="24">
        <v>42</v>
      </c>
      <c r="HR14" s="19"/>
      <c r="HS14" s="30"/>
      <c r="HT14" s="121"/>
      <c r="HU14" s="20">
        <v>7</v>
      </c>
      <c r="HV14" s="19">
        <v>967.8</v>
      </c>
      <c r="HW14" s="58">
        <v>43448</v>
      </c>
      <c r="HX14" s="19">
        <v>967.8</v>
      </c>
      <c r="HY14" s="76" t="s">
        <v>545</v>
      </c>
      <c r="HZ14" s="24">
        <v>42</v>
      </c>
      <c r="IA14" s="30"/>
      <c r="IB14" s="59"/>
      <c r="IC14" s="121"/>
      <c r="ID14" s="20">
        <v>7</v>
      </c>
      <c r="IE14" s="19">
        <v>898.6</v>
      </c>
      <c r="IF14" s="17">
        <v>43449</v>
      </c>
      <c r="IG14" s="19">
        <v>898.6</v>
      </c>
      <c r="IH14" s="43" t="s">
        <v>552</v>
      </c>
      <c r="II14" s="24">
        <v>42</v>
      </c>
      <c r="IJ14" s="16"/>
      <c r="IK14" s="59"/>
      <c r="IL14" s="121"/>
      <c r="IM14" s="20">
        <v>7</v>
      </c>
      <c r="IN14" s="30">
        <v>975.96</v>
      </c>
      <c r="IO14" s="626">
        <v>43450</v>
      </c>
      <c r="IP14" s="30">
        <v>975.96</v>
      </c>
      <c r="IQ14" s="76" t="s">
        <v>559</v>
      </c>
      <c r="IR14" s="24">
        <v>42</v>
      </c>
      <c r="IS14" s="16"/>
      <c r="IT14" s="59"/>
      <c r="IU14" s="121"/>
      <c r="IV14" s="20">
        <v>7</v>
      </c>
      <c r="IW14" s="19">
        <v>891.8</v>
      </c>
      <c r="IX14" s="17">
        <v>43451</v>
      </c>
      <c r="IY14" s="19">
        <v>891.8</v>
      </c>
      <c r="IZ14" s="70" t="s">
        <v>569</v>
      </c>
      <c r="JA14" s="24">
        <v>42</v>
      </c>
      <c r="JB14" s="16"/>
      <c r="JC14" s="59"/>
      <c r="JD14" s="121"/>
      <c r="JE14" s="20">
        <v>7</v>
      </c>
      <c r="JF14" s="19">
        <v>899.5</v>
      </c>
      <c r="JG14" s="17">
        <v>43452</v>
      </c>
      <c r="JH14" s="19">
        <v>899.5</v>
      </c>
      <c r="JI14" s="70" t="s">
        <v>560</v>
      </c>
      <c r="JJ14" s="24">
        <v>42</v>
      </c>
      <c r="JK14" s="16"/>
      <c r="JL14" s="59"/>
      <c r="JM14" s="121"/>
      <c r="JN14" s="20">
        <v>7</v>
      </c>
      <c r="JO14" s="19">
        <v>969.61</v>
      </c>
      <c r="JP14" s="17">
        <v>43452</v>
      </c>
      <c r="JQ14" s="19">
        <v>969.61</v>
      </c>
      <c r="JR14" s="70" t="s">
        <v>578</v>
      </c>
      <c r="JS14" s="24">
        <v>42</v>
      </c>
      <c r="JT14" s="16"/>
      <c r="JU14" s="59"/>
      <c r="JV14" s="121"/>
      <c r="JW14" s="20">
        <v>7</v>
      </c>
      <c r="JX14" s="19">
        <v>936.66</v>
      </c>
      <c r="JY14" s="17">
        <v>43453</v>
      </c>
      <c r="JZ14" s="19">
        <v>936.66</v>
      </c>
      <c r="KA14" s="70" t="s">
        <v>585</v>
      </c>
      <c r="KB14" s="24">
        <v>42</v>
      </c>
      <c r="KC14" s="16"/>
      <c r="KD14" s="59"/>
      <c r="KE14" s="121"/>
      <c r="KF14" s="20">
        <v>7</v>
      </c>
      <c r="KG14" s="19">
        <v>906.5</v>
      </c>
      <c r="KH14" s="17">
        <v>43452</v>
      </c>
      <c r="KI14" s="19">
        <v>906.5</v>
      </c>
      <c r="KJ14" s="70" t="s">
        <v>580</v>
      </c>
      <c r="KK14" s="24">
        <v>42</v>
      </c>
      <c r="KL14" s="16"/>
      <c r="KM14" s="7"/>
      <c r="KN14" s="121"/>
      <c r="KO14" s="20">
        <v>7</v>
      </c>
      <c r="KP14" s="190">
        <v>933.9</v>
      </c>
      <c r="KQ14" s="105">
        <v>43453</v>
      </c>
      <c r="KR14" s="190">
        <v>933.9</v>
      </c>
      <c r="KS14" s="124" t="s">
        <v>583</v>
      </c>
      <c r="KT14" s="103">
        <v>42</v>
      </c>
      <c r="KU14" s="309"/>
      <c r="KV14" s="7"/>
      <c r="KW14" s="121"/>
      <c r="KX14" s="20">
        <v>7</v>
      </c>
      <c r="KY14" s="190">
        <v>915.19</v>
      </c>
      <c r="KZ14" s="17">
        <v>43453</v>
      </c>
      <c r="LA14" s="190">
        <v>915.19</v>
      </c>
      <c r="LB14" s="70" t="s">
        <v>586</v>
      </c>
      <c r="LC14" s="24">
        <v>42</v>
      </c>
      <c r="LD14" s="16"/>
      <c r="LE14" s="7"/>
      <c r="LF14" s="121"/>
      <c r="LG14" s="20">
        <v>7</v>
      </c>
      <c r="LH14" s="19">
        <v>923.36</v>
      </c>
      <c r="LI14" s="17">
        <v>43454</v>
      </c>
      <c r="LJ14" s="19">
        <v>923.36</v>
      </c>
      <c r="LK14" s="70" t="s">
        <v>595</v>
      </c>
      <c r="LL14" s="24">
        <v>42</v>
      </c>
      <c r="LM14" s="16"/>
      <c r="LN14" s="7"/>
      <c r="LO14" s="121"/>
      <c r="LP14" s="20">
        <v>7</v>
      </c>
      <c r="LQ14" s="190">
        <v>971.43</v>
      </c>
      <c r="LR14" s="17">
        <v>43455</v>
      </c>
      <c r="LS14" s="190">
        <v>971.43</v>
      </c>
      <c r="LT14" s="70" t="s">
        <v>602</v>
      </c>
      <c r="LU14" s="24">
        <v>42</v>
      </c>
      <c r="LV14" s="16"/>
      <c r="LW14" s="7"/>
      <c r="LX14" s="121"/>
      <c r="LY14" s="20">
        <v>7</v>
      </c>
      <c r="LZ14" s="19">
        <v>901.7</v>
      </c>
      <c r="MA14" s="17">
        <v>43455</v>
      </c>
      <c r="MB14" s="19">
        <v>901.7</v>
      </c>
      <c r="MC14" s="70" t="s">
        <v>604</v>
      </c>
      <c r="MD14" s="24">
        <v>42</v>
      </c>
      <c r="ME14" s="16"/>
      <c r="MF14" s="7"/>
      <c r="MG14" s="121"/>
      <c r="MH14" s="20">
        <v>7</v>
      </c>
      <c r="MI14" s="167">
        <v>891.3</v>
      </c>
      <c r="MJ14" s="150">
        <v>43455</v>
      </c>
      <c r="MK14" s="167">
        <v>891.3</v>
      </c>
      <c r="ML14" s="270" t="s">
        <v>609</v>
      </c>
      <c r="MM14" s="111">
        <v>42</v>
      </c>
      <c r="MN14" s="16"/>
      <c r="MO14" s="7"/>
      <c r="MP14" s="121"/>
      <c r="MQ14" s="20">
        <v>7</v>
      </c>
      <c r="MR14" s="19">
        <v>927.89</v>
      </c>
      <c r="MS14" s="17">
        <v>43457</v>
      </c>
      <c r="MT14" s="19">
        <v>927.89</v>
      </c>
      <c r="MU14" s="70" t="s">
        <v>626</v>
      </c>
      <c r="MV14" s="24">
        <v>42</v>
      </c>
      <c r="MW14" s="16"/>
      <c r="MX14" s="7"/>
      <c r="MY14" s="121"/>
      <c r="MZ14" s="20">
        <v>7</v>
      </c>
      <c r="NA14" s="19">
        <v>924</v>
      </c>
      <c r="NB14" s="17">
        <v>43460</v>
      </c>
      <c r="NC14" s="19">
        <v>924</v>
      </c>
      <c r="ND14" s="70" t="s">
        <v>634</v>
      </c>
      <c r="NE14" s="24">
        <v>42</v>
      </c>
      <c r="NF14" s="16"/>
      <c r="NG14" s="7"/>
      <c r="NH14" s="121"/>
      <c r="NI14" s="20">
        <v>7</v>
      </c>
      <c r="NJ14" s="19">
        <v>897.7</v>
      </c>
      <c r="NK14" s="17">
        <v>43456</v>
      </c>
      <c r="NL14" s="19">
        <v>897.7</v>
      </c>
      <c r="NM14" s="70" t="s">
        <v>613</v>
      </c>
      <c r="NN14" s="24">
        <v>42</v>
      </c>
      <c r="NO14" s="16"/>
      <c r="NP14" s="7"/>
      <c r="NQ14" s="171"/>
      <c r="NR14" s="20">
        <v>7</v>
      </c>
      <c r="NS14" s="19">
        <v>929.4</v>
      </c>
      <c r="NT14" s="17">
        <v>43456</v>
      </c>
      <c r="NU14" s="19">
        <v>929.4</v>
      </c>
      <c r="NV14" s="70" t="s">
        <v>615</v>
      </c>
      <c r="NW14" s="24">
        <v>42</v>
      </c>
      <c r="NX14" s="16"/>
      <c r="NY14" s="7"/>
      <c r="NZ14" s="121"/>
      <c r="OA14" s="20">
        <v>7</v>
      </c>
      <c r="OB14" s="19">
        <v>950.57</v>
      </c>
      <c r="OC14" s="105">
        <v>43456</v>
      </c>
      <c r="OD14" s="19">
        <v>950.57</v>
      </c>
      <c r="OE14" s="124" t="s">
        <v>621</v>
      </c>
      <c r="OF14" s="103">
        <v>42</v>
      </c>
      <c r="OG14" s="16"/>
      <c r="OH14" s="7"/>
      <c r="OI14" s="121"/>
      <c r="OJ14" s="20">
        <v>7</v>
      </c>
      <c r="OK14" s="19">
        <v>875</v>
      </c>
      <c r="OL14" s="17">
        <v>43456</v>
      </c>
      <c r="OM14" s="19">
        <v>875</v>
      </c>
      <c r="ON14" s="70" t="s">
        <v>617</v>
      </c>
      <c r="OO14" s="482">
        <v>42</v>
      </c>
      <c r="OP14" s="16"/>
      <c r="OQ14" s="7"/>
      <c r="OR14" s="121"/>
      <c r="OS14" s="20">
        <v>7</v>
      </c>
      <c r="OT14" s="19">
        <v>918.1</v>
      </c>
      <c r="OU14" s="17">
        <v>43457</v>
      </c>
      <c r="OV14" s="19">
        <v>918.1</v>
      </c>
      <c r="OW14" s="70" t="s">
        <v>625</v>
      </c>
      <c r="OX14" s="24">
        <v>42</v>
      </c>
      <c r="OY14" s="16"/>
      <c r="OZ14" s="7"/>
      <c r="PA14" s="121"/>
      <c r="PB14" s="20">
        <v>7</v>
      </c>
      <c r="PC14" s="19">
        <v>947.39</v>
      </c>
      <c r="PD14" s="17">
        <v>43458</v>
      </c>
      <c r="PE14" s="19">
        <v>947.39</v>
      </c>
      <c r="PF14" s="70" t="s">
        <v>630</v>
      </c>
      <c r="PG14" s="24">
        <v>42</v>
      </c>
      <c r="PH14" s="16"/>
      <c r="PI14" s="7"/>
      <c r="PJ14" s="121"/>
      <c r="PK14" s="20">
        <v>7</v>
      </c>
      <c r="PL14" s="19">
        <v>904.5</v>
      </c>
      <c r="PM14" s="17">
        <v>43461</v>
      </c>
      <c r="PN14" s="19">
        <v>904.5</v>
      </c>
      <c r="PO14" s="70" t="s">
        <v>642</v>
      </c>
      <c r="PP14" s="24">
        <v>38</v>
      </c>
      <c r="PQ14" s="16"/>
      <c r="PR14" s="7"/>
      <c r="PS14" s="121"/>
      <c r="PT14" s="20">
        <v>7</v>
      </c>
      <c r="PU14" s="19">
        <v>926.23</v>
      </c>
      <c r="PV14" s="17">
        <v>43462</v>
      </c>
      <c r="PW14" s="19">
        <v>926.23</v>
      </c>
      <c r="PX14" s="270" t="s">
        <v>653</v>
      </c>
      <c r="PY14" s="24">
        <v>38</v>
      </c>
      <c r="PZ14" s="16"/>
      <c r="QA14" s="7"/>
      <c r="QB14" s="121"/>
      <c r="QC14" s="20">
        <v>7</v>
      </c>
      <c r="QD14" s="19">
        <v>972.04</v>
      </c>
      <c r="QE14" s="105">
        <v>43462</v>
      </c>
      <c r="QF14" s="19">
        <v>972.04</v>
      </c>
      <c r="QG14" s="124" t="s">
        <v>657</v>
      </c>
      <c r="QH14" s="24">
        <v>38</v>
      </c>
      <c r="QI14" s="16"/>
      <c r="QJ14" s="129"/>
      <c r="QK14" s="121"/>
      <c r="QL14" s="20">
        <v>7</v>
      </c>
      <c r="QM14" s="19">
        <v>927.6</v>
      </c>
      <c r="QN14" s="17">
        <v>43461</v>
      </c>
      <c r="QO14" s="19">
        <v>927.6</v>
      </c>
      <c r="QP14" s="70" t="s">
        <v>645</v>
      </c>
      <c r="QQ14" s="24">
        <v>38</v>
      </c>
      <c r="QR14" s="16"/>
      <c r="QS14" s="129"/>
      <c r="QT14" s="121"/>
      <c r="QU14" s="20">
        <v>7</v>
      </c>
      <c r="QV14" s="19">
        <v>952.99</v>
      </c>
      <c r="QW14" s="17">
        <v>43461</v>
      </c>
      <c r="QX14" s="19">
        <v>952.99</v>
      </c>
      <c r="QY14" s="70" t="s">
        <v>649</v>
      </c>
      <c r="QZ14" s="24">
        <v>38</v>
      </c>
      <c r="RA14" s="16"/>
      <c r="RB14" s="129"/>
      <c r="RC14" s="121"/>
      <c r="RD14" s="20"/>
      <c r="RE14" s="19"/>
      <c r="RF14" s="17"/>
      <c r="RG14" s="19"/>
      <c r="RH14" s="70"/>
      <c r="RI14" s="24"/>
      <c r="RJ14" s="16"/>
      <c r="RK14" s="129"/>
      <c r="RL14" s="121"/>
      <c r="RM14" s="20">
        <v>7</v>
      </c>
      <c r="RN14" s="19">
        <v>931.52</v>
      </c>
      <c r="RO14" s="400">
        <v>43462</v>
      </c>
      <c r="RP14" s="401">
        <v>931.52</v>
      </c>
      <c r="RQ14" s="402" t="s">
        <v>644</v>
      </c>
      <c r="RR14" s="403">
        <v>38</v>
      </c>
      <c r="RS14" s="16"/>
      <c r="RT14" s="129"/>
      <c r="RU14" s="121"/>
      <c r="RV14" s="20">
        <v>7</v>
      </c>
      <c r="RW14" s="19"/>
      <c r="RX14" s="17"/>
      <c r="RY14" s="19"/>
      <c r="RZ14" s="70"/>
      <c r="SA14" s="24"/>
      <c r="SB14" s="16"/>
      <c r="SC14" s="129"/>
      <c r="SD14" s="121"/>
      <c r="SE14" s="20">
        <v>7</v>
      </c>
      <c r="SF14" s="19">
        <v>978.68</v>
      </c>
      <c r="SG14" s="17">
        <v>43463</v>
      </c>
      <c r="SH14" s="19">
        <v>978.68</v>
      </c>
      <c r="SI14" s="70" t="s">
        <v>654</v>
      </c>
      <c r="SJ14" s="24">
        <v>38</v>
      </c>
      <c r="SK14" s="16"/>
      <c r="SL14" s="129"/>
      <c r="SM14" s="121"/>
      <c r="SN14" s="20">
        <v>7</v>
      </c>
      <c r="SO14" s="19">
        <v>857.3</v>
      </c>
      <c r="SP14" s="17">
        <v>43463</v>
      </c>
      <c r="SQ14" s="19">
        <v>857.3</v>
      </c>
      <c r="SR14" s="70" t="s">
        <v>668</v>
      </c>
      <c r="SS14" s="24">
        <v>38</v>
      </c>
      <c r="ST14" s="16"/>
      <c r="SU14" s="129"/>
      <c r="SV14" s="121"/>
      <c r="SW14" s="20">
        <v>7</v>
      </c>
      <c r="SX14" s="19">
        <v>871.3</v>
      </c>
      <c r="SY14" s="17">
        <v>43463</v>
      </c>
      <c r="SZ14" s="19">
        <v>871.3</v>
      </c>
      <c r="TA14" s="70" t="s">
        <v>665</v>
      </c>
      <c r="TB14" s="24">
        <v>38</v>
      </c>
      <c r="TC14" s="16"/>
      <c r="TD14" s="129"/>
      <c r="TE14" s="121"/>
      <c r="TF14" s="20">
        <v>7</v>
      </c>
      <c r="TG14" s="19">
        <v>928.8</v>
      </c>
      <c r="TH14" s="17">
        <v>43464</v>
      </c>
      <c r="TI14" s="19">
        <v>928.8</v>
      </c>
      <c r="TJ14" s="70" t="s">
        <v>669</v>
      </c>
      <c r="TK14" s="24">
        <v>38</v>
      </c>
      <c r="TM14" s="7"/>
      <c r="TN14" s="2"/>
      <c r="TO14" s="20">
        <v>7</v>
      </c>
      <c r="TP14" s="19">
        <v>906.7</v>
      </c>
      <c r="TQ14" s="17">
        <v>43464</v>
      </c>
      <c r="TR14" s="19">
        <v>906.7</v>
      </c>
      <c r="TS14" s="70" t="s">
        <v>670</v>
      </c>
      <c r="TT14" s="24">
        <v>38</v>
      </c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TYSON FRESH MEATS</v>
      </c>
      <c r="C15" s="16" t="str">
        <f t="shared" si="11"/>
        <v xml:space="preserve">I B P </v>
      </c>
      <c r="D15" s="72" t="str">
        <f t="shared" si="11"/>
        <v>PED. 31847770</v>
      </c>
      <c r="E15" s="155">
        <f t="shared" si="11"/>
        <v>43440</v>
      </c>
      <c r="F15" s="74">
        <f t="shared" si="11"/>
        <v>18903.46</v>
      </c>
      <c r="G15" s="15">
        <f t="shared" si="11"/>
        <v>20</v>
      </c>
      <c r="H15" s="64">
        <f t="shared" si="11"/>
        <v>18992.71</v>
      </c>
      <c r="I15" s="18">
        <f t="shared" si="11"/>
        <v>-89.25</v>
      </c>
      <c r="K15" s="7"/>
      <c r="L15" s="121"/>
      <c r="M15" s="20">
        <v>8</v>
      </c>
      <c r="N15" s="190">
        <v>870</v>
      </c>
      <c r="O15" s="105">
        <v>43435</v>
      </c>
      <c r="P15" s="190">
        <v>870</v>
      </c>
      <c r="Q15" s="124" t="s">
        <v>471</v>
      </c>
      <c r="R15" s="103">
        <v>37</v>
      </c>
      <c r="S15" s="309"/>
      <c r="T15" s="7"/>
      <c r="U15" s="121"/>
      <c r="V15" s="20">
        <v>8</v>
      </c>
      <c r="W15" s="190">
        <v>897.2</v>
      </c>
      <c r="X15" s="17">
        <v>43435</v>
      </c>
      <c r="Y15" s="190">
        <v>897.2</v>
      </c>
      <c r="Z15" s="70" t="s">
        <v>473</v>
      </c>
      <c r="AA15" s="24">
        <v>37</v>
      </c>
      <c r="AB15" s="16"/>
      <c r="AC15" s="7"/>
      <c r="AD15" s="121"/>
      <c r="AE15" s="20">
        <v>8</v>
      </c>
      <c r="AF15" s="190">
        <v>946.94</v>
      </c>
      <c r="AG15" s="17">
        <v>43436</v>
      </c>
      <c r="AH15" s="190">
        <v>946.94</v>
      </c>
      <c r="AI15" s="70" t="s">
        <v>481</v>
      </c>
      <c r="AJ15" s="24">
        <v>37</v>
      </c>
      <c r="AK15" s="16"/>
      <c r="AL15" s="59"/>
      <c r="AM15" s="121"/>
      <c r="AN15" s="20">
        <v>8</v>
      </c>
      <c r="AO15" s="19">
        <v>945.12</v>
      </c>
      <c r="AP15" s="17">
        <v>43441</v>
      </c>
      <c r="AQ15" s="19">
        <v>945.12</v>
      </c>
      <c r="AR15" s="70" t="s">
        <v>478</v>
      </c>
      <c r="AS15" s="24">
        <v>38</v>
      </c>
      <c r="AT15" s="16"/>
      <c r="AU15" s="59"/>
      <c r="AV15" s="121"/>
      <c r="AW15" s="20">
        <v>8</v>
      </c>
      <c r="AX15" s="19">
        <v>875</v>
      </c>
      <c r="AY15" s="105">
        <v>43441</v>
      </c>
      <c r="AZ15" s="19">
        <v>875</v>
      </c>
      <c r="BA15" s="124" t="s">
        <v>519</v>
      </c>
      <c r="BB15" s="414">
        <v>38</v>
      </c>
      <c r="BC15" s="16"/>
      <c r="BD15" s="59"/>
      <c r="BE15" s="121"/>
      <c r="BF15" s="20">
        <v>8</v>
      </c>
      <c r="BG15" s="19">
        <v>921.2</v>
      </c>
      <c r="BH15" s="400">
        <v>43441</v>
      </c>
      <c r="BI15" s="19">
        <v>921.2</v>
      </c>
      <c r="BJ15" s="402" t="s">
        <v>517</v>
      </c>
      <c r="BK15" s="403">
        <v>38</v>
      </c>
      <c r="BL15" s="16"/>
      <c r="BM15" s="59"/>
      <c r="BN15" s="121"/>
      <c r="BO15" s="20">
        <v>8</v>
      </c>
      <c r="BP15" s="19">
        <v>898</v>
      </c>
      <c r="BQ15" s="400">
        <v>43439</v>
      </c>
      <c r="BR15" s="19">
        <v>898</v>
      </c>
      <c r="BS15" s="402" t="s">
        <v>502</v>
      </c>
      <c r="BT15" s="403">
        <v>37</v>
      </c>
      <c r="BU15" s="16"/>
      <c r="BV15" s="59"/>
      <c r="BW15" s="121"/>
      <c r="BX15" s="20">
        <v>8</v>
      </c>
      <c r="BY15" s="19">
        <v>907</v>
      </c>
      <c r="BZ15" s="400">
        <v>43438</v>
      </c>
      <c r="CA15" s="19">
        <v>907</v>
      </c>
      <c r="CB15" s="402" t="s">
        <v>475</v>
      </c>
      <c r="CC15" s="403">
        <v>37</v>
      </c>
      <c r="CD15" s="16"/>
      <c r="CE15" s="59"/>
      <c r="CF15" s="121"/>
      <c r="CG15" s="20">
        <v>8</v>
      </c>
      <c r="CH15" s="19">
        <v>975.22</v>
      </c>
      <c r="CI15" s="17">
        <v>43439</v>
      </c>
      <c r="CJ15" s="19">
        <v>975.22</v>
      </c>
      <c r="CK15" s="70" t="s">
        <v>487</v>
      </c>
      <c r="CL15" s="24">
        <v>37</v>
      </c>
      <c r="CM15" s="16"/>
      <c r="CN15" s="59"/>
      <c r="CO15" s="121"/>
      <c r="CP15" s="20">
        <v>8</v>
      </c>
      <c r="CQ15" s="19">
        <v>928.95</v>
      </c>
      <c r="CR15" s="17">
        <v>43439</v>
      </c>
      <c r="CS15" s="19">
        <v>928.95</v>
      </c>
      <c r="CT15" s="70" t="s">
        <v>495</v>
      </c>
      <c r="CU15" s="24">
        <v>37</v>
      </c>
      <c r="CV15" s="16"/>
      <c r="CW15" s="59"/>
      <c r="CX15" s="121"/>
      <c r="CY15" s="20">
        <v>8</v>
      </c>
      <c r="CZ15" s="19">
        <v>891.61</v>
      </c>
      <c r="DA15" s="400">
        <v>43440</v>
      </c>
      <c r="DB15" s="19">
        <v>891.61</v>
      </c>
      <c r="DC15" s="402" t="s">
        <v>496</v>
      </c>
      <c r="DD15" s="403">
        <v>38</v>
      </c>
      <c r="DE15" s="16"/>
      <c r="DF15" s="59"/>
      <c r="DG15" s="121"/>
      <c r="DH15" s="20">
        <v>8</v>
      </c>
      <c r="DI15" s="19">
        <v>940.29</v>
      </c>
      <c r="DJ15" s="400">
        <v>43440</v>
      </c>
      <c r="DK15" s="19">
        <v>940.29</v>
      </c>
      <c r="DL15" s="402" t="s">
        <v>464</v>
      </c>
      <c r="DM15" s="403">
        <v>37</v>
      </c>
      <c r="DN15" s="16"/>
      <c r="DO15" s="59"/>
      <c r="DP15" s="121"/>
      <c r="DQ15" s="20">
        <v>8</v>
      </c>
      <c r="DR15" s="30">
        <v>973.24</v>
      </c>
      <c r="DS15" s="58">
        <v>43442</v>
      </c>
      <c r="DT15" s="30">
        <v>973.24</v>
      </c>
      <c r="DU15" s="76" t="s">
        <v>497</v>
      </c>
      <c r="DV15" s="24">
        <v>40</v>
      </c>
      <c r="DW15" s="16"/>
      <c r="DX15" s="59"/>
      <c r="DY15" s="121"/>
      <c r="DZ15" s="20">
        <v>8</v>
      </c>
      <c r="EA15" s="30">
        <v>910.8</v>
      </c>
      <c r="EB15" s="58">
        <v>43444</v>
      </c>
      <c r="EC15" s="30">
        <v>910.8</v>
      </c>
      <c r="ED15" s="76" t="s">
        <v>513</v>
      </c>
      <c r="EE15" s="24">
        <v>42</v>
      </c>
      <c r="EF15" s="16"/>
      <c r="EG15" s="59"/>
      <c r="EH15" s="121"/>
      <c r="EI15" s="20">
        <v>8</v>
      </c>
      <c r="EJ15" s="19">
        <v>924</v>
      </c>
      <c r="EK15" s="17">
        <v>43442</v>
      </c>
      <c r="EL15" s="19">
        <v>924</v>
      </c>
      <c r="EM15" s="43" t="s">
        <v>524</v>
      </c>
      <c r="EN15" s="24">
        <v>40</v>
      </c>
      <c r="EO15" s="16"/>
      <c r="EP15" s="59"/>
      <c r="EQ15" s="121"/>
      <c r="ER15" s="20">
        <v>8</v>
      </c>
      <c r="ES15" s="19">
        <v>997.73</v>
      </c>
      <c r="ET15" s="17">
        <v>43446</v>
      </c>
      <c r="EU15" s="19">
        <v>997.73</v>
      </c>
      <c r="EV15" s="43" t="s">
        <v>532</v>
      </c>
      <c r="EW15" s="24">
        <v>42</v>
      </c>
      <c r="EX15" s="16"/>
      <c r="EY15" s="59"/>
      <c r="EZ15" s="121"/>
      <c r="FA15" s="20">
        <v>8</v>
      </c>
      <c r="FB15" s="167">
        <v>997.73</v>
      </c>
      <c r="FC15" s="150">
        <v>43445</v>
      </c>
      <c r="FD15" s="167">
        <v>997.73</v>
      </c>
      <c r="FE15" s="110" t="s">
        <v>527</v>
      </c>
      <c r="FF15" s="111">
        <v>42</v>
      </c>
      <c r="FG15" s="16"/>
      <c r="FH15" s="59"/>
      <c r="FI15" s="121"/>
      <c r="FJ15" s="20">
        <v>8</v>
      </c>
      <c r="FK15" s="30">
        <v>897</v>
      </c>
      <c r="FL15" s="58">
        <v>43445</v>
      </c>
      <c r="FM15" s="30">
        <v>897</v>
      </c>
      <c r="FN15" s="76" t="s">
        <v>505</v>
      </c>
      <c r="FO15" s="24">
        <v>42</v>
      </c>
      <c r="FP15" s="16"/>
      <c r="FQ15" s="59"/>
      <c r="FR15" s="121"/>
      <c r="FS15" s="20">
        <v>8</v>
      </c>
      <c r="FT15" s="19">
        <v>971.14</v>
      </c>
      <c r="FU15" s="150">
        <v>43445</v>
      </c>
      <c r="FV15" s="19">
        <v>971.14</v>
      </c>
      <c r="FW15" s="270" t="s">
        <v>467</v>
      </c>
      <c r="FX15" s="111">
        <v>42</v>
      </c>
      <c r="FY15" s="16"/>
      <c r="FZ15" s="59"/>
      <c r="GA15" s="121"/>
      <c r="GB15" s="20">
        <v>8</v>
      </c>
      <c r="GC15" s="19">
        <v>931.97</v>
      </c>
      <c r="GD15" s="17">
        <v>43446</v>
      </c>
      <c r="GE15" s="19">
        <v>931.97</v>
      </c>
      <c r="GF15" s="70" t="s">
        <v>531</v>
      </c>
      <c r="GG15" s="24">
        <v>42</v>
      </c>
      <c r="GH15" s="16"/>
      <c r="GI15" s="59"/>
      <c r="GJ15" s="121"/>
      <c r="GK15" s="20">
        <v>8</v>
      </c>
      <c r="GL15" s="19">
        <v>952.83</v>
      </c>
      <c r="GM15" s="17">
        <v>43447</v>
      </c>
      <c r="GN15" s="19">
        <v>952.83</v>
      </c>
      <c r="GO15" s="70" t="s">
        <v>540</v>
      </c>
      <c r="GP15" s="24">
        <v>42</v>
      </c>
      <c r="GQ15" s="16"/>
      <c r="GR15" s="59"/>
      <c r="GS15" s="121"/>
      <c r="GT15" s="20">
        <v>8</v>
      </c>
      <c r="GU15" s="19">
        <v>878.6</v>
      </c>
      <c r="GV15" s="17">
        <v>43448</v>
      </c>
      <c r="GW15" s="19">
        <v>878.6</v>
      </c>
      <c r="GX15" s="311" t="s">
        <v>538</v>
      </c>
      <c r="GY15" s="24">
        <v>42</v>
      </c>
      <c r="GZ15" s="16"/>
      <c r="HA15" s="59"/>
      <c r="HB15" s="121"/>
      <c r="HC15" s="20">
        <v>8</v>
      </c>
      <c r="HD15" s="30">
        <v>865.4</v>
      </c>
      <c r="HE15" s="58">
        <v>43448</v>
      </c>
      <c r="HF15" s="30">
        <v>865.4</v>
      </c>
      <c r="HG15" s="76" t="s">
        <v>542</v>
      </c>
      <c r="HH15" s="24">
        <v>42</v>
      </c>
      <c r="HI15" s="16"/>
      <c r="HJ15" s="59"/>
      <c r="HK15" s="121"/>
      <c r="HL15" s="20">
        <v>8</v>
      </c>
      <c r="HM15" s="19">
        <v>950.11</v>
      </c>
      <c r="HN15" s="17">
        <v>43449</v>
      </c>
      <c r="HO15" s="19">
        <v>950.11</v>
      </c>
      <c r="HP15" s="593" t="s">
        <v>549</v>
      </c>
      <c r="HQ15" s="24">
        <v>42</v>
      </c>
      <c r="HR15" s="19"/>
      <c r="HS15" s="30"/>
      <c r="HT15" s="121"/>
      <c r="HU15" s="20">
        <v>8</v>
      </c>
      <c r="HV15" s="19">
        <v>983.67</v>
      </c>
      <c r="HW15" s="58">
        <v>43448</v>
      </c>
      <c r="HX15" s="19">
        <v>983.67</v>
      </c>
      <c r="HY15" s="76" t="s">
        <v>545</v>
      </c>
      <c r="HZ15" s="24">
        <v>42</v>
      </c>
      <c r="IA15" s="30"/>
      <c r="IB15" s="59"/>
      <c r="IC15" s="121"/>
      <c r="ID15" s="20">
        <v>8</v>
      </c>
      <c r="IE15" s="19">
        <v>883.1</v>
      </c>
      <c r="IF15" s="17">
        <v>43449</v>
      </c>
      <c r="IG15" s="19">
        <v>883.1</v>
      </c>
      <c r="IH15" s="43" t="s">
        <v>552</v>
      </c>
      <c r="II15" s="24">
        <v>42</v>
      </c>
      <c r="IJ15" s="16"/>
      <c r="IK15" s="59"/>
      <c r="IL15" s="121"/>
      <c r="IM15" s="20">
        <v>8</v>
      </c>
      <c r="IN15" s="30">
        <v>941.95</v>
      </c>
      <c r="IO15" s="626">
        <v>43450</v>
      </c>
      <c r="IP15" s="30">
        <v>941.95</v>
      </c>
      <c r="IQ15" s="76" t="s">
        <v>559</v>
      </c>
      <c r="IR15" s="24">
        <v>42</v>
      </c>
      <c r="IS15" s="16"/>
      <c r="IT15" s="59"/>
      <c r="IU15" s="121"/>
      <c r="IV15" s="20">
        <v>8</v>
      </c>
      <c r="IW15" s="19">
        <v>886.8</v>
      </c>
      <c r="IX15" s="17">
        <v>43451</v>
      </c>
      <c r="IY15" s="19">
        <v>886.8</v>
      </c>
      <c r="IZ15" s="70" t="s">
        <v>570</v>
      </c>
      <c r="JA15" s="24">
        <v>42</v>
      </c>
      <c r="JB15" s="16"/>
      <c r="JC15" s="59"/>
      <c r="JD15" s="121"/>
      <c r="JE15" s="20">
        <v>8</v>
      </c>
      <c r="JF15" s="19">
        <v>867.3</v>
      </c>
      <c r="JG15" s="17">
        <v>43452</v>
      </c>
      <c r="JH15" s="19">
        <v>867.3</v>
      </c>
      <c r="JI15" s="70" t="s">
        <v>573</v>
      </c>
      <c r="JJ15" s="24">
        <v>42</v>
      </c>
      <c r="JK15" s="16"/>
      <c r="JL15" s="59"/>
      <c r="JM15" s="121"/>
      <c r="JN15" s="20">
        <v>8</v>
      </c>
      <c r="JO15" s="19">
        <v>945.58</v>
      </c>
      <c r="JP15" s="17">
        <v>43452</v>
      </c>
      <c r="JQ15" s="19">
        <v>945.58</v>
      </c>
      <c r="JR15" s="70" t="s">
        <v>578</v>
      </c>
      <c r="JS15" s="24">
        <v>42</v>
      </c>
      <c r="JT15" s="16"/>
      <c r="JU15" s="59"/>
      <c r="JV15" s="121"/>
      <c r="JW15" s="20">
        <v>8</v>
      </c>
      <c r="JX15" s="19">
        <v>947.1</v>
      </c>
      <c r="JY15" s="17">
        <v>43453</v>
      </c>
      <c r="JZ15" s="19">
        <v>947.1</v>
      </c>
      <c r="KA15" s="70" t="s">
        <v>588</v>
      </c>
      <c r="KB15" s="24">
        <v>42</v>
      </c>
      <c r="KC15" s="16"/>
      <c r="KD15" s="59"/>
      <c r="KE15" s="121"/>
      <c r="KF15" s="20">
        <v>8</v>
      </c>
      <c r="KG15" s="19">
        <v>900.5</v>
      </c>
      <c r="KH15" s="17">
        <v>43452</v>
      </c>
      <c r="KI15" s="19">
        <v>900.5</v>
      </c>
      <c r="KJ15" s="70" t="s">
        <v>580</v>
      </c>
      <c r="KK15" s="24">
        <v>42</v>
      </c>
      <c r="KL15" s="16"/>
      <c r="KM15" s="7"/>
      <c r="KN15" s="121"/>
      <c r="KO15" s="20">
        <v>8</v>
      </c>
      <c r="KP15" s="190">
        <v>886.3</v>
      </c>
      <c r="KQ15" s="105">
        <v>43453</v>
      </c>
      <c r="KR15" s="190">
        <v>886.3</v>
      </c>
      <c r="KS15" s="124" t="s">
        <v>583</v>
      </c>
      <c r="KT15" s="103">
        <v>42</v>
      </c>
      <c r="KU15" s="309"/>
      <c r="KV15" s="7"/>
      <c r="KW15" s="121"/>
      <c r="KX15" s="20">
        <v>8</v>
      </c>
      <c r="KY15" s="190">
        <v>947.85</v>
      </c>
      <c r="KZ15" s="17">
        <v>43453</v>
      </c>
      <c r="LA15" s="190">
        <v>947.85</v>
      </c>
      <c r="LB15" s="70" t="s">
        <v>586</v>
      </c>
      <c r="LC15" s="24">
        <v>42</v>
      </c>
      <c r="LD15" s="16"/>
      <c r="LE15" s="7"/>
      <c r="LF15" s="121"/>
      <c r="LG15" s="20">
        <v>8</v>
      </c>
      <c r="LH15" s="19">
        <v>951.47</v>
      </c>
      <c r="LI15" s="17">
        <v>43454</v>
      </c>
      <c r="LJ15" s="19">
        <v>951.47</v>
      </c>
      <c r="LK15" s="70" t="s">
        <v>591</v>
      </c>
      <c r="LL15" s="24">
        <v>42</v>
      </c>
      <c r="LM15" s="16"/>
      <c r="LN15" s="7"/>
      <c r="LO15" s="121"/>
      <c r="LP15" s="20">
        <v>8</v>
      </c>
      <c r="LQ15" s="190">
        <v>922</v>
      </c>
      <c r="LR15" s="17">
        <v>43455</v>
      </c>
      <c r="LS15" s="190">
        <v>922</v>
      </c>
      <c r="LT15" s="70" t="s">
        <v>603</v>
      </c>
      <c r="LU15" s="24">
        <v>42</v>
      </c>
      <c r="LV15" s="16"/>
      <c r="LW15" s="7"/>
      <c r="LX15" s="121"/>
      <c r="LY15" s="20">
        <v>8</v>
      </c>
      <c r="LZ15" s="19">
        <v>894.5</v>
      </c>
      <c r="MA15" s="17">
        <v>43455</v>
      </c>
      <c r="MB15" s="19">
        <v>894.5</v>
      </c>
      <c r="MC15" s="70" t="s">
        <v>604</v>
      </c>
      <c r="MD15" s="24">
        <v>42</v>
      </c>
      <c r="ME15" s="16"/>
      <c r="MF15" s="7"/>
      <c r="MG15" s="121"/>
      <c r="MH15" s="20">
        <v>8</v>
      </c>
      <c r="MI15" s="167">
        <v>870.4</v>
      </c>
      <c r="MJ15" s="150">
        <v>43455</v>
      </c>
      <c r="MK15" s="167">
        <v>870.4</v>
      </c>
      <c r="ML15" s="270" t="s">
        <v>609</v>
      </c>
      <c r="MM15" s="111">
        <v>42</v>
      </c>
      <c r="MN15" s="16"/>
      <c r="MO15" s="7"/>
      <c r="MP15" s="121"/>
      <c r="MQ15" s="20">
        <v>8</v>
      </c>
      <c r="MR15" s="19">
        <v>936.05</v>
      </c>
      <c r="MS15" s="17">
        <v>43458</v>
      </c>
      <c r="MT15" s="19">
        <v>936.05</v>
      </c>
      <c r="MU15" s="70" t="s">
        <v>630</v>
      </c>
      <c r="MV15" s="24">
        <v>42</v>
      </c>
      <c r="MW15" s="16"/>
      <c r="MX15" s="7"/>
      <c r="MY15" s="121"/>
      <c r="MZ15" s="20">
        <v>8</v>
      </c>
      <c r="NA15" s="19">
        <v>879.5</v>
      </c>
      <c r="NB15" s="17">
        <v>43460</v>
      </c>
      <c r="NC15" s="19">
        <v>879.5</v>
      </c>
      <c r="ND15" s="70" t="s">
        <v>634</v>
      </c>
      <c r="NE15" s="24">
        <v>42</v>
      </c>
      <c r="NF15" s="16"/>
      <c r="NG15" s="7"/>
      <c r="NH15" s="121"/>
      <c r="NI15" s="20">
        <v>8</v>
      </c>
      <c r="NJ15" s="19">
        <v>878.2</v>
      </c>
      <c r="NK15" s="17">
        <v>43456</v>
      </c>
      <c r="NL15" s="19">
        <v>878.2</v>
      </c>
      <c r="NM15" s="70" t="s">
        <v>613</v>
      </c>
      <c r="NN15" s="24">
        <v>42</v>
      </c>
      <c r="NO15" s="16"/>
      <c r="NP15" s="7"/>
      <c r="NQ15" s="171"/>
      <c r="NR15" s="20">
        <v>8</v>
      </c>
      <c r="NS15" s="19">
        <v>940.3</v>
      </c>
      <c r="NT15" s="17">
        <v>43456</v>
      </c>
      <c r="NU15" s="19">
        <v>940.3</v>
      </c>
      <c r="NV15" s="70" t="s">
        <v>615</v>
      </c>
      <c r="NW15" s="24">
        <v>42</v>
      </c>
      <c r="NX15" s="16"/>
      <c r="NY15" s="7"/>
      <c r="NZ15" s="121"/>
      <c r="OA15" s="20">
        <v>8</v>
      </c>
      <c r="OB15" s="19">
        <v>950.57</v>
      </c>
      <c r="OC15" s="105">
        <v>43456</v>
      </c>
      <c r="OD15" s="19">
        <v>950.57</v>
      </c>
      <c r="OE15" s="124" t="s">
        <v>621</v>
      </c>
      <c r="OF15" s="103">
        <v>42</v>
      </c>
      <c r="OG15" s="16"/>
      <c r="OH15" s="7"/>
      <c r="OI15" s="121"/>
      <c r="OJ15" s="20">
        <v>8</v>
      </c>
      <c r="OK15" s="19">
        <v>914.4</v>
      </c>
      <c r="OL15" s="17">
        <v>43456</v>
      </c>
      <c r="OM15" s="19">
        <v>914.4</v>
      </c>
      <c r="ON15" s="70" t="s">
        <v>617</v>
      </c>
      <c r="OO15" s="482">
        <v>42</v>
      </c>
      <c r="OP15" s="16"/>
      <c r="OQ15" s="7"/>
      <c r="OR15" s="121"/>
      <c r="OS15" s="20">
        <v>8</v>
      </c>
      <c r="OT15" s="19">
        <v>882.7</v>
      </c>
      <c r="OU15" s="17">
        <v>43457</v>
      </c>
      <c r="OV15" s="19">
        <v>882.7</v>
      </c>
      <c r="OW15" s="70" t="s">
        <v>625</v>
      </c>
      <c r="OX15" s="24">
        <v>42</v>
      </c>
      <c r="OY15" s="16"/>
      <c r="OZ15" s="7"/>
      <c r="PA15" s="121"/>
      <c r="PB15" s="20">
        <v>8</v>
      </c>
      <c r="PC15" s="19">
        <v>941.95</v>
      </c>
      <c r="PD15" s="17">
        <v>43458</v>
      </c>
      <c r="PE15" s="19">
        <v>941.95</v>
      </c>
      <c r="PF15" s="70" t="s">
        <v>630</v>
      </c>
      <c r="PG15" s="24">
        <v>42</v>
      </c>
      <c r="PH15" s="16"/>
      <c r="PI15" s="7"/>
      <c r="PJ15" s="121"/>
      <c r="PK15" s="20">
        <v>8</v>
      </c>
      <c r="PL15" s="19">
        <v>906</v>
      </c>
      <c r="PM15" s="17">
        <v>43461</v>
      </c>
      <c r="PN15" s="19">
        <v>906</v>
      </c>
      <c r="PO15" s="70" t="s">
        <v>642</v>
      </c>
      <c r="PP15" s="24">
        <v>38</v>
      </c>
      <c r="PQ15" s="16"/>
      <c r="PR15" s="7"/>
      <c r="PS15" s="121"/>
      <c r="PT15" s="20">
        <v>8</v>
      </c>
      <c r="PU15" s="19">
        <v>913.98</v>
      </c>
      <c r="PV15" s="17">
        <v>43462</v>
      </c>
      <c r="PW15" s="19">
        <v>913.98</v>
      </c>
      <c r="PX15" s="270" t="s">
        <v>653</v>
      </c>
      <c r="PY15" s="24">
        <v>38</v>
      </c>
      <c r="PZ15" s="16"/>
      <c r="QA15" s="7"/>
      <c r="QB15" s="121"/>
      <c r="QC15" s="20">
        <v>8</v>
      </c>
      <c r="QD15" s="19">
        <v>962.06</v>
      </c>
      <c r="QE15" s="105">
        <v>43462</v>
      </c>
      <c r="QF15" s="19">
        <v>962.06</v>
      </c>
      <c r="QG15" s="124" t="s">
        <v>658</v>
      </c>
      <c r="QH15" s="24">
        <v>38</v>
      </c>
      <c r="QI15" s="16"/>
      <c r="QJ15" s="59"/>
      <c r="QK15" s="121"/>
      <c r="QL15" s="20">
        <v>8</v>
      </c>
      <c r="QM15" s="19">
        <v>903.1</v>
      </c>
      <c r="QN15" s="17">
        <v>43461</v>
      </c>
      <c r="QO15" s="19">
        <v>903.1</v>
      </c>
      <c r="QP15" s="70" t="s">
        <v>645</v>
      </c>
      <c r="QQ15" s="24">
        <v>38</v>
      </c>
      <c r="QR15" s="16"/>
      <c r="QS15" s="59"/>
      <c r="QT15" s="121"/>
      <c r="QU15" s="20">
        <v>8</v>
      </c>
      <c r="QV15" s="19">
        <v>922.6</v>
      </c>
      <c r="QW15" s="17">
        <v>43461</v>
      </c>
      <c r="QX15" s="19">
        <v>922.6</v>
      </c>
      <c r="QY15" s="70" t="s">
        <v>649</v>
      </c>
      <c r="QZ15" s="24">
        <v>38</v>
      </c>
      <c r="RA15" s="16"/>
      <c r="RB15" s="59"/>
      <c r="RC15" s="121"/>
      <c r="RD15" s="20"/>
      <c r="RE15" s="19"/>
      <c r="RF15" s="17"/>
      <c r="RG15" s="19"/>
      <c r="RH15" s="70"/>
      <c r="RI15" s="24"/>
      <c r="RJ15" s="16"/>
      <c r="RK15" s="59"/>
      <c r="RL15" s="121"/>
      <c r="RM15" s="20">
        <v>8</v>
      </c>
      <c r="RN15" s="19">
        <v>977.32</v>
      </c>
      <c r="RO15" s="400">
        <v>43462</v>
      </c>
      <c r="RP15" s="401">
        <v>977.32</v>
      </c>
      <c r="RQ15" s="402" t="s">
        <v>661</v>
      </c>
      <c r="RR15" s="403">
        <v>38</v>
      </c>
      <c r="RS15" s="16"/>
      <c r="RT15" s="59"/>
      <c r="RU15" s="121"/>
      <c r="RV15" s="20">
        <v>8</v>
      </c>
      <c r="RW15" s="19"/>
      <c r="RX15" s="17"/>
      <c r="RY15" s="19"/>
      <c r="RZ15" s="70"/>
      <c r="SA15" s="24"/>
      <c r="SB15" s="16"/>
      <c r="SC15" s="59"/>
      <c r="SD15" s="121"/>
      <c r="SE15" s="20">
        <v>8</v>
      </c>
      <c r="SF15" s="19">
        <v>973.7</v>
      </c>
      <c r="SG15" s="17">
        <v>43463</v>
      </c>
      <c r="SH15" s="19">
        <v>973.7</v>
      </c>
      <c r="SI15" s="70" t="s">
        <v>654</v>
      </c>
      <c r="SJ15" s="24">
        <v>38</v>
      </c>
      <c r="SK15" s="16"/>
      <c r="SL15" s="59"/>
      <c r="SM15" s="121"/>
      <c r="SN15" s="20">
        <v>8</v>
      </c>
      <c r="SO15" s="19">
        <v>834.17</v>
      </c>
      <c r="SP15" s="17">
        <v>43463</v>
      </c>
      <c r="SQ15" s="19">
        <v>834.17</v>
      </c>
      <c r="SR15" s="70" t="s">
        <v>668</v>
      </c>
      <c r="SS15" s="24">
        <v>38</v>
      </c>
      <c r="ST15" s="16"/>
      <c r="SU15" s="59"/>
      <c r="SV15" s="121"/>
      <c r="SW15" s="20">
        <v>8</v>
      </c>
      <c r="SX15" s="19">
        <v>923.1</v>
      </c>
      <c r="SY15" s="17">
        <v>43463</v>
      </c>
      <c r="SZ15" s="19">
        <v>923.1</v>
      </c>
      <c r="TA15" s="70" t="s">
        <v>665</v>
      </c>
      <c r="TB15" s="24">
        <v>38</v>
      </c>
      <c r="TC15" s="16"/>
      <c r="TD15" s="59"/>
      <c r="TE15" s="121"/>
      <c r="TF15" s="20">
        <v>8</v>
      </c>
      <c r="TG15" s="19">
        <v>920.63</v>
      </c>
      <c r="TH15" s="17">
        <v>43464</v>
      </c>
      <c r="TI15" s="19">
        <v>920.63</v>
      </c>
      <c r="TJ15" s="70" t="s">
        <v>669</v>
      </c>
      <c r="TK15" s="24">
        <v>38</v>
      </c>
      <c r="TM15" s="7"/>
      <c r="TN15" s="2"/>
      <c r="TO15" s="20">
        <v>8</v>
      </c>
      <c r="TP15" s="19">
        <v>967.1</v>
      </c>
      <c r="TQ15" s="17">
        <v>43464</v>
      </c>
      <c r="TR15" s="19">
        <v>967.1</v>
      </c>
      <c r="TS15" s="70" t="s">
        <v>670</v>
      </c>
      <c r="TT15" s="24">
        <v>38</v>
      </c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32009226</v>
      </c>
      <c r="E16" s="155">
        <f t="shared" si="12"/>
        <v>43442</v>
      </c>
      <c r="F16" s="74">
        <f t="shared" si="12"/>
        <v>18057.29</v>
      </c>
      <c r="G16" s="15">
        <f t="shared" si="12"/>
        <v>19</v>
      </c>
      <c r="H16" s="64">
        <f t="shared" si="12"/>
        <v>18146.939999999999</v>
      </c>
      <c r="I16" s="18">
        <f t="shared" si="12"/>
        <v>-89.649999999997817</v>
      </c>
      <c r="K16" s="59"/>
      <c r="L16" s="121"/>
      <c r="M16" s="20">
        <v>9</v>
      </c>
      <c r="N16" s="190">
        <v>921.2</v>
      </c>
      <c r="O16" s="105">
        <v>43435</v>
      </c>
      <c r="P16" s="190">
        <v>921.2</v>
      </c>
      <c r="Q16" s="124" t="s">
        <v>471</v>
      </c>
      <c r="R16" s="103">
        <v>37</v>
      </c>
      <c r="S16" s="309"/>
      <c r="T16" s="59"/>
      <c r="U16" s="121"/>
      <c r="V16" s="20">
        <v>9</v>
      </c>
      <c r="W16" s="190">
        <v>919.4</v>
      </c>
      <c r="X16" s="17">
        <v>43435</v>
      </c>
      <c r="Y16" s="190">
        <v>919.4</v>
      </c>
      <c r="Z16" s="70" t="s">
        <v>473</v>
      </c>
      <c r="AA16" s="24">
        <v>37</v>
      </c>
      <c r="AB16" s="16"/>
      <c r="AC16" s="59"/>
      <c r="AD16" s="121"/>
      <c r="AE16" s="20">
        <v>9</v>
      </c>
      <c r="AF16" s="190">
        <v>978.68</v>
      </c>
      <c r="AG16" s="17">
        <v>43436</v>
      </c>
      <c r="AH16" s="190">
        <v>978.68</v>
      </c>
      <c r="AI16" s="70" t="s">
        <v>481</v>
      </c>
      <c r="AJ16" s="24">
        <v>37</v>
      </c>
      <c r="AK16" s="16"/>
      <c r="AL16" s="59"/>
      <c r="AM16" s="121"/>
      <c r="AN16" s="20">
        <v>9</v>
      </c>
      <c r="AO16" s="19">
        <v>911.56</v>
      </c>
      <c r="AP16" s="17">
        <v>43441</v>
      </c>
      <c r="AQ16" s="19">
        <v>911.56</v>
      </c>
      <c r="AR16" s="70" t="s">
        <v>478</v>
      </c>
      <c r="AS16" s="24">
        <v>38</v>
      </c>
      <c r="AT16" s="16"/>
      <c r="AU16" s="59"/>
      <c r="AV16" s="121"/>
      <c r="AW16" s="20">
        <v>9</v>
      </c>
      <c r="AX16" s="19">
        <v>901.7</v>
      </c>
      <c r="AY16" s="105">
        <v>43441</v>
      </c>
      <c r="AZ16" s="19">
        <v>901.7</v>
      </c>
      <c r="BA16" s="124" t="s">
        <v>519</v>
      </c>
      <c r="BB16" s="414">
        <v>38</v>
      </c>
      <c r="BC16" s="16"/>
      <c r="BD16" s="59"/>
      <c r="BE16" s="121"/>
      <c r="BF16" s="20">
        <v>9</v>
      </c>
      <c r="BG16" s="19">
        <v>873.6</v>
      </c>
      <c r="BH16" s="400">
        <v>43441</v>
      </c>
      <c r="BI16" s="19">
        <v>873.6</v>
      </c>
      <c r="BJ16" s="402" t="s">
        <v>517</v>
      </c>
      <c r="BK16" s="403">
        <v>38</v>
      </c>
      <c r="BL16" s="16"/>
      <c r="BM16" s="59"/>
      <c r="BN16" s="121"/>
      <c r="BO16" s="20">
        <v>9</v>
      </c>
      <c r="BP16" s="19">
        <v>896</v>
      </c>
      <c r="BQ16" s="400">
        <v>43439</v>
      </c>
      <c r="BR16" s="19">
        <v>896</v>
      </c>
      <c r="BS16" s="402" t="s">
        <v>502</v>
      </c>
      <c r="BT16" s="403">
        <v>37</v>
      </c>
      <c r="BU16" s="16"/>
      <c r="BV16" s="59"/>
      <c r="BW16" s="121"/>
      <c r="BX16" s="20">
        <v>9</v>
      </c>
      <c r="BY16" s="19">
        <v>882</v>
      </c>
      <c r="BZ16" s="400">
        <v>43438</v>
      </c>
      <c r="CA16" s="19">
        <v>882</v>
      </c>
      <c r="CB16" s="402" t="s">
        <v>475</v>
      </c>
      <c r="CC16" s="403">
        <v>37</v>
      </c>
      <c r="CD16" s="16"/>
      <c r="CE16" s="59"/>
      <c r="CF16" s="121"/>
      <c r="CG16" s="20">
        <v>9</v>
      </c>
      <c r="CH16" s="19">
        <v>951.63</v>
      </c>
      <c r="CI16" s="17">
        <v>43439</v>
      </c>
      <c r="CJ16" s="19">
        <v>951.63</v>
      </c>
      <c r="CK16" s="70" t="s">
        <v>487</v>
      </c>
      <c r="CL16" s="24">
        <v>37</v>
      </c>
      <c r="CM16" s="16"/>
      <c r="CN16" s="59"/>
      <c r="CO16" s="121"/>
      <c r="CP16" s="20">
        <v>9</v>
      </c>
      <c r="CQ16" s="19">
        <v>931.67</v>
      </c>
      <c r="CR16" s="17">
        <v>43439</v>
      </c>
      <c r="CS16" s="19">
        <v>931.67</v>
      </c>
      <c r="CT16" s="70" t="s">
        <v>495</v>
      </c>
      <c r="CU16" s="24">
        <v>37</v>
      </c>
      <c r="CV16" s="16"/>
      <c r="CW16" s="59"/>
      <c r="CX16" s="121"/>
      <c r="CY16" s="20">
        <v>9</v>
      </c>
      <c r="CZ16" s="19">
        <v>922</v>
      </c>
      <c r="DA16" s="400">
        <v>43440</v>
      </c>
      <c r="DB16" s="19">
        <v>922</v>
      </c>
      <c r="DC16" s="402" t="s">
        <v>496</v>
      </c>
      <c r="DD16" s="403">
        <v>38</v>
      </c>
      <c r="DE16" s="16"/>
      <c r="DF16" s="59"/>
      <c r="DG16" s="121"/>
      <c r="DH16" s="20">
        <v>9</v>
      </c>
      <c r="DI16" s="19">
        <v>907.18</v>
      </c>
      <c r="DJ16" s="400">
        <v>43440</v>
      </c>
      <c r="DK16" s="19">
        <v>907.18</v>
      </c>
      <c r="DL16" s="402" t="s">
        <v>464</v>
      </c>
      <c r="DM16" s="403">
        <v>37</v>
      </c>
      <c r="DN16" s="16"/>
      <c r="DO16" s="59"/>
      <c r="DP16" s="121"/>
      <c r="DQ16" s="20">
        <v>9</v>
      </c>
      <c r="DR16" s="30">
        <v>968.71</v>
      </c>
      <c r="DS16" s="58">
        <v>43442</v>
      </c>
      <c r="DT16" s="30">
        <v>968.71</v>
      </c>
      <c r="DU16" s="76" t="s">
        <v>497</v>
      </c>
      <c r="DV16" s="24">
        <v>40</v>
      </c>
      <c r="DW16" s="16"/>
      <c r="DX16" s="59"/>
      <c r="DY16" s="121"/>
      <c r="DZ16" s="20">
        <v>9</v>
      </c>
      <c r="EA16" s="30">
        <v>883.1</v>
      </c>
      <c r="EB16" s="58">
        <v>43444</v>
      </c>
      <c r="EC16" s="30">
        <v>883.1</v>
      </c>
      <c r="ED16" s="76" t="s">
        <v>513</v>
      </c>
      <c r="EE16" s="24">
        <v>42</v>
      </c>
      <c r="EF16" s="16"/>
      <c r="EG16" s="59"/>
      <c r="EH16" s="121"/>
      <c r="EI16" s="20">
        <v>9</v>
      </c>
      <c r="EJ16" s="19">
        <v>915.3</v>
      </c>
      <c r="EK16" s="17">
        <v>43442</v>
      </c>
      <c r="EL16" s="19">
        <v>915.3</v>
      </c>
      <c r="EM16" s="43" t="s">
        <v>524</v>
      </c>
      <c r="EN16" s="24">
        <v>40</v>
      </c>
      <c r="EO16" s="16"/>
      <c r="EP16" s="59"/>
      <c r="EQ16" s="121"/>
      <c r="ER16" s="20">
        <v>9</v>
      </c>
      <c r="ES16" s="19">
        <v>935.6</v>
      </c>
      <c r="ET16" s="17">
        <v>43446</v>
      </c>
      <c r="EU16" s="19">
        <v>935.6</v>
      </c>
      <c r="EV16" s="43" t="s">
        <v>532</v>
      </c>
      <c r="EW16" s="24">
        <v>42</v>
      </c>
      <c r="EX16" s="16"/>
      <c r="EY16" s="59"/>
      <c r="EZ16" s="121"/>
      <c r="FA16" s="20">
        <v>9</v>
      </c>
      <c r="FB16" s="167">
        <v>994.56</v>
      </c>
      <c r="FC16" s="150">
        <v>43445</v>
      </c>
      <c r="FD16" s="167">
        <v>994.56</v>
      </c>
      <c r="FE16" s="110" t="s">
        <v>492</v>
      </c>
      <c r="FF16" s="111">
        <v>42</v>
      </c>
      <c r="FG16" s="16"/>
      <c r="FH16" s="59"/>
      <c r="FI16" s="121"/>
      <c r="FJ16" s="20">
        <v>9</v>
      </c>
      <c r="FK16" s="30">
        <v>900</v>
      </c>
      <c r="FL16" s="58">
        <v>43445</v>
      </c>
      <c r="FM16" s="30">
        <v>900</v>
      </c>
      <c r="FN16" s="76" t="s">
        <v>505</v>
      </c>
      <c r="FO16" s="24">
        <v>42</v>
      </c>
      <c r="FP16" s="16"/>
      <c r="FQ16" s="59"/>
      <c r="FR16" s="121"/>
      <c r="FS16" s="20">
        <v>9</v>
      </c>
      <c r="FT16" s="19">
        <v>965.24</v>
      </c>
      <c r="FU16" s="150">
        <v>43445</v>
      </c>
      <c r="FV16" s="19">
        <v>965.24</v>
      </c>
      <c r="FW16" s="270" t="s">
        <v>467</v>
      </c>
      <c r="FX16" s="111">
        <v>42</v>
      </c>
      <c r="FY16" s="16"/>
      <c r="FZ16" s="59"/>
      <c r="GA16" s="121"/>
      <c r="GB16" s="20">
        <v>9</v>
      </c>
      <c r="GC16" s="19">
        <v>986.39</v>
      </c>
      <c r="GD16" s="17">
        <v>43446</v>
      </c>
      <c r="GE16" s="19">
        <v>986.39</v>
      </c>
      <c r="GF16" s="70" t="s">
        <v>531</v>
      </c>
      <c r="GG16" s="24">
        <v>42</v>
      </c>
      <c r="GH16" s="16"/>
      <c r="GI16" s="59"/>
      <c r="GJ16" s="121"/>
      <c r="GK16" s="20">
        <v>9</v>
      </c>
      <c r="GL16" s="19">
        <v>923.36</v>
      </c>
      <c r="GM16" s="17">
        <v>43447</v>
      </c>
      <c r="GN16" s="19">
        <v>923.36</v>
      </c>
      <c r="GO16" s="70" t="s">
        <v>540</v>
      </c>
      <c r="GP16" s="24">
        <v>42</v>
      </c>
      <c r="GQ16" s="16"/>
      <c r="GR16" s="59"/>
      <c r="GS16" s="121"/>
      <c r="GT16" s="20">
        <v>9</v>
      </c>
      <c r="GU16" s="19">
        <v>937.1</v>
      </c>
      <c r="GV16" s="17">
        <v>43448</v>
      </c>
      <c r="GW16" s="19">
        <v>937.1</v>
      </c>
      <c r="GX16" s="311" t="s">
        <v>538</v>
      </c>
      <c r="GY16" s="24">
        <v>42</v>
      </c>
      <c r="GZ16" s="16"/>
      <c r="HA16" s="59"/>
      <c r="HB16" s="121"/>
      <c r="HC16" s="20">
        <v>9</v>
      </c>
      <c r="HD16" s="30">
        <v>928.5</v>
      </c>
      <c r="HE16" s="58">
        <v>43448</v>
      </c>
      <c r="HF16" s="30">
        <v>928.5</v>
      </c>
      <c r="HG16" s="76" t="s">
        <v>542</v>
      </c>
      <c r="HH16" s="24">
        <v>42</v>
      </c>
      <c r="HI16" s="16"/>
      <c r="HJ16" s="59"/>
      <c r="HK16" s="121"/>
      <c r="HL16" s="20">
        <v>9</v>
      </c>
      <c r="HM16" s="19">
        <v>952.38</v>
      </c>
      <c r="HN16" s="17">
        <v>43449</v>
      </c>
      <c r="HO16" s="19">
        <v>952.38</v>
      </c>
      <c r="HP16" s="593" t="s">
        <v>550</v>
      </c>
      <c r="HQ16" s="24">
        <v>42</v>
      </c>
      <c r="HR16" s="19"/>
      <c r="HS16" s="30"/>
      <c r="HT16" s="121"/>
      <c r="HU16" s="20">
        <v>9</v>
      </c>
      <c r="HV16" s="19">
        <v>943.31</v>
      </c>
      <c r="HW16" s="58">
        <v>43448</v>
      </c>
      <c r="HX16" s="19">
        <v>943.31</v>
      </c>
      <c r="HY16" s="76" t="s">
        <v>545</v>
      </c>
      <c r="HZ16" s="24">
        <v>42</v>
      </c>
      <c r="IA16" s="30"/>
      <c r="IB16" s="59"/>
      <c r="IC16" s="121"/>
      <c r="ID16" s="20">
        <v>9</v>
      </c>
      <c r="IE16" s="19">
        <v>919</v>
      </c>
      <c r="IF16" s="17">
        <v>43449</v>
      </c>
      <c r="IG16" s="19">
        <v>919</v>
      </c>
      <c r="IH16" s="43" t="s">
        <v>552</v>
      </c>
      <c r="II16" s="24">
        <v>42</v>
      </c>
      <c r="IJ16" s="16"/>
      <c r="IK16" s="59"/>
      <c r="IL16" s="121"/>
      <c r="IM16" s="20">
        <v>9</v>
      </c>
      <c r="IN16" s="30">
        <v>949.21</v>
      </c>
      <c r="IO16" s="626">
        <v>43450</v>
      </c>
      <c r="IP16" s="30">
        <v>949.21</v>
      </c>
      <c r="IQ16" s="76" t="s">
        <v>559</v>
      </c>
      <c r="IR16" s="24">
        <v>42</v>
      </c>
      <c r="IS16" s="16"/>
      <c r="IT16" s="59"/>
      <c r="IU16" s="121"/>
      <c r="IV16" s="20">
        <v>9</v>
      </c>
      <c r="IW16" s="19">
        <v>883.1</v>
      </c>
      <c r="IX16" s="17">
        <v>43451</v>
      </c>
      <c r="IY16" s="19">
        <v>883.1</v>
      </c>
      <c r="IZ16" s="70" t="s">
        <v>564</v>
      </c>
      <c r="JA16" s="24">
        <v>42</v>
      </c>
      <c r="JB16" s="16"/>
      <c r="JC16" s="59"/>
      <c r="JD16" s="121"/>
      <c r="JE16" s="20">
        <v>9</v>
      </c>
      <c r="JF16" s="19">
        <v>878.6</v>
      </c>
      <c r="JG16" s="17">
        <v>43452</v>
      </c>
      <c r="JH16" s="19">
        <v>878.6</v>
      </c>
      <c r="JI16" s="70" t="s">
        <v>575</v>
      </c>
      <c r="JJ16" s="24">
        <v>42</v>
      </c>
      <c r="JK16" s="16"/>
      <c r="JL16" s="59"/>
      <c r="JM16" s="121"/>
      <c r="JN16" s="20">
        <v>9</v>
      </c>
      <c r="JO16" s="19">
        <v>968.71</v>
      </c>
      <c r="JP16" s="17">
        <v>43452</v>
      </c>
      <c r="JQ16" s="19">
        <v>968.71</v>
      </c>
      <c r="JR16" s="70" t="s">
        <v>578</v>
      </c>
      <c r="JS16" s="24">
        <v>42</v>
      </c>
      <c r="JT16" s="16"/>
      <c r="JU16" s="59"/>
      <c r="JV16" s="121"/>
      <c r="JW16" s="20">
        <v>9</v>
      </c>
      <c r="JX16" s="19">
        <v>927.14</v>
      </c>
      <c r="JY16" s="17">
        <v>43453</v>
      </c>
      <c r="JZ16" s="19">
        <v>927.14</v>
      </c>
      <c r="KA16" s="70" t="s">
        <v>588</v>
      </c>
      <c r="KB16" s="24">
        <v>42</v>
      </c>
      <c r="KC16" s="16"/>
      <c r="KD16" s="59"/>
      <c r="KE16" s="121"/>
      <c r="KF16" s="20">
        <v>9</v>
      </c>
      <c r="KG16" s="19">
        <v>902.5</v>
      </c>
      <c r="KH16" s="17">
        <v>43452</v>
      </c>
      <c r="KI16" s="19">
        <v>902.5</v>
      </c>
      <c r="KJ16" s="70" t="s">
        <v>580</v>
      </c>
      <c r="KK16" s="24">
        <v>42</v>
      </c>
      <c r="KL16" s="16"/>
      <c r="KM16" s="59"/>
      <c r="KN16" s="121"/>
      <c r="KO16" s="20">
        <v>9</v>
      </c>
      <c r="KP16" s="190">
        <v>885.9</v>
      </c>
      <c r="KQ16" s="105">
        <v>43453</v>
      </c>
      <c r="KR16" s="190">
        <v>885.9</v>
      </c>
      <c r="KS16" s="124" t="s">
        <v>583</v>
      </c>
      <c r="KT16" s="103">
        <v>42</v>
      </c>
      <c r="KU16" s="309"/>
      <c r="KV16" s="59"/>
      <c r="KW16" s="121"/>
      <c r="KX16" s="20">
        <v>9</v>
      </c>
      <c r="KY16" s="190">
        <v>945.12</v>
      </c>
      <c r="KZ16" s="17">
        <v>43453</v>
      </c>
      <c r="LA16" s="190">
        <v>945.12</v>
      </c>
      <c r="LB16" s="70" t="s">
        <v>586</v>
      </c>
      <c r="LC16" s="24">
        <v>42</v>
      </c>
      <c r="LD16" s="16"/>
      <c r="LE16" s="59"/>
      <c r="LF16" s="121"/>
      <c r="LG16" s="20">
        <v>9</v>
      </c>
      <c r="LH16" s="19">
        <v>918.37</v>
      </c>
      <c r="LI16" s="17">
        <v>43454</v>
      </c>
      <c r="LJ16" s="19">
        <v>918.37</v>
      </c>
      <c r="LK16" s="70" t="s">
        <v>593</v>
      </c>
      <c r="LL16" s="24">
        <v>42</v>
      </c>
      <c r="LM16" s="16"/>
      <c r="LN16" s="59"/>
      <c r="LO16" s="121"/>
      <c r="LP16" s="20">
        <v>9</v>
      </c>
      <c r="LQ16" s="190">
        <v>935.15</v>
      </c>
      <c r="LR16" s="17">
        <v>43455</v>
      </c>
      <c r="LS16" s="190">
        <v>935.15</v>
      </c>
      <c r="LT16" s="70" t="s">
        <v>603</v>
      </c>
      <c r="LU16" s="24">
        <v>42</v>
      </c>
      <c r="LV16" s="16"/>
      <c r="LW16" s="59"/>
      <c r="LX16" s="121"/>
      <c r="LY16" s="20">
        <v>9</v>
      </c>
      <c r="LZ16" s="19">
        <v>872.7</v>
      </c>
      <c r="MA16" s="17">
        <v>43455</v>
      </c>
      <c r="MB16" s="19">
        <v>872.7</v>
      </c>
      <c r="MC16" s="70" t="s">
        <v>604</v>
      </c>
      <c r="MD16" s="24">
        <v>42</v>
      </c>
      <c r="ME16" s="16"/>
      <c r="MF16" s="59"/>
      <c r="MG16" s="121"/>
      <c r="MH16" s="20">
        <v>9</v>
      </c>
      <c r="MI16" s="167">
        <v>894.5</v>
      </c>
      <c r="MJ16" s="150">
        <v>43455</v>
      </c>
      <c r="MK16" s="167">
        <v>894.5</v>
      </c>
      <c r="ML16" s="270" t="s">
        <v>609</v>
      </c>
      <c r="MM16" s="111">
        <v>42</v>
      </c>
      <c r="MN16" s="16"/>
      <c r="MO16" s="59"/>
      <c r="MP16" s="121"/>
      <c r="MQ16" s="20">
        <v>9</v>
      </c>
      <c r="MR16" s="19">
        <v>945.12</v>
      </c>
      <c r="MS16" s="17">
        <v>43458</v>
      </c>
      <c r="MT16" s="19">
        <v>945.12</v>
      </c>
      <c r="MU16" s="70" t="s">
        <v>630</v>
      </c>
      <c r="MV16" s="24">
        <v>42</v>
      </c>
      <c r="MW16" s="16"/>
      <c r="MX16" s="59"/>
      <c r="MY16" s="121"/>
      <c r="MZ16" s="20">
        <v>9</v>
      </c>
      <c r="NA16" s="19">
        <v>929.9</v>
      </c>
      <c r="NB16" s="17">
        <v>43461</v>
      </c>
      <c r="NC16" s="19">
        <v>929.9</v>
      </c>
      <c r="ND16" s="70" t="s">
        <v>640</v>
      </c>
      <c r="NE16" s="24">
        <v>38</v>
      </c>
      <c r="NF16" s="16"/>
      <c r="NG16" s="59"/>
      <c r="NH16" s="121"/>
      <c r="NI16" s="20">
        <v>9</v>
      </c>
      <c r="NJ16" s="19">
        <v>892.7</v>
      </c>
      <c r="NK16" s="17">
        <v>43456</v>
      </c>
      <c r="NL16" s="19">
        <v>892.7</v>
      </c>
      <c r="NM16" s="70" t="s">
        <v>613</v>
      </c>
      <c r="NN16" s="24">
        <v>42</v>
      </c>
      <c r="NO16" s="16"/>
      <c r="NP16" s="59"/>
      <c r="NQ16" s="171"/>
      <c r="NR16" s="20">
        <v>9</v>
      </c>
      <c r="NS16" s="19">
        <v>954.8</v>
      </c>
      <c r="NT16" s="17">
        <v>43456</v>
      </c>
      <c r="NU16" s="19">
        <v>954.8</v>
      </c>
      <c r="NV16" s="70" t="s">
        <v>615</v>
      </c>
      <c r="NW16" s="24">
        <v>42</v>
      </c>
      <c r="NX16" s="16"/>
      <c r="NY16" s="59"/>
      <c r="NZ16" s="121"/>
      <c r="OA16" s="20">
        <v>9</v>
      </c>
      <c r="OB16" s="19">
        <v>968.71</v>
      </c>
      <c r="OC16" s="105">
        <v>43456</v>
      </c>
      <c r="OD16" s="19">
        <v>968.71</v>
      </c>
      <c r="OE16" s="124" t="s">
        <v>621</v>
      </c>
      <c r="OF16" s="103">
        <v>42</v>
      </c>
      <c r="OG16" s="16"/>
      <c r="OH16" s="59"/>
      <c r="OI16" s="121"/>
      <c r="OJ16" s="20">
        <v>9</v>
      </c>
      <c r="OK16" s="19">
        <v>916.3</v>
      </c>
      <c r="OL16" s="17">
        <v>43456</v>
      </c>
      <c r="OM16" s="19">
        <v>916.3</v>
      </c>
      <c r="ON16" s="70" t="s">
        <v>617</v>
      </c>
      <c r="OO16" s="482">
        <v>42</v>
      </c>
      <c r="OP16" s="16"/>
      <c r="OQ16" s="59"/>
      <c r="OR16" s="121"/>
      <c r="OS16" s="20">
        <v>9</v>
      </c>
      <c r="OT16" s="19">
        <v>933.9</v>
      </c>
      <c r="OU16" s="17">
        <v>43457</v>
      </c>
      <c r="OV16" s="19">
        <v>933.9</v>
      </c>
      <c r="OW16" s="70" t="s">
        <v>625</v>
      </c>
      <c r="OX16" s="24">
        <v>42</v>
      </c>
      <c r="OY16" s="16"/>
      <c r="OZ16" s="59"/>
      <c r="PA16" s="121"/>
      <c r="PB16" s="20">
        <v>9</v>
      </c>
      <c r="PC16" s="19">
        <v>901.59</v>
      </c>
      <c r="PD16" s="17">
        <v>43458</v>
      </c>
      <c r="PE16" s="19">
        <v>901.59</v>
      </c>
      <c r="PF16" s="70" t="s">
        <v>632</v>
      </c>
      <c r="PG16" s="24">
        <v>42</v>
      </c>
      <c r="PH16" s="16"/>
      <c r="PI16" s="59"/>
      <c r="PJ16" s="121"/>
      <c r="PK16" s="20">
        <v>9</v>
      </c>
      <c r="PL16" s="19">
        <v>905</v>
      </c>
      <c r="PM16" s="17">
        <v>43461</v>
      </c>
      <c r="PN16" s="19">
        <v>905</v>
      </c>
      <c r="PO16" s="70" t="s">
        <v>642</v>
      </c>
      <c r="PP16" s="24">
        <v>38</v>
      </c>
      <c r="PQ16" s="16"/>
      <c r="PR16" s="59"/>
      <c r="PS16" s="121"/>
      <c r="PT16" s="20">
        <v>9</v>
      </c>
      <c r="PU16" s="19">
        <v>927.59</v>
      </c>
      <c r="PV16" s="17">
        <v>43462</v>
      </c>
      <c r="PW16" s="19">
        <v>927.59</v>
      </c>
      <c r="PX16" s="270" t="s">
        <v>658</v>
      </c>
      <c r="PY16" s="24">
        <v>38</v>
      </c>
      <c r="PZ16" s="16"/>
      <c r="QA16" s="59"/>
      <c r="QB16" s="121"/>
      <c r="QC16" s="20">
        <v>9</v>
      </c>
      <c r="QD16" s="19">
        <v>949.36</v>
      </c>
      <c r="QE16" s="105">
        <v>43462</v>
      </c>
      <c r="QF16" s="19">
        <v>949.36</v>
      </c>
      <c r="QG16" s="124" t="s">
        <v>657</v>
      </c>
      <c r="QH16" s="24">
        <v>38</v>
      </c>
      <c r="QI16" s="16"/>
      <c r="QJ16" s="59"/>
      <c r="QK16" s="121"/>
      <c r="QL16" s="20">
        <v>9</v>
      </c>
      <c r="QM16" s="19">
        <v>887.7</v>
      </c>
      <c r="QN16" s="17">
        <v>43461</v>
      </c>
      <c r="QO16" s="19">
        <v>887.7</v>
      </c>
      <c r="QP16" s="70" t="s">
        <v>645</v>
      </c>
      <c r="QQ16" s="24">
        <v>38</v>
      </c>
      <c r="QR16" s="16"/>
      <c r="QS16" s="59"/>
      <c r="QT16" s="121"/>
      <c r="QU16" s="20">
        <v>9</v>
      </c>
      <c r="QV16" s="19">
        <v>951.63</v>
      </c>
      <c r="QW16" s="17">
        <v>43461</v>
      </c>
      <c r="QX16" s="19">
        <v>951.63</v>
      </c>
      <c r="QY16" s="70" t="s">
        <v>649</v>
      </c>
      <c r="QZ16" s="24">
        <v>38</v>
      </c>
      <c r="RA16" s="16"/>
      <c r="RB16" s="59"/>
      <c r="RC16" s="121"/>
      <c r="RD16" s="20"/>
      <c r="RE16" s="19"/>
      <c r="RF16" s="17"/>
      <c r="RG16" s="19"/>
      <c r="RH16" s="70"/>
      <c r="RI16" s="24"/>
      <c r="RJ16" s="16"/>
      <c r="RK16" s="59"/>
      <c r="RL16" s="121"/>
      <c r="RM16" s="20">
        <v>9</v>
      </c>
      <c r="RN16" s="19">
        <v>932.88</v>
      </c>
      <c r="RO16" s="400">
        <v>43462</v>
      </c>
      <c r="RP16" s="401">
        <v>932.88</v>
      </c>
      <c r="RQ16" s="402" t="s">
        <v>661</v>
      </c>
      <c r="RR16" s="403">
        <v>38</v>
      </c>
      <c r="RS16" s="16"/>
      <c r="RT16" s="59"/>
      <c r="RU16" s="121"/>
      <c r="RV16" s="20">
        <v>9</v>
      </c>
      <c r="RW16" s="19"/>
      <c r="RX16" s="17"/>
      <c r="RY16" s="19"/>
      <c r="RZ16" s="70"/>
      <c r="SA16" s="24"/>
      <c r="SB16" s="16"/>
      <c r="SC16" s="59"/>
      <c r="SD16" s="121"/>
      <c r="SE16" s="20">
        <v>9</v>
      </c>
      <c r="SF16" s="19">
        <v>930.61</v>
      </c>
      <c r="SG16" s="17">
        <v>43463</v>
      </c>
      <c r="SH16" s="19">
        <v>930.61</v>
      </c>
      <c r="SI16" s="70" t="s">
        <v>654</v>
      </c>
      <c r="SJ16" s="24">
        <v>38</v>
      </c>
      <c r="SK16" s="16"/>
      <c r="SL16" s="59"/>
      <c r="SM16" s="121"/>
      <c r="SN16" s="20">
        <v>9</v>
      </c>
      <c r="SO16" s="19">
        <v>815.12</v>
      </c>
      <c r="SP16" s="17">
        <v>43463</v>
      </c>
      <c r="SQ16" s="19">
        <v>815.12</v>
      </c>
      <c r="SR16" s="70" t="s">
        <v>668</v>
      </c>
      <c r="SS16" s="24">
        <v>38</v>
      </c>
      <c r="ST16" s="16"/>
      <c r="SU16" s="59"/>
      <c r="SV16" s="121"/>
      <c r="SW16" s="20">
        <v>9</v>
      </c>
      <c r="SX16" s="19">
        <v>904.5</v>
      </c>
      <c r="SY16" s="17">
        <v>43463</v>
      </c>
      <c r="SZ16" s="19">
        <v>904.5</v>
      </c>
      <c r="TA16" s="70" t="s">
        <v>665</v>
      </c>
      <c r="TB16" s="24">
        <v>38</v>
      </c>
      <c r="TC16" s="16"/>
      <c r="TD16" s="59"/>
      <c r="TE16" s="121"/>
      <c r="TF16" s="20">
        <v>9</v>
      </c>
      <c r="TG16" s="19">
        <v>951.47</v>
      </c>
      <c r="TH16" s="17">
        <v>43464</v>
      </c>
      <c r="TI16" s="19">
        <v>951.47</v>
      </c>
      <c r="TJ16" s="70" t="s">
        <v>669</v>
      </c>
      <c r="TK16" s="24">
        <v>38</v>
      </c>
      <c r="TM16" s="7"/>
      <c r="TN16" s="2"/>
      <c r="TO16" s="20">
        <v>9</v>
      </c>
      <c r="TP16" s="19">
        <v>900.4</v>
      </c>
      <c r="TQ16" s="17">
        <v>43464</v>
      </c>
      <c r="TR16" s="19">
        <v>900.4</v>
      </c>
      <c r="TS16" s="70" t="s">
        <v>670</v>
      </c>
      <c r="TT16" s="24">
        <v>38</v>
      </c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32009228</v>
      </c>
      <c r="E17" s="155">
        <f t="shared" si="13"/>
        <v>43444</v>
      </c>
      <c r="F17" s="74">
        <f t="shared" si="13"/>
        <v>19095.099999999999</v>
      </c>
      <c r="G17" s="15">
        <f t="shared" si="13"/>
        <v>21</v>
      </c>
      <c r="H17" s="64">
        <f t="shared" si="13"/>
        <v>19061.099999999999</v>
      </c>
      <c r="I17" s="18">
        <f t="shared" si="13"/>
        <v>34</v>
      </c>
      <c r="K17" s="59"/>
      <c r="L17" s="121"/>
      <c r="M17" s="20">
        <v>10</v>
      </c>
      <c r="N17" s="190">
        <v>886.3</v>
      </c>
      <c r="O17" s="105">
        <v>43435</v>
      </c>
      <c r="P17" s="190">
        <v>886.3</v>
      </c>
      <c r="Q17" s="124" t="s">
        <v>471</v>
      </c>
      <c r="R17" s="103">
        <v>37</v>
      </c>
      <c r="S17" s="309"/>
      <c r="T17" s="59"/>
      <c r="U17" s="121"/>
      <c r="V17" s="20">
        <v>10</v>
      </c>
      <c r="W17" s="190">
        <v>871.3</v>
      </c>
      <c r="X17" s="17">
        <v>43435</v>
      </c>
      <c r="Y17" s="190">
        <v>871.3</v>
      </c>
      <c r="Z17" s="70" t="s">
        <v>473</v>
      </c>
      <c r="AA17" s="24">
        <v>37</v>
      </c>
      <c r="AB17" s="16"/>
      <c r="AC17" s="59"/>
      <c r="AD17" s="121"/>
      <c r="AE17" s="20">
        <v>10</v>
      </c>
      <c r="AF17" s="190">
        <v>918.37</v>
      </c>
      <c r="AG17" s="17">
        <v>43436</v>
      </c>
      <c r="AH17" s="190">
        <v>918.37</v>
      </c>
      <c r="AI17" s="70" t="s">
        <v>481</v>
      </c>
      <c r="AJ17" s="24">
        <v>37</v>
      </c>
      <c r="AK17" s="16"/>
      <c r="AL17" s="59"/>
      <c r="AM17" s="121"/>
      <c r="AN17" s="20">
        <v>10</v>
      </c>
      <c r="AO17" s="30">
        <v>983.22</v>
      </c>
      <c r="AP17" s="17">
        <v>43441</v>
      </c>
      <c r="AQ17" s="30">
        <v>983.22</v>
      </c>
      <c r="AR17" s="70" t="s">
        <v>478</v>
      </c>
      <c r="AS17" s="24">
        <v>38</v>
      </c>
      <c r="AT17" s="16"/>
      <c r="AU17" s="59"/>
      <c r="AV17" s="121"/>
      <c r="AW17" s="20">
        <v>10</v>
      </c>
      <c r="AX17" s="19">
        <v>881.3</v>
      </c>
      <c r="AY17" s="105">
        <v>43441</v>
      </c>
      <c r="AZ17" s="19">
        <v>881.3</v>
      </c>
      <c r="BA17" s="124" t="s">
        <v>519</v>
      </c>
      <c r="BB17" s="414">
        <v>38</v>
      </c>
      <c r="BC17" s="16"/>
      <c r="BD17" s="59"/>
      <c r="BE17" s="121"/>
      <c r="BF17" s="20">
        <v>10</v>
      </c>
      <c r="BG17" s="30">
        <v>929</v>
      </c>
      <c r="BH17" s="400">
        <v>43441</v>
      </c>
      <c r="BI17" s="30">
        <v>929</v>
      </c>
      <c r="BJ17" s="402" t="s">
        <v>517</v>
      </c>
      <c r="BK17" s="403">
        <v>38</v>
      </c>
      <c r="BL17" s="16"/>
      <c r="BM17" s="59"/>
      <c r="BN17" s="121"/>
      <c r="BO17" s="20">
        <v>10</v>
      </c>
      <c r="BP17" s="19">
        <v>906.5</v>
      </c>
      <c r="BQ17" s="400">
        <v>43439</v>
      </c>
      <c r="BR17" s="19">
        <v>906.5</v>
      </c>
      <c r="BS17" s="402" t="s">
        <v>502</v>
      </c>
      <c r="BT17" s="403">
        <v>37</v>
      </c>
      <c r="BU17" s="16"/>
      <c r="BV17" s="59"/>
      <c r="BW17" s="121"/>
      <c r="BX17" s="20">
        <v>10</v>
      </c>
      <c r="BY17" s="19">
        <v>906.5</v>
      </c>
      <c r="BZ17" s="400">
        <v>43438</v>
      </c>
      <c r="CA17" s="19">
        <v>906.5</v>
      </c>
      <c r="CB17" s="402" t="s">
        <v>475</v>
      </c>
      <c r="CC17" s="403">
        <v>37</v>
      </c>
      <c r="CD17" s="16"/>
      <c r="CE17" s="59"/>
      <c r="CF17" s="121"/>
      <c r="CG17" s="20">
        <v>10</v>
      </c>
      <c r="CH17" s="19">
        <v>962.97</v>
      </c>
      <c r="CI17" s="17">
        <v>43439</v>
      </c>
      <c r="CJ17" s="19">
        <v>962.97</v>
      </c>
      <c r="CK17" s="70" t="s">
        <v>487</v>
      </c>
      <c r="CL17" s="24">
        <v>37</v>
      </c>
      <c r="CM17" s="16"/>
      <c r="CN17" s="59"/>
      <c r="CO17" s="121"/>
      <c r="CP17" s="20">
        <v>10</v>
      </c>
      <c r="CQ17" s="30">
        <v>919.88</v>
      </c>
      <c r="CR17" s="17">
        <v>43439</v>
      </c>
      <c r="CS17" s="30">
        <v>919.88</v>
      </c>
      <c r="CT17" s="70" t="s">
        <v>495</v>
      </c>
      <c r="CU17" s="24">
        <v>37</v>
      </c>
      <c r="CV17" s="16"/>
      <c r="CW17" s="59"/>
      <c r="CX17" s="121"/>
      <c r="CY17" s="20">
        <v>10</v>
      </c>
      <c r="CZ17" s="30">
        <v>949.66</v>
      </c>
      <c r="DA17" s="400">
        <v>43440</v>
      </c>
      <c r="DB17" s="30">
        <v>949.66</v>
      </c>
      <c r="DC17" s="402" t="s">
        <v>477</v>
      </c>
      <c r="DD17" s="403">
        <v>37</v>
      </c>
      <c r="DE17" s="16"/>
      <c r="DF17" s="59"/>
      <c r="DG17" s="121"/>
      <c r="DH17" s="20">
        <v>10</v>
      </c>
      <c r="DI17" s="30">
        <v>955.71</v>
      </c>
      <c r="DJ17" s="400">
        <v>43440</v>
      </c>
      <c r="DK17" s="30">
        <v>955.71</v>
      </c>
      <c r="DL17" s="402" t="s">
        <v>464</v>
      </c>
      <c r="DM17" s="403">
        <v>37</v>
      </c>
      <c r="DN17" s="16"/>
      <c r="DO17" s="59"/>
      <c r="DP17" s="121"/>
      <c r="DQ17" s="20">
        <v>10</v>
      </c>
      <c r="DR17" s="30">
        <v>967.35</v>
      </c>
      <c r="DS17" s="58">
        <v>43442</v>
      </c>
      <c r="DT17" s="30">
        <v>967.35</v>
      </c>
      <c r="DU17" s="76" t="s">
        <v>497</v>
      </c>
      <c r="DV17" s="24">
        <v>40</v>
      </c>
      <c r="DW17" s="16"/>
      <c r="DX17" s="59"/>
      <c r="DY17" s="121"/>
      <c r="DZ17" s="20">
        <v>10</v>
      </c>
      <c r="EA17" s="30">
        <v>946.6</v>
      </c>
      <c r="EB17" s="58">
        <v>43444</v>
      </c>
      <c r="EC17" s="30">
        <v>946.6</v>
      </c>
      <c r="ED17" s="76" t="s">
        <v>513</v>
      </c>
      <c r="EE17" s="24">
        <v>42</v>
      </c>
      <c r="EF17" s="16"/>
      <c r="EG17" s="59"/>
      <c r="EH17" s="121"/>
      <c r="EI17" s="20">
        <v>10</v>
      </c>
      <c r="EJ17" s="19">
        <v>885</v>
      </c>
      <c r="EK17" s="17">
        <v>43442</v>
      </c>
      <c r="EL17" s="19">
        <v>885</v>
      </c>
      <c r="EM17" s="43" t="s">
        <v>524</v>
      </c>
      <c r="EN17" s="24">
        <v>40</v>
      </c>
      <c r="EO17" s="16"/>
      <c r="EP17" s="59"/>
      <c r="EQ17" s="121"/>
      <c r="ER17" s="20">
        <v>10</v>
      </c>
      <c r="ES17" s="30">
        <v>916.1</v>
      </c>
      <c r="ET17" s="17">
        <v>43446</v>
      </c>
      <c r="EU17" s="30">
        <v>916.1</v>
      </c>
      <c r="EV17" s="43" t="s">
        <v>532</v>
      </c>
      <c r="EW17" s="24">
        <v>42</v>
      </c>
      <c r="EX17" s="16"/>
      <c r="EY17" s="59"/>
      <c r="EZ17" s="121"/>
      <c r="FA17" s="20">
        <v>10</v>
      </c>
      <c r="FB17" s="167">
        <v>951.93</v>
      </c>
      <c r="FC17" s="150">
        <v>43445</v>
      </c>
      <c r="FD17" s="167">
        <v>951.93</v>
      </c>
      <c r="FE17" s="110" t="s">
        <v>527</v>
      </c>
      <c r="FF17" s="111">
        <v>42</v>
      </c>
      <c r="FG17" s="16"/>
      <c r="FH17" s="59"/>
      <c r="FI17" s="121"/>
      <c r="FJ17" s="20">
        <v>10</v>
      </c>
      <c r="FK17" s="30">
        <v>896</v>
      </c>
      <c r="FL17" s="58">
        <v>43445</v>
      </c>
      <c r="FM17" s="30">
        <v>896</v>
      </c>
      <c r="FN17" s="76" t="s">
        <v>505</v>
      </c>
      <c r="FO17" s="24">
        <v>42</v>
      </c>
      <c r="FP17" s="16"/>
      <c r="FQ17" s="59"/>
      <c r="FR17" s="121"/>
      <c r="FS17" s="20">
        <v>10</v>
      </c>
      <c r="FT17" s="19">
        <v>970.68</v>
      </c>
      <c r="FU17" s="150">
        <v>43445</v>
      </c>
      <c r="FV17" s="19">
        <v>970.68</v>
      </c>
      <c r="FW17" s="270" t="s">
        <v>467</v>
      </c>
      <c r="FX17" s="111">
        <v>42</v>
      </c>
      <c r="FY17" s="16"/>
      <c r="FZ17" s="59"/>
      <c r="GA17" s="121"/>
      <c r="GB17" s="20">
        <v>10</v>
      </c>
      <c r="GC17" s="30">
        <v>994.1</v>
      </c>
      <c r="GD17" s="17">
        <v>43446</v>
      </c>
      <c r="GE17" s="30">
        <v>994.1</v>
      </c>
      <c r="GF17" s="70" t="s">
        <v>531</v>
      </c>
      <c r="GG17" s="24">
        <v>42</v>
      </c>
      <c r="GH17" s="16"/>
      <c r="GI17" s="59"/>
      <c r="GJ17" s="121"/>
      <c r="GK17" s="20">
        <v>10</v>
      </c>
      <c r="GL17" s="19">
        <v>953.29</v>
      </c>
      <c r="GM17" s="17">
        <v>43447</v>
      </c>
      <c r="GN17" s="19">
        <v>953.29</v>
      </c>
      <c r="GO17" s="70" t="s">
        <v>540</v>
      </c>
      <c r="GP17" s="24">
        <v>42</v>
      </c>
      <c r="GQ17" s="16"/>
      <c r="GR17" s="59"/>
      <c r="GS17" s="121"/>
      <c r="GT17" s="20">
        <v>10</v>
      </c>
      <c r="GU17" s="19">
        <v>903.6</v>
      </c>
      <c r="GV17" s="17">
        <v>43448</v>
      </c>
      <c r="GW17" s="19">
        <v>903.6</v>
      </c>
      <c r="GX17" s="311" t="s">
        <v>538</v>
      </c>
      <c r="GY17" s="24">
        <v>42</v>
      </c>
      <c r="GZ17" s="16"/>
      <c r="HA17" s="59"/>
      <c r="HB17" s="121"/>
      <c r="HC17" s="20">
        <v>10</v>
      </c>
      <c r="HD17" s="30">
        <v>942.1</v>
      </c>
      <c r="HE17" s="58">
        <v>43448</v>
      </c>
      <c r="HF17" s="30">
        <v>942.1</v>
      </c>
      <c r="HG17" s="76" t="s">
        <v>542</v>
      </c>
      <c r="HH17" s="24">
        <v>42</v>
      </c>
      <c r="HI17" s="16"/>
      <c r="HJ17" s="59"/>
      <c r="HK17" s="121"/>
      <c r="HL17" s="20">
        <v>10</v>
      </c>
      <c r="HM17" s="19">
        <v>939.23</v>
      </c>
      <c r="HN17" s="17">
        <v>43449</v>
      </c>
      <c r="HO17" s="19">
        <v>939.23</v>
      </c>
      <c r="HP17" s="593" t="s">
        <v>550</v>
      </c>
      <c r="HQ17" s="24">
        <v>42</v>
      </c>
      <c r="HR17" s="19"/>
      <c r="HS17" s="30"/>
      <c r="HT17" s="121"/>
      <c r="HU17" s="20">
        <v>10</v>
      </c>
      <c r="HV17" s="19">
        <v>975.06</v>
      </c>
      <c r="HW17" s="58">
        <v>43448</v>
      </c>
      <c r="HX17" s="19">
        <v>975.06</v>
      </c>
      <c r="HY17" s="76" t="s">
        <v>545</v>
      </c>
      <c r="HZ17" s="24">
        <v>42</v>
      </c>
      <c r="IA17" s="30"/>
      <c r="IB17" s="59"/>
      <c r="IC17" s="121"/>
      <c r="ID17" s="20">
        <v>10</v>
      </c>
      <c r="IE17" s="19">
        <v>897.2</v>
      </c>
      <c r="IF17" s="17">
        <v>43449</v>
      </c>
      <c r="IG17" s="19">
        <v>897.2</v>
      </c>
      <c r="IH17" s="43" t="s">
        <v>552</v>
      </c>
      <c r="II17" s="24">
        <v>42</v>
      </c>
      <c r="IJ17" s="16"/>
      <c r="IK17" s="59"/>
      <c r="IL17" s="121"/>
      <c r="IM17" s="20">
        <v>10</v>
      </c>
      <c r="IN17" s="30">
        <v>997.73</v>
      </c>
      <c r="IO17" s="626">
        <v>43450</v>
      </c>
      <c r="IP17" s="30">
        <v>997.73</v>
      </c>
      <c r="IQ17" s="76" t="s">
        <v>559</v>
      </c>
      <c r="IR17" s="24">
        <v>42</v>
      </c>
      <c r="IS17" s="16"/>
      <c r="IT17" s="59"/>
      <c r="IU17" s="121"/>
      <c r="IV17" s="20">
        <v>10</v>
      </c>
      <c r="IW17" s="19">
        <v>869.5</v>
      </c>
      <c r="IX17" s="17">
        <v>43451</v>
      </c>
      <c r="IY17" s="19">
        <v>869.5</v>
      </c>
      <c r="IZ17" s="70" t="s">
        <v>564</v>
      </c>
      <c r="JA17" s="24">
        <v>42</v>
      </c>
      <c r="JB17" s="16"/>
      <c r="JC17" s="59"/>
      <c r="JD17" s="121"/>
      <c r="JE17" s="20">
        <v>10</v>
      </c>
      <c r="JF17" s="19">
        <v>865.9</v>
      </c>
      <c r="JG17" s="17">
        <v>43452</v>
      </c>
      <c r="JH17" s="19">
        <v>865.9</v>
      </c>
      <c r="JI17" s="70" t="s">
        <v>573</v>
      </c>
      <c r="JJ17" s="24">
        <v>42</v>
      </c>
      <c r="JK17" s="16"/>
      <c r="JL17" s="59"/>
      <c r="JM17" s="121"/>
      <c r="JN17" s="20">
        <v>10</v>
      </c>
      <c r="JO17" s="19">
        <v>952.38</v>
      </c>
      <c r="JP17" s="17">
        <v>43452</v>
      </c>
      <c r="JQ17" s="19">
        <v>952.38</v>
      </c>
      <c r="JR17" s="70" t="s">
        <v>578</v>
      </c>
      <c r="JS17" s="24">
        <v>42</v>
      </c>
      <c r="JT17" s="16"/>
      <c r="JU17" s="59"/>
      <c r="JV17" s="121"/>
      <c r="JW17" s="20">
        <v>10</v>
      </c>
      <c r="JX17" s="19">
        <v>933.94</v>
      </c>
      <c r="JY17" s="17">
        <v>43453</v>
      </c>
      <c r="JZ17" s="19">
        <v>933.94</v>
      </c>
      <c r="KA17" s="70" t="s">
        <v>588</v>
      </c>
      <c r="KB17" s="24">
        <v>42</v>
      </c>
      <c r="KC17" s="16"/>
      <c r="KD17" s="59"/>
      <c r="KE17" s="121"/>
      <c r="KF17" s="20">
        <v>10</v>
      </c>
      <c r="KG17" s="30">
        <v>901.5</v>
      </c>
      <c r="KH17" s="17">
        <v>43452</v>
      </c>
      <c r="KI17" s="30">
        <v>901.5</v>
      </c>
      <c r="KJ17" s="70" t="s">
        <v>580</v>
      </c>
      <c r="KK17" s="24">
        <v>42</v>
      </c>
      <c r="KL17" s="16"/>
      <c r="KM17" s="59"/>
      <c r="KN17" s="121"/>
      <c r="KO17" s="20">
        <v>10</v>
      </c>
      <c r="KP17" s="190">
        <v>934.4</v>
      </c>
      <c r="KQ17" s="105">
        <v>43453</v>
      </c>
      <c r="KR17" s="190">
        <v>934.4</v>
      </c>
      <c r="KS17" s="124" t="s">
        <v>583</v>
      </c>
      <c r="KT17" s="103">
        <v>42</v>
      </c>
      <c r="KU17" s="309"/>
      <c r="KV17" s="59"/>
      <c r="KW17" s="121"/>
      <c r="KX17" s="20">
        <v>10</v>
      </c>
      <c r="KY17" s="190">
        <v>910.66</v>
      </c>
      <c r="KZ17" s="17">
        <v>43453</v>
      </c>
      <c r="LA17" s="190">
        <v>910.66</v>
      </c>
      <c r="LB17" s="70" t="s">
        <v>586</v>
      </c>
      <c r="LC17" s="24">
        <v>42</v>
      </c>
      <c r="LD17" s="16"/>
      <c r="LE17" s="59"/>
      <c r="LF17" s="121"/>
      <c r="LG17" s="20">
        <v>10</v>
      </c>
      <c r="LH17" s="30">
        <v>918.37</v>
      </c>
      <c r="LI17" s="17">
        <v>43454</v>
      </c>
      <c r="LJ17" s="30">
        <v>918.37</v>
      </c>
      <c r="LK17" s="70" t="s">
        <v>593</v>
      </c>
      <c r="LL17" s="24">
        <v>42</v>
      </c>
      <c r="LM17" s="16"/>
      <c r="LN17" s="59"/>
      <c r="LO17" s="121"/>
      <c r="LP17" s="20">
        <v>10</v>
      </c>
      <c r="LQ17" s="190">
        <v>932.43</v>
      </c>
      <c r="LR17" s="17">
        <v>43455</v>
      </c>
      <c r="LS17" s="190">
        <v>932.43</v>
      </c>
      <c r="LT17" s="70" t="s">
        <v>599</v>
      </c>
      <c r="LU17" s="24">
        <v>42</v>
      </c>
      <c r="LV17" s="16"/>
      <c r="LW17" s="59"/>
      <c r="LX17" s="121"/>
      <c r="LY17" s="20">
        <v>10</v>
      </c>
      <c r="LZ17" s="19">
        <v>910.8</v>
      </c>
      <c r="MA17" s="17">
        <v>43455</v>
      </c>
      <c r="MB17" s="19">
        <v>910.8</v>
      </c>
      <c r="MC17" s="70" t="s">
        <v>604</v>
      </c>
      <c r="MD17" s="24">
        <v>42</v>
      </c>
      <c r="ME17" s="16"/>
      <c r="MF17" s="59"/>
      <c r="MG17" s="121"/>
      <c r="MH17" s="20">
        <v>10</v>
      </c>
      <c r="MI17" s="109">
        <v>927.1</v>
      </c>
      <c r="MJ17" s="150">
        <v>43455</v>
      </c>
      <c r="MK17" s="109">
        <v>927.1</v>
      </c>
      <c r="ML17" s="270" t="s">
        <v>609</v>
      </c>
      <c r="MM17" s="111">
        <v>42</v>
      </c>
      <c r="MN17" s="16"/>
      <c r="MO17" s="59"/>
      <c r="MP17" s="121"/>
      <c r="MQ17" s="20">
        <v>10</v>
      </c>
      <c r="MR17" s="19">
        <v>929.71</v>
      </c>
      <c r="MS17" s="17">
        <v>43457</v>
      </c>
      <c r="MT17" s="19">
        <v>929.71</v>
      </c>
      <c r="MU17" s="70" t="s">
        <v>628</v>
      </c>
      <c r="MV17" s="24">
        <v>42</v>
      </c>
      <c r="MW17" s="16"/>
      <c r="MX17" s="59"/>
      <c r="MY17" s="121"/>
      <c r="MZ17" s="20">
        <v>10</v>
      </c>
      <c r="NA17" s="30">
        <v>901.7</v>
      </c>
      <c r="NB17" s="17">
        <v>43461</v>
      </c>
      <c r="NC17" s="30">
        <v>901.7</v>
      </c>
      <c r="ND17" s="70" t="s">
        <v>640</v>
      </c>
      <c r="NE17" s="24">
        <v>38</v>
      </c>
      <c r="NF17" s="16"/>
      <c r="NG17" s="59"/>
      <c r="NH17" s="121"/>
      <c r="NI17" s="20">
        <v>10</v>
      </c>
      <c r="NJ17" s="30">
        <v>906.7</v>
      </c>
      <c r="NK17" s="17">
        <v>43456</v>
      </c>
      <c r="NL17" s="30">
        <v>906.7</v>
      </c>
      <c r="NM17" s="70" t="s">
        <v>613</v>
      </c>
      <c r="NN17" s="24">
        <v>42</v>
      </c>
      <c r="NO17" s="16"/>
      <c r="NP17" s="59"/>
      <c r="NQ17" s="171"/>
      <c r="NR17" s="20">
        <v>10</v>
      </c>
      <c r="NS17" s="19">
        <v>919.4</v>
      </c>
      <c r="NT17" s="17">
        <v>43456</v>
      </c>
      <c r="NU17" s="19">
        <v>919.4</v>
      </c>
      <c r="NV17" s="70" t="s">
        <v>615</v>
      </c>
      <c r="NW17" s="24">
        <v>42</v>
      </c>
      <c r="NX17" s="16"/>
      <c r="NY17" s="59"/>
      <c r="NZ17" s="121"/>
      <c r="OA17" s="20">
        <v>10</v>
      </c>
      <c r="OB17" s="30">
        <v>952.83</v>
      </c>
      <c r="OC17" s="105">
        <v>43456</v>
      </c>
      <c r="OD17" s="30">
        <v>952.83</v>
      </c>
      <c r="OE17" s="124" t="s">
        <v>621</v>
      </c>
      <c r="OF17" s="103">
        <v>42</v>
      </c>
      <c r="OG17" s="16"/>
      <c r="OH17" s="59"/>
      <c r="OI17" s="121"/>
      <c r="OJ17" s="20">
        <v>10</v>
      </c>
      <c r="OK17" s="30">
        <v>884.5</v>
      </c>
      <c r="OL17" s="17">
        <v>43456</v>
      </c>
      <c r="OM17" s="19">
        <v>884.5</v>
      </c>
      <c r="ON17" s="70" t="s">
        <v>617</v>
      </c>
      <c r="OO17" s="482">
        <v>42</v>
      </c>
      <c r="OP17" s="16"/>
      <c r="OQ17" s="59"/>
      <c r="OR17" s="121"/>
      <c r="OS17" s="20">
        <v>10</v>
      </c>
      <c r="OT17" s="30">
        <v>877.7</v>
      </c>
      <c r="OU17" s="17">
        <v>43457</v>
      </c>
      <c r="OV17" s="30">
        <v>877.7</v>
      </c>
      <c r="OW17" s="70" t="s">
        <v>625</v>
      </c>
      <c r="OX17" s="24">
        <v>42</v>
      </c>
      <c r="OY17" s="16"/>
      <c r="OZ17" s="59"/>
      <c r="PA17" s="121"/>
      <c r="PB17" s="20">
        <v>10</v>
      </c>
      <c r="PC17" s="30">
        <v>939.23</v>
      </c>
      <c r="PD17" s="17">
        <v>43458</v>
      </c>
      <c r="PE17" s="30">
        <v>939.23</v>
      </c>
      <c r="PF17" s="70" t="s">
        <v>632</v>
      </c>
      <c r="PG17" s="24">
        <v>42</v>
      </c>
      <c r="PH17" s="16"/>
      <c r="PI17" s="59"/>
      <c r="PJ17" s="121"/>
      <c r="PK17" s="20">
        <v>10</v>
      </c>
      <c r="PL17" s="30">
        <v>865</v>
      </c>
      <c r="PM17" s="17">
        <v>43461</v>
      </c>
      <c r="PN17" s="30">
        <v>865</v>
      </c>
      <c r="PO17" s="70" t="s">
        <v>642</v>
      </c>
      <c r="PP17" s="24">
        <v>38</v>
      </c>
      <c r="PQ17" s="16"/>
      <c r="PR17" s="59"/>
      <c r="PS17" s="121"/>
      <c r="PT17" s="20">
        <v>10</v>
      </c>
      <c r="PU17" s="30">
        <v>910.35</v>
      </c>
      <c r="PV17" s="17">
        <v>43462</v>
      </c>
      <c r="PW17" s="30">
        <v>910.35</v>
      </c>
      <c r="PX17" s="270" t="s">
        <v>653</v>
      </c>
      <c r="PY17" s="24">
        <v>38</v>
      </c>
      <c r="PZ17" s="16"/>
      <c r="QA17" s="59"/>
      <c r="QB17" s="121"/>
      <c r="QC17" s="20">
        <v>10</v>
      </c>
      <c r="QD17" s="30">
        <v>965.69</v>
      </c>
      <c r="QE17" s="105">
        <v>43462</v>
      </c>
      <c r="QF17" s="30">
        <v>965.69</v>
      </c>
      <c r="QG17" s="124" t="s">
        <v>657</v>
      </c>
      <c r="QH17" s="24">
        <v>38</v>
      </c>
      <c r="QI17" s="16"/>
      <c r="QJ17" s="59"/>
      <c r="QK17" s="121"/>
      <c r="QL17" s="20">
        <v>10</v>
      </c>
      <c r="QM17" s="30">
        <v>890.4</v>
      </c>
      <c r="QN17" s="17">
        <v>43461</v>
      </c>
      <c r="QO17" s="30">
        <v>890.4</v>
      </c>
      <c r="QP17" s="70" t="s">
        <v>645</v>
      </c>
      <c r="QQ17" s="24">
        <v>38</v>
      </c>
      <c r="QR17" s="16"/>
      <c r="QS17" s="59"/>
      <c r="QT17" s="121"/>
      <c r="QU17" s="20">
        <v>10</v>
      </c>
      <c r="QV17" s="30">
        <v>941.2</v>
      </c>
      <c r="QW17" s="17">
        <v>43461</v>
      </c>
      <c r="QX17" s="30">
        <v>941.2</v>
      </c>
      <c r="QY17" s="70" t="s">
        <v>649</v>
      </c>
      <c r="QZ17" s="24">
        <v>38</v>
      </c>
      <c r="RA17" s="16"/>
      <c r="RB17" s="59"/>
      <c r="RC17" s="121"/>
      <c r="RD17" s="20"/>
      <c r="RE17" s="30"/>
      <c r="RF17" s="17"/>
      <c r="RG17" s="30"/>
      <c r="RH17" s="70"/>
      <c r="RI17" s="24"/>
      <c r="RJ17" s="16"/>
      <c r="RK17" s="59"/>
      <c r="RL17" s="121"/>
      <c r="RM17" s="20">
        <v>10</v>
      </c>
      <c r="RN17" s="30">
        <v>955.56</v>
      </c>
      <c r="RO17" s="400">
        <v>43462</v>
      </c>
      <c r="RP17" s="401">
        <v>955.56</v>
      </c>
      <c r="RQ17" s="402" t="s">
        <v>661</v>
      </c>
      <c r="RR17" s="403">
        <v>38</v>
      </c>
      <c r="RS17" s="16"/>
      <c r="RT17" s="59"/>
      <c r="RU17" s="121"/>
      <c r="RV17" s="20">
        <v>10</v>
      </c>
      <c r="RW17" s="30"/>
      <c r="RX17" s="17"/>
      <c r="RY17" s="19"/>
      <c r="RZ17" s="70"/>
      <c r="SA17" s="24"/>
      <c r="SB17" s="16"/>
      <c r="SC17" s="59"/>
      <c r="SD17" s="121"/>
      <c r="SE17" s="20">
        <v>10</v>
      </c>
      <c r="SF17" s="30">
        <v>907.03</v>
      </c>
      <c r="SG17" s="17">
        <v>43463</v>
      </c>
      <c r="SH17" s="30">
        <v>907.03</v>
      </c>
      <c r="SI17" s="70" t="s">
        <v>654</v>
      </c>
      <c r="SJ17" s="24">
        <v>38</v>
      </c>
      <c r="SK17" s="16"/>
      <c r="SL17" s="59"/>
      <c r="SM17" s="121"/>
      <c r="SN17" s="20">
        <v>10</v>
      </c>
      <c r="SO17" s="30">
        <v>795.61</v>
      </c>
      <c r="SP17" s="17">
        <v>43463</v>
      </c>
      <c r="SQ17" s="19">
        <v>795.61</v>
      </c>
      <c r="SR17" s="70" t="s">
        <v>668</v>
      </c>
      <c r="SS17" s="24">
        <v>38</v>
      </c>
      <c r="ST17" s="16"/>
      <c r="SU17" s="59"/>
      <c r="SV17" s="121"/>
      <c r="SW17" s="20">
        <v>10</v>
      </c>
      <c r="SX17" s="30">
        <v>912.2</v>
      </c>
      <c r="SY17" s="17">
        <v>43463</v>
      </c>
      <c r="SZ17" s="30">
        <v>912.2</v>
      </c>
      <c r="TA17" s="70" t="s">
        <v>665</v>
      </c>
      <c r="TB17" s="24">
        <v>38</v>
      </c>
      <c r="TC17" s="16"/>
      <c r="TD17" s="59"/>
      <c r="TE17" s="121"/>
      <c r="TF17" s="20">
        <v>10</v>
      </c>
      <c r="TG17" s="30">
        <v>974.6</v>
      </c>
      <c r="TH17" s="17">
        <v>43464</v>
      </c>
      <c r="TI17" s="30">
        <v>974.6</v>
      </c>
      <c r="TJ17" s="70" t="s">
        <v>669</v>
      </c>
      <c r="TK17" s="24">
        <v>38</v>
      </c>
      <c r="TM17" s="7"/>
      <c r="TN17" s="2"/>
      <c r="TO17" s="20">
        <v>10</v>
      </c>
      <c r="TP17" s="30">
        <v>929.9</v>
      </c>
      <c r="TQ17" s="17">
        <v>43464</v>
      </c>
      <c r="TR17" s="30">
        <v>929.9</v>
      </c>
      <c r="TS17" s="70" t="s">
        <v>670</v>
      </c>
      <c r="TT17" s="24">
        <v>38</v>
      </c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32009227</v>
      </c>
      <c r="E18" s="155">
        <f t="shared" si="14"/>
        <v>43442</v>
      </c>
      <c r="F18" s="74">
        <f t="shared" si="14"/>
        <v>19034.919999999998</v>
      </c>
      <c r="G18" s="15">
        <f t="shared" si="14"/>
        <v>21</v>
      </c>
      <c r="H18" s="64">
        <f t="shared" si="14"/>
        <v>19024.099999999999</v>
      </c>
      <c r="I18" s="18">
        <f t="shared" si="14"/>
        <v>10.819999999999709</v>
      </c>
      <c r="K18" s="59"/>
      <c r="L18" s="121"/>
      <c r="M18" s="20">
        <v>11</v>
      </c>
      <c r="N18" s="190">
        <v>941.7</v>
      </c>
      <c r="O18" s="105">
        <v>43435</v>
      </c>
      <c r="P18" s="190">
        <v>941.7</v>
      </c>
      <c r="Q18" s="124" t="s">
        <v>472</v>
      </c>
      <c r="R18" s="103">
        <v>37</v>
      </c>
      <c r="S18" s="309"/>
      <c r="T18" s="59"/>
      <c r="U18" s="121"/>
      <c r="V18" s="20">
        <v>11</v>
      </c>
      <c r="W18" s="190">
        <v>933.5</v>
      </c>
      <c r="X18" s="17">
        <v>43435</v>
      </c>
      <c r="Y18" s="190">
        <v>933.5</v>
      </c>
      <c r="Z18" s="70" t="s">
        <v>474</v>
      </c>
      <c r="AA18" s="24">
        <v>37</v>
      </c>
      <c r="AB18" s="16"/>
      <c r="AC18" s="59"/>
      <c r="AD18" s="121"/>
      <c r="AE18" s="20">
        <v>11</v>
      </c>
      <c r="AF18" s="190">
        <v>951.02</v>
      </c>
      <c r="AG18" s="17">
        <v>43436</v>
      </c>
      <c r="AH18" s="190">
        <v>951.02</v>
      </c>
      <c r="AI18" s="70" t="s">
        <v>462</v>
      </c>
      <c r="AJ18" s="24">
        <v>37</v>
      </c>
      <c r="AK18" s="16"/>
      <c r="AL18" s="59"/>
      <c r="AM18" s="121"/>
      <c r="AN18" s="20">
        <v>11</v>
      </c>
      <c r="AO18" s="19">
        <v>922.45</v>
      </c>
      <c r="AP18" s="17">
        <v>43441</v>
      </c>
      <c r="AQ18" s="19">
        <v>922.45</v>
      </c>
      <c r="AR18" s="70" t="s">
        <v>521</v>
      </c>
      <c r="AS18" s="24">
        <v>38</v>
      </c>
      <c r="AT18" s="16"/>
      <c r="AU18" s="59"/>
      <c r="AV18" s="121"/>
      <c r="AW18" s="20">
        <v>11</v>
      </c>
      <c r="AX18" s="19">
        <v>893.1</v>
      </c>
      <c r="AY18" s="105">
        <v>43441</v>
      </c>
      <c r="AZ18" s="19">
        <v>893.1</v>
      </c>
      <c r="BA18" s="124" t="s">
        <v>520</v>
      </c>
      <c r="BB18" s="414">
        <v>38</v>
      </c>
      <c r="BC18" s="16"/>
      <c r="BD18" s="59"/>
      <c r="BE18" s="121"/>
      <c r="BF18" s="20">
        <v>11</v>
      </c>
      <c r="BG18" s="19">
        <v>930.3</v>
      </c>
      <c r="BH18" s="400">
        <v>43441</v>
      </c>
      <c r="BI18" s="19">
        <v>930.3</v>
      </c>
      <c r="BJ18" s="402" t="s">
        <v>517</v>
      </c>
      <c r="BK18" s="403">
        <v>38</v>
      </c>
      <c r="BL18" s="16"/>
      <c r="BM18" s="59"/>
      <c r="BN18" s="121"/>
      <c r="BO18" s="20">
        <v>11</v>
      </c>
      <c r="BP18" s="30">
        <v>905</v>
      </c>
      <c r="BQ18" s="400">
        <v>43439</v>
      </c>
      <c r="BR18" s="19">
        <v>905</v>
      </c>
      <c r="BS18" s="402" t="s">
        <v>486</v>
      </c>
      <c r="BT18" s="403">
        <v>37</v>
      </c>
      <c r="BU18" s="16"/>
      <c r="BV18" s="59"/>
      <c r="BW18" s="121"/>
      <c r="BX18" s="20">
        <v>11</v>
      </c>
      <c r="BY18" s="19">
        <v>905</v>
      </c>
      <c r="BZ18" s="400">
        <v>43438</v>
      </c>
      <c r="CA18" s="19">
        <v>905</v>
      </c>
      <c r="CB18" s="402" t="s">
        <v>463</v>
      </c>
      <c r="CC18" s="403">
        <v>37</v>
      </c>
      <c r="CD18" s="16"/>
      <c r="CE18" s="59"/>
      <c r="CF18" s="121"/>
      <c r="CG18" s="20">
        <v>11</v>
      </c>
      <c r="CH18" s="19">
        <v>936.21</v>
      </c>
      <c r="CI18" s="17">
        <v>43439</v>
      </c>
      <c r="CJ18" s="19">
        <v>936.21</v>
      </c>
      <c r="CK18" s="70" t="s">
        <v>494</v>
      </c>
      <c r="CL18" s="24">
        <v>37</v>
      </c>
      <c r="CM18" s="16"/>
      <c r="CN18" s="59"/>
      <c r="CO18" s="121"/>
      <c r="CP18" s="20">
        <v>11</v>
      </c>
      <c r="CQ18" s="19">
        <v>901.74</v>
      </c>
      <c r="CR18" s="17">
        <v>43439</v>
      </c>
      <c r="CS18" s="19">
        <v>901.74</v>
      </c>
      <c r="CT18" s="70" t="s">
        <v>500</v>
      </c>
      <c r="CU18" s="24">
        <v>37</v>
      </c>
      <c r="CV18" s="16"/>
      <c r="CW18" s="59"/>
      <c r="CX18" s="121"/>
      <c r="CY18" s="20">
        <v>11</v>
      </c>
      <c r="CZ18" s="19">
        <v>920.18</v>
      </c>
      <c r="DA18" s="400">
        <v>43440</v>
      </c>
      <c r="DB18" s="19">
        <v>920.18</v>
      </c>
      <c r="DC18" s="402" t="s">
        <v>477</v>
      </c>
      <c r="DD18" s="403">
        <v>37</v>
      </c>
      <c r="DE18" s="16"/>
      <c r="DF18" s="59"/>
      <c r="DG18" s="121"/>
      <c r="DH18" s="20">
        <v>11</v>
      </c>
      <c r="DI18" s="19">
        <v>974.31</v>
      </c>
      <c r="DJ18" s="400">
        <v>43440</v>
      </c>
      <c r="DK18" s="19">
        <v>974.31</v>
      </c>
      <c r="DL18" s="402" t="s">
        <v>508</v>
      </c>
      <c r="DM18" s="403">
        <v>37</v>
      </c>
      <c r="DN18" s="16"/>
      <c r="DO18" s="59"/>
      <c r="DP18" s="121"/>
      <c r="DQ18" s="20">
        <v>11</v>
      </c>
      <c r="DR18" s="30">
        <v>942.86</v>
      </c>
      <c r="DS18" s="58">
        <v>43442</v>
      </c>
      <c r="DT18" s="30">
        <v>942.86</v>
      </c>
      <c r="DU18" s="76" t="s">
        <v>523</v>
      </c>
      <c r="DV18" s="24">
        <v>40</v>
      </c>
      <c r="DW18" s="16"/>
      <c r="DX18" s="59"/>
      <c r="DY18" s="121"/>
      <c r="DZ18" s="20">
        <v>11</v>
      </c>
      <c r="EA18" s="30">
        <v>892.7</v>
      </c>
      <c r="EB18" s="58">
        <v>43444</v>
      </c>
      <c r="EC18" s="30">
        <v>892.7</v>
      </c>
      <c r="ED18" s="688" t="s">
        <v>466</v>
      </c>
      <c r="EE18" s="24">
        <v>42</v>
      </c>
      <c r="EF18" s="16"/>
      <c r="EG18" s="59"/>
      <c r="EH18" s="121"/>
      <c r="EI18" s="20">
        <v>11</v>
      </c>
      <c r="EJ18" s="19">
        <v>948</v>
      </c>
      <c r="EK18" s="17">
        <v>43442</v>
      </c>
      <c r="EL18" s="19">
        <v>948</v>
      </c>
      <c r="EM18" s="43" t="s">
        <v>504</v>
      </c>
      <c r="EN18" s="24">
        <v>40</v>
      </c>
      <c r="EO18" s="16"/>
      <c r="EP18" s="59"/>
      <c r="EQ18" s="121"/>
      <c r="ER18" s="20">
        <v>11</v>
      </c>
      <c r="ES18" s="19">
        <v>996.37</v>
      </c>
      <c r="ET18" s="17">
        <v>43447</v>
      </c>
      <c r="EU18" s="19">
        <v>996.37</v>
      </c>
      <c r="EV18" s="43" t="s">
        <v>536</v>
      </c>
      <c r="EW18" s="24">
        <v>42</v>
      </c>
      <c r="EX18" s="16"/>
      <c r="EY18" s="59"/>
      <c r="EZ18" s="121"/>
      <c r="FA18" s="20">
        <v>11</v>
      </c>
      <c r="FB18" s="167">
        <v>994.56</v>
      </c>
      <c r="FC18" s="150">
        <v>43445</v>
      </c>
      <c r="FD18" s="167">
        <v>994.56</v>
      </c>
      <c r="FE18" s="110" t="s">
        <v>492</v>
      </c>
      <c r="FF18" s="111">
        <v>42</v>
      </c>
      <c r="FG18" s="16"/>
      <c r="FH18" s="59"/>
      <c r="FI18" s="121"/>
      <c r="FJ18" s="20">
        <v>11</v>
      </c>
      <c r="FK18" s="30">
        <v>898</v>
      </c>
      <c r="FL18" s="58">
        <v>43445</v>
      </c>
      <c r="FM18" s="30">
        <v>898</v>
      </c>
      <c r="FN18" s="76" t="s">
        <v>480</v>
      </c>
      <c r="FO18" s="24">
        <v>42</v>
      </c>
      <c r="FP18" s="24"/>
      <c r="FQ18" s="59"/>
      <c r="FR18" s="121"/>
      <c r="FS18" s="20">
        <v>11</v>
      </c>
      <c r="FT18" s="19">
        <v>942.56</v>
      </c>
      <c r="FU18" s="150">
        <v>43445</v>
      </c>
      <c r="FV18" s="19">
        <v>942.56</v>
      </c>
      <c r="FW18" s="270" t="s">
        <v>514</v>
      </c>
      <c r="FX18" s="111">
        <v>42</v>
      </c>
      <c r="FY18" s="16"/>
      <c r="FZ18" s="59"/>
      <c r="GA18" s="121"/>
      <c r="GB18" s="20">
        <v>11</v>
      </c>
      <c r="GC18" s="30">
        <v>907.03</v>
      </c>
      <c r="GD18" s="17">
        <v>43446</v>
      </c>
      <c r="GE18" s="30">
        <v>907.03</v>
      </c>
      <c r="GF18" s="70" t="s">
        <v>515</v>
      </c>
      <c r="GG18" s="24">
        <v>42</v>
      </c>
      <c r="GH18" s="16"/>
      <c r="GI18" s="59"/>
      <c r="GJ18" s="121"/>
      <c r="GK18" s="20">
        <v>11</v>
      </c>
      <c r="GL18" s="19">
        <v>950.11</v>
      </c>
      <c r="GM18" s="17">
        <v>43447</v>
      </c>
      <c r="GN18" s="19">
        <v>950.11</v>
      </c>
      <c r="GO18" s="70" t="s">
        <v>537</v>
      </c>
      <c r="GP18" s="24">
        <v>42</v>
      </c>
      <c r="GQ18" s="16"/>
      <c r="GR18" s="59"/>
      <c r="GS18" s="121"/>
      <c r="GT18" s="20">
        <v>11</v>
      </c>
      <c r="GU18" s="19">
        <v>943.9</v>
      </c>
      <c r="GV18" s="17">
        <v>43448</v>
      </c>
      <c r="GW18" s="19">
        <v>943.9</v>
      </c>
      <c r="GX18" s="311" t="s">
        <v>538</v>
      </c>
      <c r="GY18" s="24">
        <v>42</v>
      </c>
      <c r="GZ18" s="16"/>
      <c r="HA18" s="59"/>
      <c r="HB18" s="121"/>
      <c r="HC18" s="20">
        <v>11</v>
      </c>
      <c r="HD18" s="30">
        <v>935.3</v>
      </c>
      <c r="HE18" s="58">
        <v>43448</v>
      </c>
      <c r="HF18" s="30">
        <v>935.3</v>
      </c>
      <c r="HG18" s="76" t="s">
        <v>543</v>
      </c>
      <c r="HH18" s="24">
        <v>42</v>
      </c>
      <c r="HI18" s="16"/>
      <c r="HJ18" s="59"/>
      <c r="HK18" s="121"/>
      <c r="HL18" s="20">
        <v>11</v>
      </c>
      <c r="HM18" s="19">
        <v>943.76</v>
      </c>
      <c r="HN18" s="17">
        <v>43449</v>
      </c>
      <c r="HO18" s="19">
        <v>943.76</v>
      </c>
      <c r="HP18" s="593" t="s">
        <v>550</v>
      </c>
      <c r="HQ18" s="24">
        <v>42</v>
      </c>
      <c r="HR18" s="19"/>
      <c r="HS18" s="30"/>
      <c r="HT18" s="121"/>
      <c r="HU18" s="20">
        <v>11</v>
      </c>
      <c r="HV18" s="19">
        <v>996.83</v>
      </c>
      <c r="HW18" s="58">
        <v>43448</v>
      </c>
      <c r="HX18" s="19">
        <v>996.83</v>
      </c>
      <c r="HY18" s="76" t="s">
        <v>546</v>
      </c>
      <c r="HZ18" s="24">
        <v>42</v>
      </c>
      <c r="IA18" s="18"/>
      <c r="IB18" s="59"/>
      <c r="IC18" s="121"/>
      <c r="ID18" s="20">
        <v>11</v>
      </c>
      <c r="IE18" s="19">
        <v>903.6</v>
      </c>
      <c r="IF18" s="17">
        <v>43449</v>
      </c>
      <c r="IG18" s="19">
        <v>903.6</v>
      </c>
      <c r="IH18" s="43" t="s">
        <v>553</v>
      </c>
      <c r="II18" s="24">
        <v>42</v>
      </c>
      <c r="IJ18" s="16"/>
      <c r="IK18" s="59"/>
      <c r="IL18" s="121"/>
      <c r="IM18" s="20">
        <v>11</v>
      </c>
      <c r="IN18" s="30">
        <v>989.57</v>
      </c>
      <c r="IO18" s="626">
        <v>43450</v>
      </c>
      <c r="IP18" s="30">
        <v>989.57</v>
      </c>
      <c r="IQ18" s="76" t="s">
        <v>563</v>
      </c>
      <c r="IR18" s="24">
        <v>42</v>
      </c>
      <c r="IS18" s="16"/>
      <c r="IT18" s="59"/>
      <c r="IU18" s="121"/>
      <c r="IV18" s="20">
        <v>11</v>
      </c>
      <c r="IW18" s="30">
        <v>899</v>
      </c>
      <c r="IX18" s="17">
        <v>43451</v>
      </c>
      <c r="IY18" s="30">
        <v>899</v>
      </c>
      <c r="IZ18" s="70" t="s">
        <v>570</v>
      </c>
      <c r="JA18" s="24">
        <v>42</v>
      </c>
      <c r="JB18" s="16"/>
      <c r="JC18" s="59"/>
      <c r="JD18" s="121"/>
      <c r="JE18" s="20">
        <v>11</v>
      </c>
      <c r="JF18" s="19">
        <v>904.5</v>
      </c>
      <c r="JG18" s="17">
        <v>43452</v>
      </c>
      <c r="JH18" s="19">
        <v>904.5</v>
      </c>
      <c r="JI18" s="70" t="s">
        <v>573</v>
      </c>
      <c r="JJ18" s="24">
        <v>42</v>
      </c>
      <c r="JK18" s="16"/>
      <c r="JL18" s="59"/>
      <c r="JM18" s="121"/>
      <c r="JN18" s="20">
        <v>11</v>
      </c>
      <c r="JO18" s="19">
        <v>966.44</v>
      </c>
      <c r="JP18" s="17">
        <v>43452</v>
      </c>
      <c r="JQ18" s="19">
        <v>966.44</v>
      </c>
      <c r="JR18" s="70" t="s">
        <v>579</v>
      </c>
      <c r="JS18" s="24">
        <v>42</v>
      </c>
      <c r="JT18" s="16"/>
      <c r="JU18" s="59"/>
      <c r="JV18" s="121"/>
      <c r="JW18" s="20">
        <v>11</v>
      </c>
      <c r="JX18" s="19">
        <v>938.93</v>
      </c>
      <c r="JY18" s="17">
        <v>43453</v>
      </c>
      <c r="JZ18" s="19">
        <v>938.93</v>
      </c>
      <c r="KA18" s="70" t="s">
        <v>589</v>
      </c>
      <c r="KB18" s="24">
        <v>42</v>
      </c>
      <c r="KC18" s="16"/>
      <c r="KD18" s="59"/>
      <c r="KE18" s="121"/>
      <c r="KF18" s="20">
        <v>11</v>
      </c>
      <c r="KG18" s="19">
        <v>893.5</v>
      </c>
      <c r="KH18" s="17">
        <v>43452</v>
      </c>
      <c r="KI18" s="19">
        <v>893.5</v>
      </c>
      <c r="KJ18" s="70" t="s">
        <v>581</v>
      </c>
      <c r="KK18" s="24">
        <v>42</v>
      </c>
      <c r="KL18" s="16"/>
      <c r="KM18" s="59"/>
      <c r="KN18" s="121"/>
      <c r="KO18" s="20">
        <v>11</v>
      </c>
      <c r="KP18" s="190">
        <v>972.5</v>
      </c>
      <c r="KQ18" s="105">
        <v>43453</v>
      </c>
      <c r="KR18" s="190">
        <v>972.5</v>
      </c>
      <c r="KS18" s="124" t="s">
        <v>584</v>
      </c>
      <c r="KT18" s="103">
        <v>42</v>
      </c>
      <c r="KU18" s="309"/>
      <c r="KV18" s="59"/>
      <c r="KW18" s="121"/>
      <c r="KX18" s="20">
        <v>11</v>
      </c>
      <c r="KY18" s="190">
        <v>941.95</v>
      </c>
      <c r="KZ18" s="17">
        <v>43453</v>
      </c>
      <c r="LA18" s="190">
        <v>941.95</v>
      </c>
      <c r="LB18" s="70" t="s">
        <v>561</v>
      </c>
      <c r="LC18" s="24">
        <v>42</v>
      </c>
      <c r="LD18" s="16"/>
      <c r="LE18" s="59"/>
      <c r="LF18" s="121"/>
      <c r="LG18" s="20">
        <v>11</v>
      </c>
      <c r="LH18" s="19">
        <v>909.75</v>
      </c>
      <c r="LI18" s="17">
        <v>43454</v>
      </c>
      <c r="LJ18" s="19">
        <v>909.75</v>
      </c>
      <c r="LK18" s="70" t="s">
        <v>562</v>
      </c>
      <c r="LL18" s="24">
        <v>42</v>
      </c>
      <c r="LM18" s="16"/>
      <c r="LN18" s="59"/>
      <c r="LO18" s="121"/>
      <c r="LP18" s="20">
        <v>11</v>
      </c>
      <c r="LQ18" s="190">
        <v>907.48</v>
      </c>
      <c r="LR18" s="17">
        <v>43455</v>
      </c>
      <c r="LS18" s="190">
        <v>907.48</v>
      </c>
      <c r="LT18" s="70" t="s">
        <v>599</v>
      </c>
      <c r="LU18" s="24">
        <v>42</v>
      </c>
      <c r="LV18" s="16"/>
      <c r="LW18" s="59"/>
      <c r="LX18" s="121"/>
      <c r="LY18" s="20">
        <v>11</v>
      </c>
      <c r="LZ18" s="19">
        <v>917.2</v>
      </c>
      <c r="MA18" s="17">
        <v>43455</v>
      </c>
      <c r="MB18" s="19">
        <v>917.2</v>
      </c>
      <c r="MC18" s="70" t="s">
        <v>605</v>
      </c>
      <c r="MD18" s="24">
        <v>42</v>
      </c>
      <c r="ME18" s="16"/>
      <c r="MF18" s="59"/>
      <c r="MG18" s="121"/>
      <c r="MH18" s="20">
        <v>11</v>
      </c>
      <c r="MI18" s="167">
        <v>874.5</v>
      </c>
      <c r="MJ18" s="150">
        <v>43455</v>
      </c>
      <c r="MK18" s="167">
        <v>874.5</v>
      </c>
      <c r="ML18" s="270" t="s">
        <v>608</v>
      </c>
      <c r="MM18" s="111">
        <v>42</v>
      </c>
      <c r="MN18" s="16"/>
      <c r="MO18" s="59"/>
      <c r="MP18" s="121"/>
      <c r="MQ18" s="20">
        <v>11</v>
      </c>
      <c r="MR18" s="19">
        <v>934.24</v>
      </c>
      <c r="MS18" s="17">
        <v>43457</v>
      </c>
      <c r="MT18" s="19">
        <v>934.24</v>
      </c>
      <c r="MU18" s="70" t="s">
        <v>628</v>
      </c>
      <c r="MV18" s="24">
        <v>42</v>
      </c>
      <c r="MW18" s="16"/>
      <c r="MX18" s="59"/>
      <c r="MY18" s="121"/>
      <c r="MZ18" s="20">
        <v>11</v>
      </c>
      <c r="NA18" s="19">
        <v>937.1</v>
      </c>
      <c r="NB18" s="17">
        <v>43461</v>
      </c>
      <c r="NC18" s="19">
        <v>937.1</v>
      </c>
      <c r="ND18" s="70" t="s">
        <v>640</v>
      </c>
      <c r="NE18" s="24">
        <v>38</v>
      </c>
      <c r="NF18" s="16"/>
      <c r="NG18" s="59"/>
      <c r="NH18" s="121"/>
      <c r="NI18" s="20">
        <v>11</v>
      </c>
      <c r="NJ18" s="19">
        <v>869.5</v>
      </c>
      <c r="NK18" s="17">
        <v>43456</v>
      </c>
      <c r="NL18" s="19">
        <v>869.5</v>
      </c>
      <c r="NM18" s="70" t="s">
        <v>614</v>
      </c>
      <c r="NN18" s="24">
        <v>42</v>
      </c>
      <c r="NO18" s="16"/>
      <c r="NP18" s="59"/>
      <c r="NQ18" s="171"/>
      <c r="NR18" s="20">
        <v>11</v>
      </c>
      <c r="NS18" s="19">
        <v>896.7</v>
      </c>
      <c r="NT18" s="17">
        <v>43456</v>
      </c>
      <c r="NU18" s="19">
        <v>896.7</v>
      </c>
      <c r="NV18" s="70" t="s">
        <v>616</v>
      </c>
      <c r="NW18" s="24">
        <v>42</v>
      </c>
      <c r="NX18" s="16"/>
      <c r="NY18" s="59"/>
      <c r="NZ18" s="121"/>
      <c r="OA18" s="20">
        <v>11</v>
      </c>
      <c r="OB18" s="19">
        <v>951.02</v>
      </c>
      <c r="OC18" s="105">
        <v>43456</v>
      </c>
      <c r="OD18" s="19">
        <v>951.02</v>
      </c>
      <c r="OE18" s="124" t="s">
        <v>620</v>
      </c>
      <c r="OF18" s="103">
        <v>42</v>
      </c>
      <c r="OG18" s="16"/>
      <c r="OH18" s="59"/>
      <c r="OI18" s="121"/>
      <c r="OJ18" s="20">
        <v>11</v>
      </c>
      <c r="OK18" s="19">
        <v>915.8</v>
      </c>
      <c r="OL18" s="17">
        <v>43456</v>
      </c>
      <c r="OM18" s="19">
        <v>915.8</v>
      </c>
      <c r="ON18" s="70" t="s">
        <v>618</v>
      </c>
      <c r="OO18" s="482">
        <v>42</v>
      </c>
      <c r="OP18" s="16"/>
      <c r="OQ18" s="59"/>
      <c r="OR18" s="121"/>
      <c r="OS18" s="20">
        <v>11</v>
      </c>
      <c r="OT18" s="19">
        <v>886.8</v>
      </c>
      <c r="OU18" s="17">
        <v>43457</v>
      </c>
      <c r="OV18" s="19">
        <v>886.8</v>
      </c>
      <c r="OW18" s="70" t="s">
        <v>631</v>
      </c>
      <c r="OX18" s="24">
        <v>42</v>
      </c>
      <c r="OY18" s="16"/>
      <c r="OZ18" s="59"/>
      <c r="PA18" s="121"/>
      <c r="PB18" s="20">
        <v>11</v>
      </c>
      <c r="PC18" s="19">
        <v>908.39</v>
      </c>
      <c r="PD18" s="17">
        <v>43458</v>
      </c>
      <c r="PE18" s="19">
        <v>908.39</v>
      </c>
      <c r="PF18" s="70" t="s">
        <v>632</v>
      </c>
      <c r="PG18" s="24">
        <v>42</v>
      </c>
      <c r="PH18" s="16"/>
      <c r="PI18" s="59"/>
      <c r="PJ18" s="121"/>
      <c r="PK18" s="20">
        <v>11</v>
      </c>
      <c r="PL18" s="19">
        <v>895.5</v>
      </c>
      <c r="PM18" s="17">
        <v>43461</v>
      </c>
      <c r="PN18" s="19">
        <v>895.5</v>
      </c>
      <c r="PO18" s="70" t="s">
        <v>650</v>
      </c>
      <c r="PP18" s="24">
        <v>38</v>
      </c>
      <c r="PQ18" s="16"/>
      <c r="PR18" s="59"/>
      <c r="PS18" s="121"/>
      <c r="PT18" s="20">
        <v>11</v>
      </c>
      <c r="PU18" s="19">
        <v>918.07</v>
      </c>
      <c r="PV18" s="17">
        <v>43462</v>
      </c>
      <c r="PW18" s="19">
        <v>918.07</v>
      </c>
      <c r="PX18" s="270" t="s">
        <v>653</v>
      </c>
      <c r="PY18" s="24">
        <v>38</v>
      </c>
      <c r="PZ18" s="16"/>
      <c r="QA18" s="59"/>
      <c r="QB18" s="121"/>
      <c r="QC18" s="20">
        <v>11</v>
      </c>
      <c r="QD18" s="19">
        <v>941.2</v>
      </c>
      <c r="QE18" s="105">
        <v>43462</v>
      </c>
      <c r="QF18" s="19">
        <v>941.2</v>
      </c>
      <c r="QG18" s="124" t="s">
        <v>657</v>
      </c>
      <c r="QH18" s="414">
        <v>38</v>
      </c>
      <c r="QI18" s="16"/>
      <c r="QJ18" s="59"/>
      <c r="QK18" s="121"/>
      <c r="QL18" s="20">
        <v>11</v>
      </c>
      <c r="QM18" s="19">
        <v>907.6</v>
      </c>
      <c r="QN18" s="17">
        <v>43461</v>
      </c>
      <c r="QO18" s="19">
        <v>907.6</v>
      </c>
      <c r="QP18" s="70" t="s">
        <v>646</v>
      </c>
      <c r="QQ18" s="24">
        <v>38</v>
      </c>
      <c r="QR18" s="16"/>
      <c r="QS18" s="59"/>
      <c r="QT18" s="121"/>
      <c r="QU18" s="20">
        <v>11</v>
      </c>
      <c r="QV18" s="19">
        <v>928.95</v>
      </c>
      <c r="QW18" s="17">
        <v>43461</v>
      </c>
      <c r="QX18" s="19">
        <v>928.95</v>
      </c>
      <c r="QY18" s="70" t="s">
        <v>655</v>
      </c>
      <c r="QZ18" s="24">
        <v>38</v>
      </c>
      <c r="RA18" s="16"/>
      <c r="RB18" s="59"/>
      <c r="RC18" s="121"/>
      <c r="RD18" s="20"/>
      <c r="RE18" s="19"/>
      <c r="RF18" s="17"/>
      <c r="RG18" s="19"/>
      <c r="RH18" s="70"/>
      <c r="RI18" s="24"/>
      <c r="RJ18" s="16"/>
      <c r="RK18" s="59"/>
      <c r="RL18" s="121"/>
      <c r="RM18" s="20">
        <v>11</v>
      </c>
      <c r="RN18" s="19">
        <v>923.36</v>
      </c>
      <c r="RO18" s="400">
        <v>43462</v>
      </c>
      <c r="RP18" s="401">
        <v>923.36</v>
      </c>
      <c r="RQ18" s="402" t="s">
        <v>644</v>
      </c>
      <c r="RR18" s="403">
        <v>38</v>
      </c>
      <c r="RS18" s="16"/>
      <c r="RT18" s="59"/>
      <c r="RU18" s="121"/>
      <c r="RV18" s="20">
        <v>11</v>
      </c>
      <c r="RW18" s="19"/>
      <c r="RX18" s="17"/>
      <c r="RY18" s="19"/>
      <c r="RZ18" s="70"/>
      <c r="SA18" s="24"/>
      <c r="SB18" s="16"/>
      <c r="SC18" s="59"/>
      <c r="SD18" s="121"/>
      <c r="SE18" s="20">
        <v>11</v>
      </c>
      <c r="SF18" s="19">
        <v>956.92</v>
      </c>
      <c r="SG18" s="17">
        <v>43463</v>
      </c>
      <c r="SH18" s="19">
        <v>956.92</v>
      </c>
      <c r="SI18" s="70" t="s">
        <v>667</v>
      </c>
      <c r="SJ18" s="24">
        <v>38</v>
      </c>
      <c r="SK18" s="16"/>
      <c r="SL18" s="59"/>
      <c r="SM18" s="121"/>
      <c r="SN18" s="20">
        <v>11</v>
      </c>
      <c r="SO18" s="19"/>
      <c r="SP18" s="17"/>
      <c r="SQ18" s="19"/>
      <c r="SR18" s="70"/>
      <c r="SS18" s="24"/>
      <c r="ST18" s="16"/>
      <c r="SU18" s="59"/>
      <c r="SV18" s="121"/>
      <c r="SW18" s="20">
        <v>11</v>
      </c>
      <c r="SX18" s="19">
        <v>933.9</v>
      </c>
      <c r="SY18" s="17">
        <v>43463</v>
      </c>
      <c r="SZ18" s="19">
        <v>933.9</v>
      </c>
      <c r="TA18" s="70" t="s">
        <v>666</v>
      </c>
      <c r="TB18" s="24">
        <v>38</v>
      </c>
      <c r="TC18" s="16"/>
      <c r="TD18" s="59"/>
      <c r="TE18" s="121"/>
      <c r="TF18" s="20">
        <v>11</v>
      </c>
      <c r="TG18" s="19">
        <v>920.63</v>
      </c>
      <c r="TH18" s="17">
        <v>43464</v>
      </c>
      <c r="TI18" s="19">
        <v>920.63</v>
      </c>
      <c r="TJ18" s="70" t="s">
        <v>676</v>
      </c>
      <c r="TK18" s="24">
        <v>38</v>
      </c>
      <c r="TM18" s="7"/>
      <c r="TN18" s="2"/>
      <c r="TO18" s="20">
        <v>11</v>
      </c>
      <c r="TP18" s="19">
        <v>877.7</v>
      </c>
      <c r="TQ18" s="17">
        <v>43464</v>
      </c>
      <c r="TR18" s="19">
        <v>877.7</v>
      </c>
      <c r="TS18" s="70" t="s">
        <v>671</v>
      </c>
      <c r="TT18" s="24">
        <v>38</v>
      </c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2" t="str">
        <f t="shared" si="15"/>
        <v>PED.32083636</v>
      </c>
      <c r="E19" s="155">
        <f t="shared" si="15"/>
        <v>43445</v>
      </c>
      <c r="F19" s="74">
        <f t="shared" si="15"/>
        <v>19161.5</v>
      </c>
      <c r="G19" s="15">
        <f t="shared" si="15"/>
        <v>20</v>
      </c>
      <c r="H19" s="64">
        <f t="shared" si="15"/>
        <v>19337.439999999999</v>
      </c>
      <c r="I19" s="18">
        <f t="shared" si="15"/>
        <v>-175.93999999999869</v>
      </c>
      <c r="K19" s="59"/>
      <c r="L19" s="121"/>
      <c r="M19" s="20">
        <v>12</v>
      </c>
      <c r="N19" s="190">
        <v>923.5</v>
      </c>
      <c r="O19" s="105">
        <v>43435</v>
      </c>
      <c r="P19" s="190">
        <v>923.5</v>
      </c>
      <c r="Q19" s="124" t="s">
        <v>472</v>
      </c>
      <c r="R19" s="103">
        <v>37</v>
      </c>
      <c r="S19" s="16"/>
      <c r="T19" s="59"/>
      <c r="U19" s="121"/>
      <c r="V19" s="20">
        <v>12</v>
      </c>
      <c r="W19" s="190">
        <v>880.4</v>
      </c>
      <c r="X19" s="17">
        <v>43435</v>
      </c>
      <c r="Y19" s="190">
        <v>880.4</v>
      </c>
      <c r="Z19" s="70" t="s">
        <v>474</v>
      </c>
      <c r="AA19" s="24">
        <v>37</v>
      </c>
      <c r="AB19" s="16"/>
      <c r="AC19" s="59"/>
      <c r="AD19" s="121"/>
      <c r="AE19" s="20">
        <v>12</v>
      </c>
      <c r="AF19" s="190">
        <v>924.26</v>
      </c>
      <c r="AG19" s="17">
        <v>43436</v>
      </c>
      <c r="AH19" s="190">
        <v>924.26</v>
      </c>
      <c r="AI19" s="70" t="s">
        <v>462</v>
      </c>
      <c r="AJ19" s="24">
        <v>37</v>
      </c>
      <c r="AK19" s="16"/>
      <c r="AL19" s="59"/>
      <c r="AM19" s="121"/>
      <c r="AN19" s="20">
        <v>12</v>
      </c>
      <c r="AO19" s="19">
        <v>922.45</v>
      </c>
      <c r="AP19" s="17">
        <v>43441</v>
      </c>
      <c r="AQ19" s="19">
        <v>922.45</v>
      </c>
      <c r="AR19" s="70" t="s">
        <v>521</v>
      </c>
      <c r="AS19" s="24">
        <v>38</v>
      </c>
      <c r="AT19" s="16"/>
      <c r="AU19" s="59" t="s">
        <v>41</v>
      </c>
      <c r="AV19" s="121"/>
      <c r="AW19" s="20">
        <v>12</v>
      </c>
      <c r="AX19" s="30">
        <v>884.5</v>
      </c>
      <c r="AY19" s="105">
        <v>43441</v>
      </c>
      <c r="AZ19" s="30">
        <v>884.5</v>
      </c>
      <c r="BA19" s="124" t="s">
        <v>520</v>
      </c>
      <c r="BB19" s="414">
        <v>38</v>
      </c>
      <c r="BC19" s="16"/>
      <c r="BD19" s="59"/>
      <c r="BE19" s="121"/>
      <c r="BF19" s="20">
        <v>12</v>
      </c>
      <c r="BG19" s="19">
        <v>878.2</v>
      </c>
      <c r="BH19" s="400">
        <v>43441</v>
      </c>
      <c r="BI19" s="19">
        <v>878.2</v>
      </c>
      <c r="BJ19" s="402" t="s">
        <v>517</v>
      </c>
      <c r="BK19" s="403">
        <v>38</v>
      </c>
      <c r="BL19" s="16"/>
      <c r="BM19" s="59"/>
      <c r="BN19" s="121"/>
      <c r="BO19" s="20">
        <v>12</v>
      </c>
      <c r="BP19" s="19">
        <v>895.5</v>
      </c>
      <c r="BQ19" s="400">
        <v>43439</v>
      </c>
      <c r="BR19" s="19">
        <v>895.5</v>
      </c>
      <c r="BS19" s="402" t="s">
        <v>502</v>
      </c>
      <c r="BT19" s="403">
        <v>37</v>
      </c>
      <c r="BU19" s="16"/>
      <c r="BV19" s="59"/>
      <c r="BW19" s="121"/>
      <c r="BX19" s="20">
        <v>12</v>
      </c>
      <c r="BY19" s="19">
        <v>905</v>
      </c>
      <c r="BZ19" s="400">
        <v>43438</v>
      </c>
      <c r="CA19" s="19">
        <v>905</v>
      </c>
      <c r="CB19" s="402" t="s">
        <v>463</v>
      </c>
      <c r="CC19" s="403">
        <v>37</v>
      </c>
      <c r="CD19" s="16"/>
      <c r="CE19" s="59"/>
      <c r="CF19" s="121"/>
      <c r="CG19" s="20">
        <v>12</v>
      </c>
      <c r="CH19" s="19">
        <v>962.06</v>
      </c>
      <c r="CI19" s="17">
        <v>43439</v>
      </c>
      <c r="CJ19" s="19">
        <v>962.06</v>
      </c>
      <c r="CK19" s="70" t="s">
        <v>494</v>
      </c>
      <c r="CL19" s="24">
        <v>37</v>
      </c>
      <c r="CM19" s="16"/>
      <c r="CN19" s="128"/>
      <c r="CO19" s="121"/>
      <c r="CP19" s="20">
        <v>12</v>
      </c>
      <c r="CQ19" s="19">
        <v>923.51</v>
      </c>
      <c r="CR19" s="17">
        <v>43439</v>
      </c>
      <c r="CS19" s="19">
        <v>923.51</v>
      </c>
      <c r="CT19" s="70" t="s">
        <v>500</v>
      </c>
      <c r="CU19" s="24">
        <v>37</v>
      </c>
      <c r="CV19" s="16"/>
      <c r="CW19" s="59"/>
      <c r="CX19" s="121"/>
      <c r="CY19" s="20">
        <v>12</v>
      </c>
      <c r="CZ19" s="19">
        <v>926.98</v>
      </c>
      <c r="DA19" s="400">
        <v>43440</v>
      </c>
      <c r="DB19" s="19">
        <v>926.98</v>
      </c>
      <c r="DC19" s="402" t="s">
        <v>477</v>
      </c>
      <c r="DD19" s="403">
        <v>37</v>
      </c>
      <c r="DE19" s="16"/>
      <c r="DF19" s="59"/>
      <c r="DG19" s="121"/>
      <c r="DH19" s="20">
        <v>12</v>
      </c>
      <c r="DI19" s="19">
        <v>926.23</v>
      </c>
      <c r="DJ19" s="400">
        <v>43440</v>
      </c>
      <c r="DK19" s="19">
        <v>926.23</v>
      </c>
      <c r="DL19" s="402" t="s">
        <v>508</v>
      </c>
      <c r="DM19" s="403">
        <v>37</v>
      </c>
      <c r="DN19" s="16"/>
      <c r="DO19" s="59"/>
      <c r="DP19" s="121"/>
      <c r="DQ19" s="20">
        <v>12</v>
      </c>
      <c r="DR19" s="30">
        <v>902.04</v>
      </c>
      <c r="DS19" s="58">
        <v>43442</v>
      </c>
      <c r="DT19" s="30">
        <v>902.04</v>
      </c>
      <c r="DU19" s="76" t="s">
        <v>523</v>
      </c>
      <c r="DV19" s="24">
        <v>40</v>
      </c>
      <c r="DW19" s="16"/>
      <c r="DX19" s="59"/>
      <c r="DY19" s="121"/>
      <c r="DZ19" s="20">
        <v>12</v>
      </c>
      <c r="EA19" s="30">
        <v>908.5</v>
      </c>
      <c r="EB19" s="58">
        <v>43444</v>
      </c>
      <c r="EC19" s="30">
        <v>908.5</v>
      </c>
      <c r="ED19" s="76" t="s">
        <v>466</v>
      </c>
      <c r="EE19" s="24">
        <v>42</v>
      </c>
      <c r="EF19" s="16"/>
      <c r="EG19" s="59"/>
      <c r="EH19" s="121"/>
      <c r="EI19" s="20">
        <v>12</v>
      </c>
      <c r="EJ19" s="19">
        <v>893.1</v>
      </c>
      <c r="EK19" s="17">
        <v>43442</v>
      </c>
      <c r="EL19" s="19">
        <v>893.1</v>
      </c>
      <c r="EM19" s="43" t="s">
        <v>504</v>
      </c>
      <c r="EN19" s="24">
        <v>40</v>
      </c>
      <c r="EO19" s="16"/>
      <c r="EP19" s="59"/>
      <c r="EQ19" s="121"/>
      <c r="ER19" s="20">
        <v>12</v>
      </c>
      <c r="ES19" s="19">
        <v>984.13</v>
      </c>
      <c r="ET19" s="17">
        <v>43447</v>
      </c>
      <c r="EU19" s="19">
        <v>984.13</v>
      </c>
      <c r="EV19" s="43" t="s">
        <v>536</v>
      </c>
      <c r="EW19" s="24">
        <v>42</v>
      </c>
      <c r="EX19" s="16"/>
      <c r="EY19" s="59"/>
      <c r="EZ19" s="121"/>
      <c r="FA19" s="20">
        <v>12</v>
      </c>
      <c r="FB19" s="167">
        <v>974.15</v>
      </c>
      <c r="FC19" s="150">
        <v>43445</v>
      </c>
      <c r="FD19" s="167">
        <v>974.15</v>
      </c>
      <c r="FE19" s="110" t="s">
        <v>492</v>
      </c>
      <c r="FF19" s="111">
        <v>42</v>
      </c>
      <c r="FG19" s="16"/>
      <c r="FH19" s="59"/>
      <c r="FI19" s="121"/>
      <c r="FJ19" s="20">
        <v>12</v>
      </c>
      <c r="FK19" s="30">
        <v>906.5</v>
      </c>
      <c r="FL19" s="58">
        <v>43445</v>
      </c>
      <c r="FM19" s="30">
        <v>906.5</v>
      </c>
      <c r="FN19" s="76" t="s">
        <v>480</v>
      </c>
      <c r="FO19" s="24">
        <v>42</v>
      </c>
      <c r="FP19" s="16"/>
      <c r="FQ19" s="59"/>
      <c r="FR19" s="121"/>
      <c r="FS19" s="20">
        <v>12</v>
      </c>
      <c r="FT19" s="19">
        <v>974.31</v>
      </c>
      <c r="FU19" s="150">
        <v>43445</v>
      </c>
      <c r="FV19" s="19">
        <v>974.31</v>
      </c>
      <c r="FW19" s="270" t="s">
        <v>514</v>
      </c>
      <c r="FX19" s="111">
        <v>42</v>
      </c>
      <c r="FY19" s="16"/>
      <c r="FZ19" s="59"/>
      <c r="GA19" s="121"/>
      <c r="GB19" s="20">
        <v>12</v>
      </c>
      <c r="GC19" s="19">
        <v>925.17</v>
      </c>
      <c r="GD19" s="17">
        <v>43446</v>
      </c>
      <c r="GE19" s="19">
        <v>925.17</v>
      </c>
      <c r="GF19" s="70" t="s">
        <v>515</v>
      </c>
      <c r="GG19" s="24">
        <v>42</v>
      </c>
      <c r="GH19" s="16"/>
      <c r="GI19" s="59"/>
      <c r="GJ19" s="121"/>
      <c r="GK19" s="20">
        <v>12</v>
      </c>
      <c r="GL19" s="19">
        <v>948.3</v>
      </c>
      <c r="GM19" s="17">
        <v>43447</v>
      </c>
      <c r="GN19" s="19">
        <v>948.3</v>
      </c>
      <c r="GO19" s="70" t="s">
        <v>540</v>
      </c>
      <c r="GP19" s="24">
        <v>42</v>
      </c>
      <c r="GQ19" s="16"/>
      <c r="GR19" s="59"/>
      <c r="GS19" s="121"/>
      <c r="GT19" s="20">
        <v>12</v>
      </c>
      <c r="GU19" s="19">
        <v>893.1</v>
      </c>
      <c r="GV19" s="17">
        <v>43448</v>
      </c>
      <c r="GW19" s="19">
        <v>893.1</v>
      </c>
      <c r="GX19" s="311" t="s">
        <v>538</v>
      </c>
      <c r="GY19" s="24">
        <v>42</v>
      </c>
      <c r="GZ19" s="16"/>
      <c r="HA19" s="59"/>
      <c r="HB19" s="121"/>
      <c r="HC19" s="20">
        <v>12</v>
      </c>
      <c r="HD19" s="30">
        <v>880</v>
      </c>
      <c r="HE19" s="58">
        <v>43448</v>
      </c>
      <c r="HF19" s="30">
        <v>880</v>
      </c>
      <c r="HG19" s="76" t="s">
        <v>543</v>
      </c>
      <c r="HH19" s="24">
        <v>42</v>
      </c>
      <c r="HI19" s="16"/>
      <c r="HJ19" s="59"/>
      <c r="HK19" s="121"/>
      <c r="HL19" s="20">
        <v>12</v>
      </c>
      <c r="HM19" s="19">
        <v>941.04</v>
      </c>
      <c r="HN19" s="17">
        <v>43449</v>
      </c>
      <c r="HO19" s="19">
        <v>941.04</v>
      </c>
      <c r="HP19" s="593" t="s">
        <v>550</v>
      </c>
      <c r="HQ19" s="24">
        <v>42</v>
      </c>
      <c r="HR19" s="19"/>
      <c r="HS19" s="208"/>
      <c r="HT19" s="121"/>
      <c r="HU19" s="20">
        <v>12</v>
      </c>
      <c r="HV19" s="19">
        <v>975.06</v>
      </c>
      <c r="HW19" s="58">
        <v>43448</v>
      </c>
      <c r="HX19" s="19">
        <v>975.06</v>
      </c>
      <c r="HY19" s="76" t="s">
        <v>546</v>
      </c>
      <c r="HZ19" s="24">
        <v>42</v>
      </c>
      <c r="IA19" s="16"/>
      <c r="IB19" s="59"/>
      <c r="IC19" s="121"/>
      <c r="ID19" s="20">
        <v>12</v>
      </c>
      <c r="IE19" s="19">
        <v>897.7</v>
      </c>
      <c r="IF19" s="17">
        <v>43449</v>
      </c>
      <c r="IG19" s="19">
        <v>897.7</v>
      </c>
      <c r="IH19" s="43" t="s">
        <v>553</v>
      </c>
      <c r="II19" s="24">
        <v>42</v>
      </c>
      <c r="IJ19" s="16"/>
      <c r="IK19" s="59"/>
      <c r="IL19" s="121"/>
      <c r="IM19" s="20">
        <v>12</v>
      </c>
      <c r="IN19" s="30">
        <v>955.56</v>
      </c>
      <c r="IO19" s="626">
        <v>43450</v>
      </c>
      <c r="IP19" s="30">
        <v>955.56</v>
      </c>
      <c r="IQ19" s="76" t="s">
        <v>563</v>
      </c>
      <c r="IR19" s="24">
        <v>42</v>
      </c>
      <c r="IS19" s="16"/>
      <c r="IT19" s="59"/>
      <c r="IU19" s="121"/>
      <c r="IV19" s="20">
        <v>12</v>
      </c>
      <c r="IW19" s="19">
        <v>898.6</v>
      </c>
      <c r="IX19" s="17">
        <v>43451</v>
      </c>
      <c r="IY19" s="19">
        <v>898.6</v>
      </c>
      <c r="IZ19" s="70" t="s">
        <v>570</v>
      </c>
      <c r="JA19" s="24">
        <v>42</v>
      </c>
      <c r="JB19" s="16"/>
      <c r="JC19" s="59"/>
      <c r="JD19" s="121"/>
      <c r="JE19" s="20">
        <v>12</v>
      </c>
      <c r="JF19" s="19">
        <v>896.3</v>
      </c>
      <c r="JG19" s="17">
        <v>43452</v>
      </c>
      <c r="JH19" s="19">
        <v>896.3</v>
      </c>
      <c r="JI19" s="70" t="s">
        <v>575</v>
      </c>
      <c r="JJ19" s="24">
        <v>42</v>
      </c>
      <c r="JK19" s="16"/>
      <c r="JL19" s="59"/>
      <c r="JM19" s="121"/>
      <c r="JN19" s="20">
        <v>12</v>
      </c>
      <c r="JO19" s="30">
        <v>940.14</v>
      </c>
      <c r="JP19" s="17">
        <v>43452</v>
      </c>
      <c r="JQ19" s="30">
        <v>940.14</v>
      </c>
      <c r="JR19" s="70" t="s">
        <v>579</v>
      </c>
      <c r="JS19" s="24">
        <v>42</v>
      </c>
      <c r="JT19" s="16"/>
      <c r="JU19" s="59"/>
      <c r="JV19" s="121"/>
      <c r="JW19" s="20">
        <v>12</v>
      </c>
      <c r="JX19" s="19">
        <v>919.88</v>
      </c>
      <c r="JY19" s="17">
        <v>43453</v>
      </c>
      <c r="JZ19" s="19">
        <v>919.88</v>
      </c>
      <c r="KA19" s="70" t="s">
        <v>589</v>
      </c>
      <c r="KB19" s="24">
        <v>42</v>
      </c>
      <c r="KC19" s="16"/>
      <c r="KD19" s="59"/>
      <c r="KE19" s="121"/>
      <c r="KF19" s="20">
        <v>12</v>
      </c>
      <c r="KG19" s="19">
        <v>900.5</v>
      </c>
      <c r="KH19" s="17">
        <v>43452</v>
      </c>
      <c r="KI19" s="19">
        <v>900.5</v>
      </c>
      <c r="KJ19" s="70" t="s">
        <v>581</v>
      </c>
      <c r="KK19" s="24">
        <v>42</v>
      </c>
      <c r="KL19" s="16"/>
      <c r="KM19" s="59"/>
      <c r="KN19" s="121"/>
      <c r="KO19" s="20">
        <v>12</v>
      </c>
      <c r="KP19" s="190">
        <v>916.7</v>
      </c>
      <c r="KQ19" s="105">
        <v>43453</v>
      </c>
      <c r="KR19" s="190">
        <v>916.7</v>
      </c>
      <c r="KS19" s="124" t="s">
        <v>584</v>
      </c>
      <c r="KT19" s="103">
        <v>42</v>
      </c>
      <c r="KU19" s="16"/>
      <c r="KV19" s="59"/>
      <c r="KW19" s="121"/>
      <c r="KX19" s="20">
        <v>12</v>
      </c>
      <c r="KY19" s="190">
        <v>966.89</v>
      </c>
      <c r="KZ19" s="17">
        <v>43453</v>
      </c>
      <c r="LA19" s="190">
        <v>966.89</v>
      </c>
      <c r="LB19" s="70" t="s">
        <v>561</v>
      </c>
      <c r="LC19" s="24">
        <v>42</v>
      </c>
      <c r="LD19" s="16"/>
      <c r="LE19" s="59"/>
      <c r="LF19" s="121"/>
      <c r="LG19" s="20">
        <v>12</v>
      </c>
      <c r="LH19" s="19">
        <v>931.97</v>
      </c>
      <c r="LI19" s="17">
        <v>43454</v>
      </c>
      <c r="LJ19" s="19">
        <v>931.97</v>
      </c>
      <c r="LK19" s="70" t="s">
        <v>591</v>
      </c>
      <c r="LL19" s="24">
        <v>42</v>
      </c>
      <c r="LM19" s="16"/>
      <c r="LN19" s="59"/>
      <c r="LO19" s="121"/>
      <c r="LP19" s="20">
        <v>12</v>
      </c>
      <c r="LQ19" s="190">
        <v>942.4</v>
      </c>
      <c r="LR19" s="17">
        <v>43455</v>
      </c>
      <c r="LS19" s="190">
        <v>942.4</v>
      </c>
      <c r="LT19" s="70" t="s">
        <v>599</v>
      </c>
      <c r="LU19" s="24">
        <v>42</v>
      </c>
      <c r="LV19" s="16"/>
      <c r="LW19" s="59"/>
      <c r="LX19" s="121"/>
      <c r="LY19" s="20">
        <v>12</v>
      </c>
      <c r="LZ19" s="19">
        <v>936.2</v>
      </c>
      <c r="MA19" s="17">
        <v>43455</v>
      </c>
      <c r="MB19" s="19">
        <v>936.2</v>
      </c>
      <c r="MC19" s="70" t="s">
        <v>605</v>
      </c>
      <c r="MD19" s="24">
        <v>42</v>
      </c>
      <c r="ME19" s="16"/>
      <c r="MF19" s="59"/>
      <c r="MG19" s="121"/>
      <c r="MH19" s="20">
        <v>12</v>
      </c>
      <c r="MI19" s="167">
        <v>904.9</v>
      </c>
      <c r="MJ19" s="150">
        <v>43455</v>
      </c>
      <c r="MK19" s="167">
        <v>904.9</v>
      </c>
      <c r="ML19" s="270" t="s">
        <v>608</v>
      </c>
      <c r="MM19" s="111">
        <v>42</v>
      </c>
      <c r="MN19" s="16"/>
      <c r="MO19" s="59"/>
      <c r="MP19" s="121"/>
      <c r="MQ19" s="20">
        <v>12</v>
      </c>
      <c r="MR19" s="19">
        <v>957.82</v>
      </c>
      <c r="MS19" s="17">
        <v>43457</v>
      </c>
      <c r="MT19" s="19">
        <v>957.82</v>
      </c>
      <c r="MU19" s="70" t="s">
        <v>628</v>
      </c>
      <c r="MV19" s="24">
        <v>42</v>
      </c>
      <c r="MW19" s="16"/>
      <c r="MX19" s="59"/>
      <c r="MY19" s="121"/>
      <c r="MZ19" s="20">
        <v>12</v>
      </c>
      <c r="NA19" s="19">
        <v>887.7</v>
      </c>
      <c r="NB19" s="17">
        <v>43461</v>
      </c>
      <c r="NC19" s="19">
        <v>887.7</v>
      </c>
      <c r="ND19" s="70" t="s">
        <v>640</v>
      </c>
      <c r="NE19" s="24">
        <v>38</v>
      </c>
      <c r="NF19" s="16"/>
      <c r="NG19" s="59"/>
      <c r="NH19" s="121"/>
      <c r="NI19" s="20">
        <v>12</v>
      </c>
      <c r="NJ19" s="19">
        <v>871.8</v>
      </c>
      <c r="NK19" s="17">
        <v>43456</v>
      </c>
      <c r="NL19" s="19">
        <v>871.8</v>
      </c>
      <c r="NM19" s="70" t="s">
        <v>614</v>
      </c>
      <c r="NN19" s="24">
        <v>42</v>
      </c>
      <c r="NO19" s="16"/>
      <c r="NP19" s="59"/>
      <c r="NQ19" s="171"/>
      <c r="NR19" s="20">
        <v>12</v>
      </c>
      <c r="NS19" s="19">
        <v>914.9</v>
      </c>
      <c r="NT19" s="17">
        <v>43456</v>
      </c>
      <c r="NU19" s="19">
        <v>914.9</v>
      </c>
      <c r="NV19" s="70" t="s">
        <v>616</v>
      </c>
      <c r="NW19" s="24">
        <v>42</v>
      </c>
      <c r="NX19" s="16"/>
      <c r="NY19" s="59"/>
      <c r="NZ19" s="121"/>
      <c r="OA19" s="20">
        <v>12</v>
      </c>
      <c r="OB19" s="19">
        <v>928.8</v>
      </c>
      <c r="OC19" s="105">
        <v>43456</v>
      </c>
      <c r="OD19" s="19">
        <v>928.8</v>
      </c>
      <c r="OE19" s="124" t="s">
        <v>620</v>
      </c>
      <c r="OF19" s="103">
        <v>42</v>
      </c>
      <c r="OG19" s="16"/>
      <c r="OH19" s="59"/>
      <c r="OI19" s="121"/>
      <c r="OJ19" s="20">
        <v>12</v>
      </c>
      <c r="OK19" s="19">
        <v>904.9</v>
      </c>
      <c r="OL19" s="17">
        <v>43456</v>
      </c>
      <c r="OM19" s="19">
        <v>904.9</v>
      </c>
      <c r="ON19" s="70" t="s">
        <v>618</v>
      </c>
      <c r="OO19" s="482">
        <v>42</v>
      </c>
      <c r="OP19" s="16"/>
      <c r="OQ19" s="59"/>
      <c r="OR19" s="121"/>
      <c r="OS19" s="20">
        <v>12</v>
      </c>
      <c r="OT19" s="19">
        <v>903.6</v>
      </c>
      <c r="OU19" s="17">
        <v>43457</v>
      </c>
      <c r="OV19" s="19">
        <v>903.6</v>
      </c>
      <c r="OW19" s="70" t="s">
        <v>627</v>
      </c>
      <c r="OX19" s="24">
        <v>42</v>
      </c>
      <c r="OY19" s="16"/>
      <c r="OZ19" s="59"/>
      <c r="PA19" s="121"/>
      <c r="PB19" s="20">
        <v>12</v>
      </c>
      <c r="PC19" s="19">
        <v>921.54</v>
      </c>
      <c r="PD19" s="17">
        <v>43458</v>
      </c>
      <c r="PE19" s="19">
        <v>921.54</v>
      </c>
      <c r="PF19" s="70" t="s">
        <v>632</v>
      </c>
      <c r="PG19" s="24">
        <v>42</v>
      </c>
      <c r="PH19" s="16"/>
      <c r="PI19" s="59"/>
      <c r="PJ19" s="121"/>
      <c r="PK19" s="20">
        <v>12</v>
      </c>
      <c r="PL19" s="19">
        <v>903</v>
      </c>
      <c r="PM19" s="17">
        <v>43461</v>
      </c>
      <c r="PN19" s="19">
        <v>903</v>
      </c>
      <c r="PO19" s="70" t="s">
        <v>650</v>
      </c>
      <c r="PP19" s="24">
        <v>38</v>
      </c>
      <c r="PQ19" s="16"/>
      <c r="PR19" s="59"/>
      <c r="PS19" s="121"/>
      <c r="PT19" s="20">
        <v>12</v>
      </c>
      <c r="PU19" s="19">
        <v>908.54</v>
      </c>
      <c r="PV19" s="17">
        <v>43462</v>
      </c>
      <c r="PW19" s="19">
        <v>908.54</v>
      </c>
      <c r="PX19" s="270" t="s">
        <v>660</v>
      </c>
      <c r="PY19" s="24">
        <v>38</v>
      </c>
      <c r="PZ19" s="16"/>
      <c r="QA19" s="59"/>
      <c r="QB19" s="121"/>
      <c r="QC19" s="20">
        <v>12</v>
      </c>
      <c r="QD19" s="19">
        <v>931.22</v>
      </c>
      <c r="QE19" s="105">
        <v>43462</v>
      </c>
      <c r="QF19" s="19">
        <v>931.22</v>
      </c>
      <c r="QG19" s="124" t="s">
        <v>643</v>
      </c>
      <c r="QH19" s="414">
        <v>38</v>
      </c>
      <c r="QI19" s="16"/>
      <c r="QJ19" s="59"/>
      <c r="QK19" s="121"/>
      <c r="QL19" s="20">
        <v>12</v>
      </c>
      <c r="QM19" s="19">
        <v>926.7</v>
      </c>
      <c r="QN19" s="17">
        <v>43461</v>
      </c>
      <c r="QO19" s="19">
        <v>926.7</v>
      </c>
      <c r="QP19" s="70" t="s">
        <v>646</v>
      </c>
      <c r="QQ19" s="24">
        <v>38</v>
      </c>
      <c r="QR19" s="16"/>
      <c r="QS19" s="59"/>
      <c r="QT19" s="121"/>
      <c r="QU19" s="20">
        <v>12</v>
      </c>
      <c r="QV19" s="19">
        <v>943.01</v>
      </c>
      <c r="QW19" s="17">
        <v>43461</v>
      </c>
      <c r="QX19" s="19">
        <v>943.01</v>
      </c>
      <c r="QY19" s="70" t="s">
        <v>655</v>
      </c>
      <c r="QZ19" s="24">
        <v>38</v>
      </c>
      <c r="RA19" s="16"/>
      <c r="RB19" s="59"/>
      <c r="RC19" s="121"/>
      <c r="RD19" s="20"/>
      <c r="RE19" s="19"/>
      <c r="RF19" s="17"/>
      <c r="RG19" s="19"/>
      <c r="RH19" s="70"/>
      <c r="RI19" s="24"/>
      <c r="RJ19" s="16"/>
      <c r="RK19" s="59"/>
      <c r="RL19" s="121"/>
      <c r="RM19" s="20">
        <v>12</v>
      </c>
      <c r="RN19" s="19">
        <v>911.56</v>
      </c>
      <c r="RO19" s="400">
        <v>43462</v>
      </c>
      <c r="RP19" s="401">
        <v>911.56</v>
      </c>
      <c r="RQ19" s="402" t="s">
        <v>644</v>
      </c>
      <c r="RR19" s="403">
        <v>38</v>
      </c>
      <c r="RS19" s="16"/>
      <c r="RT19" s="59"/>
      <c r="RU19" s="121"/>
      <c r="RV19" s="20">
        <v>12</v>
      </c>
      <c r="RW19" s="19"/>
      <c r="RX19" s="17"/>
      <c r="RY19" s="19"/>
      <c r="RZ19" s="70"/>
      <c r="SA19" s="24"/>
      <c r="SB19" s="16"/>
      <c r="SC19" s="59"/>
      <c r="SD19" s="121"/>
      <c r="SE19" s="20">
        <v>12</v>
      </c>
      <c r="SF19" s="19">
        <v>933.33</v>
      </c>
      <c r="SG19" s="17">
        <v>43463</v>
      </c>
      <c r="SH19" s="19">
        <v>933.33</v>
      </c>
      <c r="SI19" s="70" t="s">
        <v>667</v>
      </c>
      <c r="SJ19" s="24">
        <v>38</v>
      </c>
      <c r="SK19" s="16"/>
      <c r="SL19" s="59"/>
      <c r="SM19" s="121"/>
      <c r="SN19" s="20">
        <v>12</v>
      </c>
      <c r="SO19" s="19"/>
      <c r="SP19" s="17"/>
      <c r="SQ19" s="19"/>
      <c r="SR19" s="70"/>
      <c r="SS19" s="24"/>
      <c r="ST19" s="16"/>
      <c r="SU19" s="59"/>
      <c r="SV19" s="121"/>
      <c r="SW19" s="20">
        <v>12</v>
      </c>
      <c r="SX19" s="19">
        <v>896.7</v>
      </c>
      <c r="SY19" s="17">
        <v>43463</v>
      </c>
      <c r="SZ19" s="19">
        <v>896.7</v>
      </c>
      <c r="TA19" s="70" t="s">
        <v>666</v>
      </c>
      <c r="TB19" s="24">
        <v>38</v>
      </c>
      <c r="TC19" s="16"/>
      <c r="TD19" s="59"/>
      <c r="TE19" s="121"/>
      <c r="TF19" s="20">
        <v>12</v>
      </c>
      <c r="TG19" s="19">
        <v>966.89</v>
      </c>
      <c r="TH19" s="17">
        <v>43464</v>
      </c>
      <c r="TI19" s="19">
        <v>966.89</v>
      </c>
      <c r="TJ19" s="70" t="s">
        <v>676</v>
      </c>
      <c r="TK19" s="24">
        <v>38</v>
      </c>
      <c r="TM19" s="7"/>
      <c r="TN19" s="2"/>
      <c r="TO19" s="20">
        <v>12</v>
      </c>
      <c r="TP19" s="19">
        <v>912.6</v>
      </c>
      <c r="TQ19" s="17">
        <v>43464</v>
      </c>
      <c r="TR19" s="19">
        <v>912.6</v>
      </c>
      <c r="TS19" s="70" t="s">
        <v>671</v>
      </c>
      <c r="TT19" s="24">
        <v>38</v>
      </c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4" t="str">
        <f t="shared" ref="B20:I20" si="16">EY5</f>
        <v>SMITHFIELD FRESH MEATS</v>
      </c>
      <c r="C20" s="16" t="str">
        <f t="shared" si="16"/>
        <v>Smithfield</v>
      </c>
      <c r="D20" s="72" t="str">
        <f t="shared" si="16"/>
        <v>PED. 32083638</v>
      </c>
      <c r="E20" s="155">
        <f t="shared" si="16"/>
        <v>43445</v>
      </c>
      <c r="F20" s="74">
        <f t="shared" si="16"/>
        <v>19131.349999999999</v>
      </c>
      <c r="G20" s="15">
        <f t="shared" si="16"/>
        <v>20</v>
      </c>
      <c r="H20" s="64">
        <f t="shared" si="16"/>
        <v>19231.3</v>
      </c>
      <c r="I20" s="18">
        <f t="shared" si="16"/>
        <v>-99.950000000000728</v>
      </c>
      <c r="K20" s="59"/>
      <c r="L20" s="121"/>
      <c r="M20" s="20">
        <v>13</v>
      </c>
      <c r="N20" s="190">
        <v>909.9</v>
      </c>
      <c r="O20" s="105">
        <v>43435</v>
      </c>
      <c r="P20" s="190">
        <v>909.9</v>
      </c>
      <c r="Q20" s="124" t="s">
        <v>472</v>
      </c>
      <c r="R20" s="103">
        <v>37</v>
      </c>
      <c r="S20" s="16"/>
      <c r="T20" s="59"/>
      <c r="U20" s="121"/>
      <c r="V20" s="20">
        <v>13</v>
      </c>
      <c r="W20" s="190">
        <v>893.1</v>
      </c>
      <c r="X20" s="17">
        <v>43435</v>
      </c>
      <c r="Y20" s="190">
        <v>893.1</v>
      </c>
      <c r="Z20" s="70" t="s">
        <v>474</v>
      </c>
      <c r="AA20" s="24">
        <v>37</v>
      </c>
      <c r="AB20" s="16"/>
      <c r="AC20" s="59"/>
      <c r="AD20" s="121"/>
      <c r="AE20" s="20">
        <v>13</v>
      </c>
      <c r="AF20" s="190">
        <v>960.09</v>
      </c>
      <c r="AG20" s="17">
        <v>43436</v>
      </c>
      <c r="AH20" s="190">
        <v>960.09</v>
      </c>
      <c r="AI20" s="70" t="s">
        <v>462</v>
      </c>
      <c r="AJ20" s="24">
        <v>37</v>
      </c>
      <c r="AK20" s="16"/>
      <c r="AL20" s="59"/>
      <c r="AM20" s="121"/>
      <c r="AN20" s="20">
        <v>13</v>
      </c>
      <c r="AO20" s="19">
        <v>893.42</v>
      </c>
      <c r="AP20" s="17">
        <v>43441</v>
      </c>
      <c r="AQ20" s="19">
        <v>893.42</v>
      </c>
      <c r="AR20" s="70" t="s">
        <v>521</v>
      </c>
      <c r="AS20" s="24">
        <v>38</v>
      </c>
      <c r="AT20" s="16"/>
      <c r="AU20" s="59"/>
      <c r="AV20" s="121"/>
      <c r="AW20" s="20">
        <v>13</v>
      </c>
      <c r="AX20" s="19">
        <v>950.3</v>
      </c>
      <c r="AY20" s="105">
        <v>43441</v>
      </c>
      <c r="AZ20" s="19">
        <v>950.3</v>
      </c>
      <c r="BA20" s="124" t="s">
        <v>520</v>
      </c>
      <c r="BB20" s="414">
        <v>38</v>
      </c>
      <c r="BC20" s="16"/>
      <c r="BD20" s="59"/>
      <c r="BE20" s="121"/>
      <c r="BF20" s="20">
        <v>13</v>
      </c>
      <c r="BG20" s="19">
        <v>958.9</v>
      </c>
      <c r="BH20" s="400">
        <v>43441</v>
      </c>
      <c r="BI20" s="19">
        <v>958.9</v>
      </c>
      <c r="BJ20" s="402" t="s">
        <v>511</v>
      </c>
      <c r="BK20" s="403">
        <v>38</v>
      </c>
      <c r="BL20" s="16"/>
      <c r="BM20" s="59"/>
      <c r="BN20" s="121"/>
      <c r="BO20" s="20">
        <v>13</v>
      </c>
      <c r="BP20" s="19">
        <v>906.5</v>
      </c>
      <c r="BQ20" s="400">
        <v>43439</v>
      </c>
      <c r="BR20" s="19">
        <v>906.5</v>
      </c>
      <c r="BS20" s="402" t="s">
        <v>502</v>
      </c>
      <c r="BT20" s="403">
        <v>37</v>
      </c>
      <c r="BU20" s="16"/>
      <c r="BV20" s="59"/>
      <c r="BW20" s="121"/>
      <c r="BX20" s="20">
        <v>13</v>
      </c>
      <c r="BY20" s="19">
        <v>894</v>
      </c>
      <c r="BZ20" s="400">
        <v>43438</v>
      </c>
      <c r="CA20" s="19">
        <v>894</v>
      </c>
      <c r="CB20" s="402" t="s">
        <v>463</v>
      </c>
      <c r="CC20" s="403">
        <v>37</v>
      </c>
      <c r="CD20" s="16"/>
      <c r="CE20" s="59"/>
      <c r="CF20" s="121"/>
      <c r="CG20" s="20">
        <v>13</v>
      </c>
      <c r="CH20" s="19">
        <v>971.59</v>
      </c>
      <c r="CI20" s="17">
        <v>43439</v>
      </c>
      <c r="CJ20" s="19">
        <v>971.59</v>
      </c>
      <c r="CK20" s="70" t="s">
        <v>494</v>
      </c>
      <c r="CL20" s="24">
        <v>37</v>
      </c>
      <c r="CM20" s="16"/>
      <c r="CN20" s="128"/>
      <c r="CO20" s="121"/>
      <c r="CP20" s="20">
        <v>13</v>
      </c>
      <c r="CQ20" s="19">
        <v>914.44</v>
      </c>
      <c r="CR20" s="17">
        <v>43439</v>
      </c>
      <c r="CS20" s="19">
        <v>914.44</v>
      </c>
      <c r="CT20" s="70" t="s">
        <v>500</v>
      </c>
      <c r="CU20" s="24">
        <v>37</v>
      </c>
      <c r="CV20" s="16"/>
      <c r="CW20" s="59"/>
      <c r="CX20" s="121"/>
      <c r="CY20" s="20">
        <v>13</v>
      </c>
      <c r="CZ20" s="19">
        <v>917.91</v>
      </c>
      <c r="DA20" s="400">
        <v>43440</v>
      </c>
      <c r="DB20" s="19">
        <v>917.91</v>
      </c>
      <c r="DC20" s="402" t="s">
        <v>496</v>
      </c>
      <c r="DD20" s="403">
        <v>38</v>
      </c>
      <c r="DE20" s="16"/>
      <c r="DF20" s="59"/>
      <c r="DG20" s="121"/>
      <c r="DH20" s="20">
        <v>13</v>
      </c>
      <c r="DI20" s="19">
        <v>932.13</v>
      </c>
      <c r="DJ20" s="400">
        <v>43440</v>
      </c>
      <c r="DK20" s="19">
        <v>932.13</v>
      </c>
      <c r="DL20" s="402" t="s">
        <v>508</v>
      </c>
      <c r="DM20" s="403">
        <v>37</v>
      </c>
      <c r="DN20" s="16"/>
      <c r="DO20" s="59"/>
      <c r="DP20" s="121"/>
      <c r="DQ20" s="20">
        <v>13</v>
      </c>
      <c r="DR20" s="30">
        <v>957.82</v>
      </c>
      <c r="DS20" s="58">
        <v>43442</v>
      </c>
      <c r="DT20" s="30">
        <v>957.82</v>
      </c>
      <c r="DU20" s="76" t="s">
        <v>523</v>
      </c>
      <c r="DV20" s="24">
        <v>40</v>
      </c>
      <c r="DW20" s="16"/>
      <c r="DX20" s="59"/>
      <c r="DY20" s="121"/>
      <c r="DZ20" s="20">
        <v>13</v>
      </c>
      <c r="EA20" s="30">
        <v>867.3</v>
      </c>
      <c r="EB20" s="58">
        <v>43444</v>
      </c>
      <c r="EC20" s="30">
        <v>867.3</v>
      </c>
      <c r="ED20" s="76" t="s">
        <v>466</v>
      </c>
      <c r="EE20" s="24">
        <v>42</v>
      </c>
      <c r="EF20" s="16"/>
      <c r="EG20" s="59"/>
      <c r="EH20" s="121"/>
      <c r="EI20" s="20">
        <v>13</v>
      </c>
      <c r="EJ20" s="19">
        <v>909.4</v>
      </c>
      <c r="EK20" s="17">
        <v>43442</v>
      </c>
      <c r="EL20" s="19">
        <v>909.4</v>
      </c>
      <c r="EM20" s="43" t="s">
        <v>504</v>
      </c>
      <c r="EN20" s="24">
        <v>40</v>
      </c>
      <c r="EO20" s="16"/>
      <c r="EP20" s="59"/>
      <c r="EQ20" s="121"/>
      <c r="ER20" s="20">
        <v>13</v>
      </c>
      <c r="ES20" s="19">
        <v>978.68</v>
      </c>
      <c r="ET20" s="17">
        <v>43447</v>
      </c>
      <c r="EU20" s="19">
        <v>978.68</v>
      </c>
      <c r="EV20" s="43" t="s">
        <v>536</v>
      </c>
      <c r="EW20" s="24">
        <v>42</v>
      </c>
      <c r="EX20" s="16"/>
      <c r="EY20" s="59"/>
      <c r="EZ20" s="121"/>
      <c r="FA20" s="20">
        <v>13</v>
      </c>
      <c r="FB20" s="167">
        <v>972.79</v>
      </c>
      <c r="FC20" s="150">
        <v>43445</v>
      </c>
      <c r="FD20" s="167">
        <v>972.79</v>
      </c>
      <c r="FE20" s="110" t="s">
        <v>492</v>
      </c>
      <c r="FF20" s="111">
        <v>42</v>
      </c>
      <c r="FG20" s="16"/>
      <c r="FH20" s="59"/>
      <c r="FI20" s="121"/>
      <c r="FJ20" s="20">
        <v>13</v>
      </c>
      <c r="FK20" s="30">
        <v>898.5</v>
      </c>
      <c r="FL20" s="58">
        <v>43445</v>
      </c>
      <c r="FM20" s="30">
        <v>898.5</v>
      </c>
      <c r="FN20" s="76" t="s">
        <v>480</v>
      </c>
      <c r="FO20" s="24">
        <v>42</v>
      </c>
      <c r="FP20" s="16"/>
      <c r="FQ20" s="59"/>
      <c r="FR20" s="121"/>
      <c r="FS20" s="20">
        <v>13</v>
      </c>
      <c r="FT20" s="19">
        <v>971.59</v>
      </c>
      <c r="FU20" s="150">
        <v>43445</v>
      </c>
      <c r="FV20" s="19">
        <v>971.59</v>
      </c>
      <c r="FW20" s="270" t="s">
        <v>514</v>
      </c>
      <c r="FX20" s="111">
        <v>42</v>
      </c>
      <c r="FY20" s="16"/>
      <c r="FZ20" s="59"/>
      <c r="GA20" s="121"/>
      <c r="GB20" s="20">
        <v>13</v>
      </c>
      <c r="GC20" s="19">
        <v>922</v>
      </c>
      <c r="GD20" s="17">
        <v>43446</v>
      </c>
      <c r="GE20" s="19">
        <v>922</v>
      </c>
      <c r="GF20" s="70" t="s">
        <v>515</v>
      </c>
      <c r="GG20" s="24">
        <v>42</v>
      </c>
      <c r="GH20" s="16"/>
      <c r="GI20" s="59"/>
      <c r="GJ20" s="121"/>
      <c r="GK20" s="20">
        <v>13</v>
      </c>
      <c r="GL20" s="19">
        <v>912.02</v>
      </c>
      <c r="GM20" s="17">
        <v>43447</v>
      </c>
      <c r="GN20" s="19">
        <v>912.02</v>
      </c>
      <c r="GO20" s="70" t="s">
        <v>537</v>
      </c>
      <c r="GP20" s="24">
        <v>42</v>
      </c>
      <c r="GQ20" s="16"/>
      <c r="GR20" s="59"/>
      <c r="GS20" s="121"/>
      <c r="GT20" s="20">
        <v>13</v>
      </c>
      <c r="GU20" s="19">
        <v>915.8</v>
      </c>
      <c r="GV20" s="17">
        <v>43448</v>
      </c>
      <c r="GW20" s="19">
        <v>915.8</v>
      </c>
      <c r="GX20" s="311" t="s">
        <v>538</v>
      </c>
      <c r="GY20" s="24">
        <v>42</v>
      </c>
      <c r="GZ20" s="16"/>
      <c r="HA20" s="59"/>
      <c r="HB20" s="121"/>
      <c r="HC20" s="20">
        <v>13</v>
      </c>
      <c r="HD20" s="30">
        <v>909</v>
      </c>
      <c r="HE20" s="58">
        <v>43448</v>
      </c>
      <c r="HF20" s="30">
        <v>909</v>
      </c>
      <c r="HG20" s="76" t="s">
        <v>543</v>
      </c>
      <c r="HH20" s="24">
        <v>42</v>
      </c>
      <c r="HI20" s="16"/>
      <c r="HJ20" s="59"/>
      <c r="HK20" s="121"/>
      <c r="HL20" s="20">
        <v>13</v>
      </c>
      <c r="HM20" s="19">
        <v>966.89</v>
      </c>
      <c r="HN20" s="17">
        <v>43449</v>
      </c>
      <c r="HO20" s="19">
        <v>966.89</v>
      </c>
      <c r="HP20" s="593" t="s">
        <v>550</v>
      </c>
      <c r="HQ20" s="24">
        <v>42</v>
      </c>
      <c r="HR20" s="19"/>
      <c r="HS20" s="59"/>
      <c r="HT20" s="121"/>
      <c r="HU20" s="20">
        <v>13</v>
      </c>
      <c r="HV20" s="19">
        <v>980.05</v>
      </c>
      <c r="HW20" s="58">
        <v>43448</v>
      </c>
      <c r="HX20" s="19">
        <v>980.05</v>
      </c>
      <c r="HY20" s="76" t="s">
        <v>546</v>
      </c>
      <c r="HZ20" s="24">
        <v>42</v>
      </c>
      <c r="IA20" s="16"/>
      <c r="IB20" s="59"/>
      <c r="IC20" s="121"/>
      <c r="ID20" s="20">
        <v>13</v>
      </c>
      <c r="IE20" s="19">
        <v>899.5</v>
      </c>
      <c r="IF20" s="17">
        <v>43449</v>
      </c>
      <c r="IG20" s="19">
        <v>899.5</v>
      </c>
      <c r="IH20" s="43" t="s">
        <v>553</v>
      </c>
      <c r="II20" s="24">
        <v>42</v>
      </c>
      <c r="IJ20" s="16"/>
      <c r="IK20" s="59"/>
      <c r="IL20" s="121"/>
      <c r="IM20" s="20">
        <v>13</v>
      </c>
      <c r="IN20" s="30">
        <v>944.67</v>
      </c>
      <c r="IO20" s="626">
        <v>43450</v>
      </c>
      <c r="IP20" s="30">
        <v>944.67</v>
      </c>
      <c r="IQ20" s="76" t="s">
        <v>563</v>
      </c>
      <c r="IR20" s="24">
        <v>42</v>
      </c>
      <c r="IS20" s="16"/>
      <c r="IT20" s="59"/>
      <c r="IU20" s="121"/>
      <c r="IV20" s="20">
        <v>13</v>
      </c>
      <c r="IW20" s="19">
        <v>887.7</v>
      </c>
      <c r="IX20" s="17">
        <v>43451</v>
      </c>
      <c r="IY20" s="19">
        <v>887.7</v>
      </c>
      <c r="IZ20" s="70" t="s">
        <v>569</v>
      </c>
      <c r="JA20" s="24">
        <v>42</v>
      </c>
      <c r="JB20" s="16"/>
      <c r="JC20" s="59"/>
      <c r="JD20" s="121"/>
      <c r="JE20" s="20">
        <v>13</v>
      </c>
      <c r="JF20" s="19">
        <v>880.4</v>
      </c>
      <c r="JG20" s="17">
        <v>43452</v>
      </c>
      <c r="JH20" s="19">
        <v>880.4</v>
      </c>
      <c r="JI20" s="70" t="s">
        <v>573</v>
      </c>
      <c r="JJ20" s="24">
        <v>42</v>
      </c>
      <c r="JK20" s="16"/>
      <c r="JL20" s="59"/>
      <c r="JM20" s="121"/>
      <c r="JN20" s="20">
        <v>13</v>
      </c>
      <c r="JO20" s="19">
        <v>926.08</v>
      </c>
      <c r="JP20" s="17">
        <v>43452</v>
      </c>
      <c r="JQ20" s="19">
        <v>926.08</v>
      </c>
      <c r="JR20" s="70" t="s">
        <v>579</v>
      </c>
      <c r="JS20" s="24">
        <v>42</v>
      </c>
      <c r="JT20" s="16"/>
      <c r="JU20" s="59"/>
      <c r="JV20" s="121"/>
      <c r="JW20" s="20">
        <v>13</v>
      </c>
      <c r="JX20" s="19">
        <v>945.74</v>
      </c>
      <c r="JY20" s="17">
        <v>43453</v>
      </c>
      <c r="JZ20" s="19">
        <v>945.74</v>
      </c>
      <c r="KA20" s="70" t="s">
        <v>589</v>
      </c>
      <c r="KB20" s="24">
        <v>42</v>
      </c>
      <c r="KC20" s="16"/>
      <c r="KD20" s="59"/>
      <c r="KE20" s="121"/>
      <c r="KF20" s="20">
        <v>13</v>
      </c>
      <c r="KG20" s="19">
        <v>902</v>
      </c>
      <c r="KH20" s="17">
        <v>43452</v>
      </c>
      <c r="KI20" s="19">
        <v>902</v>
      </c>
      <c r="KJ20" s="70" t="s">
        <v>581</v>
      </c>
      <c r="KK20" s="24">
        <v>42</v>
      </c>
      <c r="KL20" s="16"/>
      <c r="KM20" s="59"/>
      <c r="KN20" s="121"/>
      <c r="KO20" s="20">
        <v>13</v>
      </c>
      <c r="KP20" s="190">
        <v>918.1</v>
      </c>
      <c r="KQ20" s="105">
        <v>43453</v>
      </c>
      <c r="KR20" s="190">
        <v>918.1</v>
      </c>
      <c r="KS20" s="124" t="s">
        <v>584</v>
      </c>
      <c r="KT20" s="103">
        <v>42</v>
      </c>
      <c r="KU20" s="16"/>
      <c r="KV20" s="59"/>
      <c r="KW20" s="121"/>
      <c r="KX20" s="20">
        <v>13</v>
      </c>
      <c r="KY20" s="190">
        <v>943.76</v>
      </c>
      <c r="KZ20" s="17">
        <v>43453</v>
      </c>
      <c r="LA20" s="190">
        <v>943.76</v>
      </c>
      <c r="LB20" s="70" t="s">
        <v>561</v>
      </c>
      <c r="LC20" s="24">
        <v>42</v>
      </c>
      <c r="LD20" s="16"/>
      <c r="LE20" s="59"/>
      <c r="LF20" s="121"/>
      <c r="LG20" s="20">
        <v>13</v>
      </c>
      <c r="LH20" s="19">
        <v>936.96</v>
      </c>
      <c r="LI20" s="17">
        <v>43454</v>
      </c>
      <c r="LJ20" s="19">
        <v>936.96</v>
      </c>
      <c r="LK20" s="70" t="s">
        <v>591</v>
      </c>
      <c r="LL20" s="24">
        <v>42</v>
      </c>
      <c r="LM20" s="16"/>
      <c r="LN20" s="59"/>
      <c r="LO20" s="121"/>
      <c r="LP20" s="20">
        <v>13</v>
      </c>
      <c r="LQ20" s="190">
        <v>944.67</v>
      </c>
      <c r="LR20" s="17">
        <v>43455</v>
      </c>
      <c r="LS20" s="190">
        <v>944.67</v>
      </c>
      <c r="LT20" s="70" t="s">
        <v>599</v>
      </c>
      <c r="LU20" s="24">
        <v>42</v>
      </c>
      <c r="LV20" s="16"/>
      <c r="LW20" s="59"/>
      <c r="LX20" s="121"/>
      <c r="LY20" s="20">
        <v>13</v>
      </c>
      <c r="LZ20" s="19">
        <v>903.6</v>
      </c>
      <c r="MA20" s="17">
        <v>43455</v>
      </c>
      <c r="MB20" s="19">
        <v>903.6</v>
      </c>
      <c r="MC20" s="70" t="s">
        <v>604</v>
      </c>
      <c r="MD20" s="24">
        <v>42</v>
      </c>
      <c r="ME20" s="16"/>
      <c r="MF20" s="59"/>
      <c r="MG20" s="121"/>
      <c r="MH20" s="20">
        <v>13</v>
      </c>
      <c r="MI20" s="167">
        <v>882.2</v>
      </c>
      <c r="MJ20" s="150">
        <v>43455</v>
      </c>
      <c r="MK20" s="167">
        <v>882.2</v>
      </c>
      <c r="ML20" s="270" t="s">
        <v>608</v>
      </c>
      <c r="MM20" s="111">
        <v>42</v>
      </c>
      <c r="MN20" s="16"/>
      <c r="MO20" s="59"/>
      <c r="MP20" s="121"/>
      <c r="MQ20" s="20">
        <v>13</v>
      </c>
      <c r="MR20" s="19">
        <v>966.44</v>
      </c>
      <c r="MS20" s="17">
        <v>43457</v>
      </c>
      <c r="MT20" s="19">
        <v>966.44</v>
      </c>
      <c r="MU20" s="70" t="s">
        <v>628</v>
      </c>
      <c r="MV20" s="24">
        <v>42</v>
      </c>
      <c r="MW20" s="16"/>
      <c r="MX20" s="59"/>
      <c r="MY20" s="121"/>
      <c r="MZ20" s="20">
        <v>13</v>
      </c>
      <c r="NA20" s="19">
        <v>929</v>
      </c>
      <c r="NB20" s="17">
        <v>43461</v>
      </c>
      <c r="NC20" s="19">
        <v>929</v>
      </c>
      <c r="ND20" s="70" t="s">
        <v>640</v>
      </c>
      <c r="NE20" s="24">
        <v>38</v>
      </c>
      <c r="NF20" s="16"/>
      <c r="NG20" s="59"/>
      <c r="NH20" s="121"/>
      <c r="NI20" s="20">
        <v>13</v>
      </c>
      <c r="NJ20" s="19">
        <v>885.4</v>
      </c>
      <c r="NK20" s="17">
        <v>43456</v>
      </c>
      <c r="NL20" s="19">
        <v>885.4</v>
      </c>
      <c r="NM20" s="70" t="s">
        <v>614</v>
      </c>
      <c r="NN20" s="24">
        <v>42</v>
      </c>
      <c r="NO20" s="16"/>
      <c r="NP20" s="59"/>
      <c r="NQ20" s="171"/>
      <c r="NR20" s="20">
        <v>13</v>
      </c>
      <c r="NS20" s="19">
        <v>928.5</v>
      </c>
      <c r="NT20" s="17">
        <v>43456</v>
      </c>
      <c r="NU20" s="19">
        <v>928.5</v>
      </c>
      <c r="NV20" s="70" t="s">
        <v>616</v>
      </c>
      <c r="NW20" s="24">
        <v>42</v>
      </c>
      <c r="NX20" s="16"/>
      <c r="NY20" s="59"/>
      <c r="NZ20" s="121"/>
      <c r="OA20" s="20">
        <v>13</v>
      </c>
      <c r="OB20" s="19">
        <v>974.6</v>
      </c>
      <c r="OC20" s="105">
        <v>43456</v>
      </c>
      <c r="OD20" s="19">
        <v>974.6</v>
      </c>
      <c r="OE20" s="124" t="s">
        <v>620</v>
      </c>
      <c r="OF20" s="103">
        <v>42</v>
      </c>
      <c r="OG20" s="16"/>
      <c r="OH20" s="59"/>
      <c r="OI20" s="121"/>
      <c r="OJ20" s="20">
        <v>13</v>
      </c>
      <c r="OK20" s="19">
        <v>922.6</v>
      </c>
      <c r="OL20" s="17">
        <v>43456</v>
      </c>
      <c r="OM20" s="19">
        <v>922.6</v>
      </c>
      <c r="ON20" s="70" t="s">
        <v>623</v>
      </c>
      <c r="OO20" s="482">
        <v>42</v>
      </c>
      <c r="OP20" s="16"/>
      <c r="OQ20" s="59"/>
      <c r="OR20" s="121"/>
      <c r="OS20" s="20">
        <v>13</v>
      </c>
      <c r="OT20" s="19">
        <v>937.6</v>
      </c>
      <c r="OU20" s="17">
        <v>43457</v>
      </c>
      <c r="OV20" s="19">
        <v>937.6</v>
      </c>
      <c r="OW20" s="70" t="s">
        <v>627</v>
      </c>
      <c r="OX20" s="24">
        <v>42</v>
      </c>
      <c r="OY20" s="16"/>
      <c r="OZ20" s="59"/>
      <c r="PA20" s="121"/>
      <c r="PB20" s="20">
        <v>13</v>
      </c>
      <c r="PC20" s="19">
        <v>920.63</v>
      </c>
      <c r="PD20" s="17">
        <v>43458</v>
      </c>
      <c r="PE20" s="19">
        <v>920.63</v>
      </c>
      <c r="PF20" s="70" t="s">
        <v>630</v>
      </c>
      <c r="PG20" s="24">
        <v>42</v>
      </c>
      <c r="PH20" s="16"/>
      <c r="PI20" s="59"/>
      <c r="PJ20" s="121"/>
      <c r="PK20" s="20">
        <v>13</v>
      </c>
      <c r="PL20" s="19">
        <v>906.5</v>
      </c>
      <c r="PM20" s="17">
        <v>43461</v>
      </c>
      <c r="PN20" s="19">
        <v>906.5</v>
      </c>
      <c r="PO20" s="70" t="s">
        <v>650</v>
      </c>
      <c r="PP20" s="24">
        <v>38</v>
      </c>
      <c r="PQ20" s="16"/>
      <c r="PR20" s="59"/>
      <c r="PS20" s="121"/>
      <c r="PT20" s="20">
        <v>13</v>
      </c>
      <c r="PU20" s="19">
        <v>951.63</v>
      </c>
      <c r="PV20" s="17">
        <v>43462</v>
      </c>
      <c r="PW20" s="19">
        <v>951.63</v>
      </c>
      <c r="PX20" s="270" t="s">
        <v>660</v>
      </c>
      <c r="PY20" s="24">
        <v>38</v>
      </c>
      <c r="PZ20" s="16"/>
      <c r="QA20" s="59"/>
      <c r="QB20" s="121"/>
      <c r="QC20" s="20">
        <v>13</v>
      </c>
      <c r="QD20" s="19">
        <v>923.06</v>
      </c>
      <c r="QE20" s="105">
        <v>43462</v>
      </c>
      <c r="QF20" s="19">
        <v>923.06</v>
      </c>
      <c r="QG20" s="124" t="s">
        <v>657</v>
      </c>
      <c r="QH20" s="414">
        <v>38</v>
      </c>
      <c r="QI20" s="16"/>
      <c r="QJ20" s="59"/>
      <c r="QK20" s="121"/>
      <c r="QL20" s="20">
        <v>13</v>
      </c>
      <c r="QM20" s="19">
        <v>903.1</v>
      </c>
      <c r="QN20" s="17">
        <v>43461</v>
      </c>
      <c r="QO20" s="19">
        <v>903.1</v>
      </c>
      <c r="QP20" s="70" t="s">
        <v>646</v>
      </c>
      <c r="QQ20" s="24">
        <v>38</v>
      </c>
      <c r="QR20" s="16"/>
      <c r="QS20" s="59"/>
      <c r="QT20" s="121"/>
      <c r="QU20" s="20">
        <v>13</v>
      </c>
      <c r="QV20" s="19">
        <v>963.88</v>
      </c>
      <c r="QW20" s="17">
        <v>43461</v>
      </c>
      <c r="QX20" s="19">
        <v>963.88</v>
      </c>
      <c r="QY20" s="70" t="s">
        <v>655</v>
      </c>
      <c r="QZ20" s="24">
        <v>38</v>
      </c>
      <c r="RA20" s="16"/>
      <c r="RB20" s="59"/>
      <c r="RC20" s="121"/>
      <c r="RD20" s="20"/>
      <c r="RE20" s="19"/>
      <c r="RF20" s="17"/>
      <c r="RG20" s="19"/>
      <c r="RH20" s="70"/>
      <c r="RI20" s="24"/>
      <c r="RJ20" s="16"/>
      <c r="RK20" s="59"/>
      <c r="RL20" s="121"/>
      <c r="RM20" s="20">
        <v>13</v>
      </c>
      <c r="RN20" s="19">
        <v>910.2</v>
      </c>
      <c r="RO20" s="400">
        <v>43462</v>
      </c>
      <c r="RP20" s="401">
        <v>910.2</v>
      </c>
      <c r="RQ20" s="402" t="s">
        <v>660</v>
      </c>
      <c r="RR20" s="403">
        <v>38</v>
      </c>
      <c r="RS20" s="16"/>
      <c r="RT20" s="59"/>
      <c r="RU20" s="121"/>
      <c r="RV20" s="20">
        <v>13</v>
      </c>
      <c r="RW20" s="19"/>
      <c r="RX20" s="17"/>
      <c r="RY20" s="19"/>
      <c r="RZ20" s="70"/>
      <c r="SA20" s="24"/>
      <c r="SB20" s="16"/>
      <c r="SC20" s="59"/>
      <c r="SD20" s="121"/>
      <c r="SE20" s="20">
        <v>13</v>
      </c>
      <c r="SF20" s="19">
        <v>920.18</v>
      </c>
      <c r="SG20" s="17">
        <v>43463</v>
      </c>
      <c r="SH20" s="19">
        <v>920.18</v>
      </c>
      <c r="SI20" s="70" t="s">
        <v>667</v>
      </c>
      <c r="SJ20" s="24">
        <v>38</v>
      </c>
      <c r="SK20" s="16"/>
      <c r="SL20" s="59"/>
      <c r="SM20" s="121"/>
      <c r="SN20" s="20">
        <v>13</v>
      </c>
      <c r="SO20" s="19"/>
      <c r="SP20" s="17"/>
      <c r="SQ20" s="19"/>
      <c r="SR20" s="70"/>
      <c r="SS20" s="24"/>
      <c r="ST20" s="16"/>
      <c r="SU20" s="59"/>
      <c r="SV20" s="121"/>
      <c r="SW20" s="20">
        <v>13</v>
      </c>
      <c r="SX20" s="19">
        <v>907.2</v>
      </c>
      <c r="SY20" s="17">
        <v>43463</v>
      </c>
      <c r="SZ20" s="19">
        <v>907.2</v>
      </c>
      <c r="TA20" s="70" t="s">
        <v>666</v>
      </c>
      <c r="TB20" s="24">
        <v>38</v>
      </c>
      <c r="TC20" s="16"/>
      <c r="TD20" s="59"/>
      <c r="TE20" s="121"/>
      <c r="TF20" s="20">
        <v>13</v>
      </c>
      <c r="TG20" s="19">
        <v>923.36</v>
      </c>
      <c r="TH20" s="17">
        <v>43464</v>
      </c>
      <c r="TI20" s="19">
        <v>923.36</v>
      </c>
      <c r="TJ20" s="70" t="s">
        <v>676</v>
      </c>
      <c r="TK20" s="24">
        <v>38</v>
      </c>
      <c r="TM20" s="7"/>
      <c r="TN20" s="2"/>
      <c r="TO20" s="20">
        <v>13</v>
      </c>
      <c r="TP20" s="19">
        <v>902.2</v>
      </c>
      <c r="TQ20" s="17">
        <v>43464</v>
      </c>
      <c r="TR20" s="19">
        <v>902.2</v>
      </c>
      <c r="TS20" s="70" t="s">
        <v>671</v>
      </c>
      <c r="TT20" s="24">
        <v>38</v>
      </c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SIOUXPREME PACKING</v>
      </c>
      <c r="C21" s="16" t="str">
        <f t="shared" si="17"/>
        <v>SIOUX</v>
      </c>
      <c r="D21" s="120" t="str">
        <f>FJ5</f>
        <v>PED. 32084156</v>
      </c>
      <c r="E21" s="155">
        <f t="shared" si="17"/>
        <v>43445</v>
      </c>
      <c r="F21" s="74">
        <f t="shared" si="17"/>
        <v>18637.07</v>
      </c>
      <c r="G21" s="15">
        <f t="shared" si="17"/>
        <v>21</v>
      </c>
      <c r="H21" s="64">
        <f t="shared" si="17"/>
        <v>18761</v>
      </c>
      <c r="I21" s="18">
        <f t="shared" si="17"/>
        <v>-123.93000000000029</v>
      </c>
      <c r="K21" s="59"/>
      <c r="L21" s="121"/>
      <c r="M21" s="20">
        <v>14</v>
      </c>
      <c r="N21" s="190">
        <v>943</v>
      </c>
      <c r="O21" s="105">
        <v>43435</v>
      </c>
      <c r="P21" s="190">
        <v>943</v>
      </c>
      <c r="Q21" s="124" t="s">
        <v>472</v>
      </c>
      <c r="R21" s="103">
        <v>37</v>
      </c>
      <c r="S21" s="16"/>
      <c r="T21" s="59"/>
      <c r="U21" s="121"/>
      <c r="V21" s="20">
        <v>14</v>
      </c>
      <c r="W21" s="190">
        <v>938</v>
      </c>
      <c r="X21" s="17">
        <v>43435</v>
      </c>
      <c r="Y21" s="190">
        <v>938</v>
      </c>
      <c r="Z21" s="70" t="s">
        <v>474</v>
      </c>
      <c r="AA21" s="24">
        <v>37</v>
      </c>
      <c r="AB21" s="16"/>
      <c r="AC21" s="59"/>
      <c r="AD21" s="121"/>
      <c r="AE21" s="20">
        <v>14</v>
      </c>
      <c r="AF21" s="190">
        <v>975.96</v>
      </c>
      <c r="AG21" s="17">
        <v>43436</v>
      </c>
      <c r="AH21" s="190">
        <v>975.96</v>
      </c>
      <c r="AI21" s="70" t="s">
        <v>462</v>
      </c>
      <c r="AJ21" s="24">
        <v>37</v>
      </c>
      <c r="AK21" s="16"/>
      <c r="AL21" s="59"/>
      <c r="AM21" s="121"/>
      <c r="AN21" s="20">
        <v>14</v>
      </c>
      <c r="AO21" s="19">
        <v>939.68</v>
      </c>
      <c r="AP21" s="17">
        <v>43441</v>
      </c>
      <c r="AQ21" s="19">
        <v>939.68</v>
      </c>
      <c r="AR21" s="70" t="s">
        <v>521</v>
      </c>
      <c r="AS21" s="24">
        <v>38</v>
      </c>
      <c r="AT21" s="16"/>
      <c r="AU21" s="59"/>
      <c r="AV21" s="121"/>
      <c r="AW21" s="20">
        <v>14</v>
      </c>
      <c r="AX21" s="19">
        <v>872.7</v>
      </c>
      <c r="AY21" s="105">
        <v>43441</v>
      </c>
      <c r="AZ21" s="19">
        <v>872.7</v>
      </c>
      <c r="BA21" s="124" t="s">
        <v>520</v>
      </c>
      <c r="BB21" s="414">
        <v>38</v>
      </c>
      <c r="BC21" s="16"/>
      <c r="BD21" s="59"/>
      <c r="BE21" s="121"/>
      <c r="BF21" s="20">
        <v>14</v>
      </c>
      <c r="BG21" s="19">
        <v>929.4</v>
      </c>
      <c r="BH21" s="400">
        <v>43441</v>
      </c>
      <c r="BI21" s="19">
        <v>929.4</v>
      </c>
      <c r="BJ21" s="402" t="s">
        <v>511</v>
      </c>
      <c r="BK21" s="403">
        <v>38</v>
      </c>
      <c r="BL21" s="16"/>
      <c r="BM21" s="59"/>
      <c r="BN21" s="121"/>
      <c r="BO21" s="20">
        <v>14</v>
      </c>
      <c r="BP21" s="19">
        <v>897</v>
      </c>
      <c r="BQ21" s="400">
        <v>43439</v>
      </c>
      <c r="BR21" s="19">
        <v>897</v>
      </c>
      <c r="BS21" s="402" t="s">
        <v>486</v>
      </c>
      <c r="BT21" s="403">
        <v>37</v>
      </c>
      <c r="BU21" s="16"/>
      <c r="BV21" s="59"/>
      <c r="BW21" s="121"/>
      <c r="BX21" s="20">
        <v>14</v>
      </c>
      <c r="BY21" s="19">
        <v>906.5</v>
      </c>
      <c r="BZ21" s="400">
        <v>43438</v>
      </c>
      <c r="CA21" s="19">
        <v>906.5</v>
      </c>
      <c r="CB21" s="402" t="s">
        <v>463</v>
      </c>
      <c r="CC21" s="403">
        <v>37</v>
      </c>
      <c r="CD21" s="16"/>
      <c r="CE21" s="59"/>
      <c r="CF21" s="121"/>
      <c r="CG21" s="20">
        <v>14</v>
      </c>
      <c r="CH21" s="19">
        <v>973.4</v>
      </c>
      <c r="CI21" s="17">
        <v>43439</v>
      </c>
      <c r="CJ21" s="19">
        <v>973.4</v>
      </c>
      <c r="CK21" s="70" t="s">
        <v>494</v>
      </c>
      <c r="CL21" s="24">
        <v>37</v>
      </c>
      <c r="CM21" s="16"/>
      <c r="CN21" s="128"/>
      <c r="CO21" s="121"/>
      <c r="CP21" s="20">
        <v>14</v>
      </c>
      <c r="CQ21" s="19">
        <v>908.09</v>
      </c>
      <c r="CR21" s="17">
        <v>43439</v>
      </c>
      <c r="CS21" s="19">
        <v>908.09</v>
      </c>
      <c r="CT21" s="70" t="s">
        <v>500</v>
      </c>
      <c r="CU21" s="24">
        <v>37</v>
      </c>
      <c r="CV21" s="16"/>
      <c r="CW21" s="59"/>
      <c r="CX21" s="121"/>
      <c r="CY21" s="20">
        <v>14</v>
      </c>
      <c r="CZ21" s="19">
        <v>945.58</v>
      </c>
      <c r="DA21" s="400">
        <v>43440</v>
      </c>
      <c r="DB21" s="19">
        <v>945.58</v>
      </c>
      <c r="DC21" s="402" t="s">
        <v>496</v>
      </c>
      <c r="DD21" s="403">
        <v>38</v>
      </c>
      <c r="DE21" s="16"/>
      <c r="DF21" s="59"/>
      <c r="DG21" s="121"/>
      <c r="DH21" s="20">
        <v>14</v>
      </c>
      <c r="DI21" s="19">
        <v>967.96</v>
      </c>
      <c r="DJ21" s="400">
        <v>43440</v>
      </c>
      <c r="DK21" s="19">
        <v>967.96</v>
      </c>
      <c r="DL21" s="402" t="s">
        <v>508</v>
      </c>
      <c r="DM21" s="403">
        <v>37</v>
      </c>
      <c r="DN21" s="16"/>
      <c r="DO21" s="59"/>
      <c r="DP21" s="121"/>
      <c r="DQ21" s="20">
        <v>14</v>
      </c>
      <c r="DR21" s="30">
        <v>943.31</v>
      </c>
      <c r="DS21" s="58">
        <v>43442</v>
      </c>
      <c r="DT21" s="30">
        <v>943.31</v>
      </c>
      <c r="DU21" s="76" t="s">
        <v>523</v>
      </c>
      <c r="DV21" s="24">
        <v>40</v>
      </c>
      <c r="DW21" s="16"/>
      <c r="DX21" s="59"/>
      <c r="DY21" s="121"/>
      <c r="DZ21" s="20">
        <v>14</v>
      </c>
      <c r="EA21" s="30">
        <v>948.9</v>
      </c>
      <c r="EB21" s="58">
        <v>43444</v>
      </c>
      <c r="EC21" s="30">
        <v>948.9</v>
      </c>
      <c r="ED21" s="76" t="s">
        <v>466</v>
      </c>
      <c r="EE21" s="24">
        <v>42</v>
      </c>
      <c r="EF21" s="16"/>
      <c r="EG21" s="59"/>
      <c r="EH21" s="121"/>
      <c r="EI21" s="20">
        <v>14</v>
      </c>
      <c r="EJ21" s="19">
        <v>940.7</v>
      </c>
      <c r="EK21" s="17">
        <v>43442</v>
      </c>
      <c r="EL21" s="19">
        <v>940.7</v>
      </c>
      <c r="EM21" s="43" t="s">
        <v>504</v>
      </c>
      <c r="EN21" s="24">
        <v>40</v>
      </c>
      <c r="EO21" s="16"/>
      <c r="EP21" s="59"/>
      <c r="EQ21" s="121"/>
      <c r="ER21" s="20">
        <v>14</v>
      </c>
      <c r="ES21" s="19">
        <v>996.83</v>
      </c>
      <c r="ET21" s="17">
        <v>43447</v>
      </c>
      <c r="EU21" s="19">
        <v>996.83</v>
      </c>
      <c r="EV21" s="43" t="s">
        <v>536</v>
      </c>
      <c r="EW21" s="24">
        <v>42</v>
      </c>
      <c r="EX21" s="16"/>
      <c r="EY21" s="59"/>
      <c r="EZ21" s="121"/>
      <c r="FA21" s="20">
        <v>14</v>
      </c>
      <c r="FB21" s="167">
        <v>980.05</v>
      </c>
      <c r="FC21" s="150">
        <v>43445</v>
      </c>
      <c r="FD21" s="167">
        <v>980.05</v>
      </c>
      <c r="FE21" s="110" t="s">
        <v>492</v>
      </c>
      <c r="FF21" s="111">
        <v>42</v>
      </c>
      <c r="FG21" s="16"/>
      <c r="FH21" s="59"/>
      <c r="FI21" s="121"/>
      <c r="FJ21" s="20">
        <v>14</v>
      </c>
      <c r="FK21" s="30">
        <v>823.5</v>
      </c>
      <c r="FL21" s="58">
        <v>43445</v>
      </c>
      <c r="FM21" s="30">
        <v>823.5</v>
      </c>
      <c r="FN21" s="76" t="s">
        <v>480</v>
      </c>
      <c r="FO21" s="24">
        <v>42</v>
      </c>
      <c r="FP21" s="16"/>
      <c r="FQ21" s="59"/>
      <c r="FR21" s="121"/>
      <c r="FS21" s="20">
        <v>14</v>
      </c>
      <c r="FT21" s="19">
        <v>967.05</v>
      </c>
      <c r="FU21" s="150">
        <v>43445</v>
      </c>
      <c r="FV21" s="19">
        <v>967.05</v>
      </c>
      <c r="FW21" s="270" t="s">
        <v>514</v>
      </c>
      <c r="FX21" s="111">
        <v>42</v>
      </c>
      <c r="FY21" s="16"/>
      <c r="FZ21" s="59"/>
      <c r="GA21" s="121"/>
      <c r="GB21" s="20">
        <v>14</v>
      </c>
      <c r="GC21" s="19">
        <v>997.73</v>
      </c>
      <c r="GD21" s="17">
        <v>43446</v>
      </c>
      <c r="GE21" s="19">
        <v>997.73</v>
      </c>
      <c r="GF21" s="70" t="s">
        <v>515</v>
      </c>
      <c r="GG21" s="24">
        <v>42</v>
      </c>
      <c r="GH21" s="16"/>
      <c r="GI21" s="59"/>
      <c r="GJ21" s="121"/>
      <c r="GK21" s="20">
        <v>14</v>
      </c>
      <c r="GL21" s="19">
        <v>948.3</v>
      </c>
      <c r="GM21" s="17">
        <v>43447</v>
      </c>
      <c r="GN21" s="19">
        <v>948.3</v>
      </c>
      <c r="GO21" s="70" t="s">
        <v>537</v>
      </c>
      <c r="GP21" s="24">
        <v>42</v>
      </c>
      <c r="GQ21" s="16"/>
      <c r="GR21" s="59"/>
      <c r="GS21" s="121"/>
      <c r="GT21" s="20">
        <v>14</v>
      </c>
      <c r="GU21" s="19">
        <v>890.9</v>
      </c>
      <c r="GV21" s="17">
        <v>43448</v>
      </c>
      <c r="GW21" s="19">
        <v>890.9</v>
      </c>
      <c r="GX21" s="311" t="s">
        <v>538</v>
      </c>
      <c r="GY21" s="24">
        <v>42</v>
      </c>
      <c r="GZ21" s="16"/>
      <c r="HA21" s="59"/>
      <c r="HB21" s="121"/>
      <c r="HC21" s="20">
        <v>14</v>
      </c>
      <c r="HD21" s="30">
        <v>879.5</v>
      </c>
      <c r="HE21" s="58">
        <v>43448</v>
      </c>
      <c r="HF21" s="30">
        <v>879.5</v>
      </c>
      <c r="HG21" s="76" t="s">
        <v>543</v>
      </c>
      <c r="HH21" s="24">
        <v>42</v>
      </c>
      <c r="HI21" s="16"/>
      <c r="HJ21" s="59"/>
      <c r="HK21" s="121"/>
      <c r="HL21" s="20">
        <v>14</v>
      </c>
      <c r="HM21" s="19">
        <v>943.7</v>
      </c>
      <c r="HN21" s="17">
        <v>43449</v>
      </c>
      <c r="HO21" s="19">
        <v>943.7</v>
      </c>
      <c r="HP21" s="593" t="s">
        <v>550</v>
      </c>
      <c r="HQ21" s="24">
        <v>42</v>
      </c>
      <c r="HR21" s="19"/>
      <c r="HS21" s="59"/>
      <c r="HT21" s="121"/>
      <c r="HU21" s="20">
        <v>14</v>
      </c>
      <c r="HV21" s="19">
        <v>997.73</v>
      </c>
      <c r="HW21" s="58">
        <v>43448</v>
      </c>
      <c r="HX21" s="19">
        <v>997.73</v>
      </c>
      <c r="HY21" s="76" t="s">
        <v>546</v>
      </c>
      <c r="HZ21" s="24">
        <v>42</v>
      </c>
      <c r="IA21" s="16"/>
      <c r="IB21" s="59"/>
      <c r="IC21" s="121"/>
      <c r="ID21" s="20">
        <v>14</v>
      </c>
      <c r="IE21" s="19">
        <v>888.6</v>
      </c>
      <c r="IF21" s="17">
        <v>43449</v>
      </c>
      <c r="IG21" s="19">
        <v>888.6</v>
      </c>
      <c r="IH21" s="43" t="s">
        <v>553</v>
      </c>
      <c r="II21" s="24">
        <v>42</v>
      </c>
      <c r="IJ21" s="16"/>
      <c r="IK21" s="59"/>
      <c r="IL21" s="121"/>
      <c r="IM21" s="20">
        <v>14</v>
      </c>
      <c r="IN21" s="30">
        <v>928.8</v>
      </c>
      <c r="IO21" s="626">
        <v>43450</v>
      </c>
      <c r="IP21" s="30">
        <v>928.8</v>
      </c>
      <c r="IQ21" s="76" t="s">
        <v>563</v>
      </c>
      <c r="IR21" s="24">
        <v>42</v>
      </c>
      <c r="IS21" s="16"/>
      <c r="IT21" s="59"/>
      <c r="IU21" s="121"/>
      <c r="IV21" s="20">
        <v>14</v>
      </c>
      <c r="IW21" s="19">
        <v>873.6</v>
      </c>
      <c r="IX21" s="17">
        <v>43452</v>
      </c>
      <c r="IY21" s="19">
        <v>873.6</v>
      </c>
      <c r="IZ21" s="70" t="s">
        <v>573</v>
      </c>
      <c r="JA21" s="24">
        <v>42</v>
      </c>
      <c r="JB21" s="16"/>
      <c r="JC21" s="59"/>
      <c r="JD21" s="121"/>
      <c r="JE21" s="20">
        <v>14</v>
      </c>
      <c r="JF21" s="19">
        <v>890.4</v>
      </c>
      <c r="JG21" s="17">
        <v>43452</v>
      </c>
      <c r="JH21" s="19">
        <v>890.4</v>
      </c>
      <c r="JI21" s="70" t="s">
        <v>573</v>
      </c>
      <c r="JJ21" s="24">
        <v>42</v>
      </c>
      <c r="JK21" s="16"/>
      <c r="JL21" s="59"/>
      <c r="JM21" s="121"/>
      <c r="JN21" s="20">
        <v>14</v>
      </c>
      <c r="JO21" s="19">
        <v>946.03</v>
      </c>
      <c r="JP21" s="17">
        <v>43452</v>
      </c>
      <c r="JQ21" s="19">
        <v>946.03</v>
      </c>
      <c r="JR21" s="70" t="s">
        <v>579</v>
      </c>
      <c r="JS21" s="24">
        <v>42</v>
      </c>
      <c r="JT21" s="16"/>
      <c r="JU21" s="59"/>
      <c r="JV21" s="121"/>
      <c r="JW21" s="20">
        <v>14</v>
      </c>
      <c r="JX21" s="19">
        <v>932.58</v>
      </c>
      <c r="JY21" s="17">
        <v>43454</v>
      </c>
      <c r="JZ21" s="19">
        <v>932.58</v>
      </c>
      <c r="KA21" s="70" t="s">
        <v>590</v>
      </c>
      <c r="KB21" s="24">
        <v>42</v>
      </c>
      <c r="KC21" s="16"/>
      <c r="KD21" s="59"/>
      <c r="KE21" s="121"/>
      <c r="KF21" s="20">
        <v>14</v>
      </c>
      <c r="KG21" s="19">
        <v>899</v>
      </c>
      <c r="KH21" s="17">
        <v>43452</v>
      </c>
      <c r="KI21" s="19">
        <v>899</v>
      </c>
      <c r="KJ21" s="70" t="s">
        <v>581</v>
      </c>
      <c r="KK21" s="24">
        <v>42</v>
      </c>
      <c r="KL21" s="16"/>
      <c r="KM21" s="59"/>
      <c r="KN21" s="121"/>
      <c r="KO21" s="20">
        <v>14</v>
      </c>
      <c r="KP21" s="190">
        <v>937.1</v>
      </c>
      <c r="KQ21" s="105">
        <v>43453</v>
      </c>
      <c r="KR21" s="190">
        <v>937.1</v>
      </c>
      <c r="KS21" s="124" t="s">
        <v>584</v>
      </c>
      <c r="KT21" s="103">
        <v>42</v>
      </c>
      <c r="KU21" s="16"/>
      <c r="KV21" s="59"/>
      <c r="KW21" s="121"/>
      <c r="KX21" s="20">
        <v>14</v>
      </c>
      <c r="KY21" s="190">
        <v>948.75</v>
      </c>
      <c r="KZ21" s="17">
        <v>43453</v>
      </c>
      <c r="LA21" s="190">
        <v>948.75</v>
      </c>
      <c r="LB21" s="70" t="s">
        <v>561</v>
      </c>
      <c r="LC21" s="24">
        <v>42</v>
      </c>
      <c r="LD21" s="16"/>
      <c r="LE21" s="59"/>
      <c r="LF21" s="121"/>
      <c r="LG21" s="20">
        <v>14</v>
      </c>
      <c r="LH21" s="19">
        <v>945.12</v>
      </c>
      <c r="LI21" s="17">
        <v>43454</v>
      </c>
      <c r="LJ21" s="19">
        <v>945.12</v>
      </c>
      <c r="LK21" s="70" t="s">
        <v>591</v>
      </c>
      <c r="LL21" s="24">
        <v>42</v>
      </c>
      <c r="LM21" s="16"/>
      <c r="LN21" s="59"/>
      <c r="LO21" s="121"/>
      <c r="LP21" s="20">
        <v>14</v>
      </c>
      <c r="LQ21" s="190">
        <v>904.76</v>
      </c>
      <c r="LR21" s="17">
        <v>43455</v>
      </c>
      <c r="LS21" s="190">
        <v>904.76</v>
      </c>
      <c r="LT21" s="70" t="s">
        <v>599</v>
      </c>
      <c r="LU21" s="24">
        <v>42</v>
      </c>
      <c r="LV21" s="16"/>
      <c r="LW21" s="59"/>
      <c r="LX21" s="121"/>
      <c r="LY21" s="20">
        <v>14</v>
      </c>
      <c r="LZ21" s="19">
        <v>954.4</v>
      </c>
      <c r="MA21" s="17">
        <v>43455</v>
      </c>
      <c r="MB21" s="19">
        <v>954.4</v>
      </c>
      <c r="MC21" s="70" t="s">
        <v>604</v>
      </c>
      <c r="MD21" s="24">
        <v>42</v>
      </c>
      <c r="ME21" s="16"/>
      <c r="MF21" s="59"/>
      <c r="MG21" s="121"/>
      <c r="MH21" s="20">
        <v>14</v>
      </c>
      <c r="MI21" s="167">
        <v>889.5</v>
      </c>
      <c r="MJ21" s="150">
        <v>43455</v>
      </c>
      <c r="MK21" s="167">
        <v>889.5</v>
      </c>
      <c r="ML21" s="270" t="s">
        <v>608</v>
      </c>
      <c r="MM21" s="111">
        <v>42</v>
      </c>
      <c r="MN21" s="16"/>
      <c r="MO21" s="59"/>
      <c r="MP21" s="121"/>
      <c r="MQ21" s="20">
        <v>14</v>
      </c>
      <c r="MR21" s="19">
        <v>954.65</v>
      </c>
      <c r="MS21" s="17">
        <v>43457</v>
      </c>
      <c r="MT21" s="19">
        <v>954.65</v>
      </c>
      <c r="MU21" s="70" t="s">
        <v>628</v>
      </c>
      <c r="MV21" s="24">
        <v>42</v>
      </c>
      <c r="MW21" s="16"/>
      <c r="MX21" s="59"/>
      <c r="MY21" s="121"/>
      <c r="MZ21" s="20">
        <v>14</v>
      </c>
      <c r="NA21" s="19">
        <v>886.8</v>
      </c>
      <c r="NB21" s="17">
        <v>43460</v>
      </c>
      <c r="NC21" s="19">
        <v>886.8</v>
      </c>
      <c r="ND21" s="70" t="s">
        <v>635</v>
      </c>
      <c r="NE21" s="24">
        <v>38</v>
      </c>
      <c r="NF21" s="16"/>
      <c r="NG21" s="59"/>
      <c r="NH21" s="121"/>
      <c r="NI21" s="20">
        <v>14</v>
      </c>
      <c r="NJ21" s="19">
        <v>885.9</v>
      </c>
      <c r="NK21" s="17">
        <v>43456</v>
      </c>
      <c r="NL21" s="19">
        <v>885.9</v>
      </c>
      <c r="NM21" s="70" t="s">
        <v>614</v>
      </c>
      <c r="NN21" s="24">
        <v>42</v>
      </c>
      <c r="NO21" s="16"/>
      <c r="NP21" s="59"/>
      <c r="NQ21" s="171"/>
      <c r="NR21" s="20">
        <v>14</v>
      </c>
      <c r="NS21" s="19">
        <v>958.4</v>
      </c>
      <c r="NT21" s="17">
        <v>43456</v>
      </c>
      <c r="NU21" s="19">
        <v>958.4</v>
      </c>
      <c r="NV21" s="70" t="s">
        <v>616</v>
      </c>
      <c r="NW21" s="24">
        <v>42</v>
      </c>
      <c r="NX21" s="16"/>
      <c r="NY21" s="59"/>
      <c r="NZ21" s="121"/>
      <c r="OA21" s="20">
        <v>14</v>
      </c>
      <c r="OB21" s="19">
        <v>920.18</v>
      </c>
      <c r="OC21" s="105">
        <v>43456</v>
      </c>
      <c r="OD21" s="19">
        <v>920.18</v>
      </c>
      <c r="OE21" s="124" t="s">
        <v>620</v>
      </c>
      <c r="OF21" s="103">
        <v>42</v>
      </c>
      <c r="OG21" s="16"/>
      <c r="OH21" s="59"/>
      <c r="OI21" s="121"/>
      <c r="OJ21" s="20">
        <v>14</v>
      </c>
      <c r="OK21" s="19">
        <v>870.4</v>
      </c>
      <c r="OL21" s="17">
        <v>43456</v>
      </c>
      <c r="OM21" s="19">
        <v>870.4</v>
      </c>
      <c r="ON21" s="70" t="s">
        <v>618</v>
      </c>
      <c r="OO21" s="482">
        <v>42</v>
      </c>
      <c r="OP21" s="16"/>
      <c r="OQ21" s="59"/>
      <c r="OR21" s="121"/>
      <c r="OS21" s="20">
        <v>14</v>
      </c>
      <c r="OT21" s="19">
        <v>900.8</v>
      </c>
      <c r="OU21" s="17">
        <v>43457</v>
      </c>
      <c r="OV21" s="19">
        <v>900.8</v>
      </c>
      <c r="OW21" s="70" t="s">
        <v>627</v>
      </c>
      <c r="OX21" s="24">
        <v>42</v>
      </c>
      <c r="OY21" s="16"/>
      <c r="OZ21" s="59"/>
      <c r="PA21" s="121"/>
      <c r="PB21" s="20">
        <v>14</v>
      </c>
      <c r="PC21" s="19">
        <v>929.25</v>
      </c>
      <c r="PD21" s="17">
        <v>43458</v>
      </c>
      <c r="PE21" s="19">
        <v>929.25</v>
      </c>
      <c r="PF21" s="70" t="s">
        <v>632</v>
      </c>
      <c r="PG21" s="24">
        <v>42</v>
      </c>
      <c r="PH21" s="16"/>
      <c r="PI21" s="59"/>
      <c r="PJ21" s="121"/>
      <c r="PK21" s="20">
        <v>14</v>
      </c>
      <c r="PL21" s="19">
        <v>897</v>
      </c>
      <c r="PM21" s="17">
        <v>43461</v>
      </c>
      <c r="PN21" s="19">
        <v>897</v>
      </c>
      <c r="PO21" s="70" t="s">
        <v>650</v>
      </c>
      <c r="PP21" s="24">
        <v>38</v>
      </c>
      <c r="PQ21" s="16"/>
      <c r="PR21" s="59"/>
      <c r="PS21" s="121"/>
      <c r="PT21" s="20">
        <v>14</v>
      </c>
      <c r="PU21" s="19">
        <v>919.88</v>
      </c>
      <c r="PV21" s="17">
        <v>43462</v>
      </c>
      <c r="PW21" s="19">
        <v>919.88</v>
      </c>
      <c r="PX21" s="270" t="s">
        <v>660</v>
      </c>
      <c r="PY21" s="24">
        <v>38</v>
      </c>
      <c r="PZ21" s="16"/>
      <c r="QA21" s="59"/>
      <c r="QB21" s="121"/>
      <c r="QC21" s="20">
        <v>14</v>
      </c>
      <c r="QD21" s="19">
        <v>962.06</v>
      </c>
      <c r="QE21" s="105">
        <v>43462</v>
      </c>
      <c r="QF21" s="19">
        <v>962.06</v>
      </c>
      <c r="QG21" s="124" t="s">
        <v>658</v>
      </c>
      <c r="QH21" s="414">
        <v>38</v>
      </c>
      <c r="QI21" s="16"/>
      <c r="QJ21" s="59"/>
      <c r="QK21" s="121"/>
      <c r="QL21" s="20">
        <v>14</v>
      </c>
      <c r="QM21" s="19">
        <v>935.8</v>
      </c>
      <c r="QN21" s="17">
        <v>43461</v>
      </c>
      <c r="QO21" s="19">
        <v>935.8</v>
      </c>
      <c r="QP21" s="70" t="s">
        <v>646</v>
      </c>
      <c r="QQ21" s="24">
        <v>38</v>
      </c>
      <c r="QR21" s="16"/>
      <c r="QS21" s="59"/>
      <c r="QT21" s="121"/>
      <c r="QU21" s="20">
        <v>14</v>
      </c>
      <c r="QV21" s="19">
        <v>923.51</v>
      </c>
      <c r="QW21" s="17">
        <v>43461</v>
      </c>
      <c r="QX21" s="800">
        <v>923.61</v>
      </c>
      <c r="QY21" s="70" t="s">
        <v>655</v>
      </c>
      <c r="QZ21" s="24">
        <v>38</v>
      </c>
      <c r="RA21" s="16"/>
      <c r="RB21" s="59"/>
      <c r="RC21" s="121"/>
      <c r="RD21" s="20"/>
      <c r="RE21" s="19"/>
      <c r="RF21" s="17"/>
      <c r="RG21" s="19"/>
      <c r="RH21" s="70"/>
      <c r="RI21" s="24"/>
      <c r="RJ21" s="16"/>
      <c r="RK21" s="59"/>
      <c r="RL21" s="121"/>
      <c r="RM21" s="20">
        <v>14</v>
      </c>
      <c r="RN21" s="19">
        <v>936.96</v>
      </c>
      <c r="RO21" s="400">
        <v>43462</v>
      </c>
      <c r="RP21" s="401">
        <v>936.96</v>
      </c>
      <c r="RQ21" s="402" t="s">
        <v>660</v>
      </c>
      <c r="RR21" s="403">
        <v>38</v>
      </c>
      <c r="RS21" s="16"/>
      <c r="RT21" s="59"/>
      <c r="RU21" s="121"/>
      <c r="RV21" s="20">
        <v>14</v>
      </c>
      <c r="RW21" s="19"/>
      <c r="RX21" s="17"/>
      <c r="RY21" s="19"/>
      <c r="RZ21" s="70"/>
      <c r="SA21" s="24"/>
      <c r="SB21" s="16"/>
      <c r="SC21" s="59"/>
      <c r="SD21" s="121"/>
      <c r="SE21" s="20">
        <v>14</v>
      </c>
      <c r="SF21" s="19">
        <v>972.34</v>
      </c>
      <c r="SG21" s="17">
        <v>43463</v>
      </c>
      <c r="SH21" s="19">
        <v>972.34</v>
      </c>
      <c r="SI21" s="70" t="s">
        <v>667</v>
      </c>
      <c r="SJ21" s="24">
        <v>38</v>
      </c>
      <c r="SK21" s="16"/>
      <c r="SL21" s="59"/>
      <c r="SM21" s="121"/>
      <c r="SN21" s="20">
        <v>14</v>
      </c>
      <c r="SO21" s="19"/>
      <c r="SP21" s="17"/>
      <c r="SQ21" s="19"/>
      <c r="SR21" s="70"/>
      <c r="SS21" s="24"/>
      <c r="ST21" s="16"/>
      <c r="SU21" s="59"/>
      <c r="SV21" s="121"/>
      <c r="SW21" s="20">
        <v>14</v>
      </c>
      <c r="SX21" s="19">
        <v>905.8</v>
      </c>
      <c r="SY21" s="17">
        <v>43463</v>
      </c>
      <c r="SZ21" s="19">
        <v>905.8</v>
      </c>
      <c r="TA21" s="70" t="s">
        <v>666</v>
      </c>
      <c r="TB21" s="24">
        <v>38</v>
      </c>
      <c r="TC21" s="16"/>
      <c r="TD21" s="59"/>
      <c r="TE21" s="121"/>
      <c r="TF21" s="20">
        <v>14</v>
      </c>
      <c r="TG21" s="19">
        <v>951.47</v>
      </c>
      <c r="TH21" s="17">
        <v>43464</v>
      </c>
      <c r="TI21" s="19">
        <v>951.47</v>
      </c>
      <c r="TJ21" s="70" t="s">
        <v>676</v>
      </c>
      <c r="TK21" s="24">
        <v>38</v>
      </c>
      <c r="TM21" s="7"/>
      <c r="TN21" s="2"/>
      <c r="TO21" s="20">
        <v>14</v>
      </c>
      <c r="TP21" s="19">
        <v>920.8</v>
      </c>
      <c r="TQ21" s="17">
        <v>43464</v>
      </c>
      <c r="TR21" s="19">
        <v>920.8</v>
      </c>
      <c r="TS21" s="70" t="s">
        <v>671</v>
      </c>
      <c r="TT21" s="24">
        <v>38</v>
      </c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TYSON FRESH MEATS</v>
      </c>
      <c r="C22" s="16" t="str">
        <f t="shared" si="18"/>
        <v xml:space="preserve">I B P </v>
      </c>
      <c r="D22" s="72" t="str">
        <f t="shared" si="18"/>
        <v>PED. 32095363</v>
      </c>
      <c r="E22" s="155">
        <f t="shared" si="18"/>
        <v>43445</v>
      </c>
      <c r="F22" s="74">
        <f t="shared" si="18"/>
        <v>19109.84</v>
      </c>
      <c r="G22" s="15">
        <f t="shared" si="18"/>
        <v>20</v>
      </c>
      <c r="H22" s="64">
        <f t="shared" si="18"/>
        <v>19169.169999999998</v>
      </c>
      <c r="I22" s="18">
        <f t="shared" si="18"/>
        <v>-59.329999999998108</v>
      </c>
      <c r="K22" s="59"/>
      <c r="L22" s="121"/>
      <c r="M22" s="20">
        <v>15</v>
      </c>
      <c r="N22" s="190">
        <v>902.2</v>
      </c>
      <c r="O22" s="105">
        <v>43435</v>
      </c>
      <c r="P22" s="190">
        <v>902.2</v>
      </c>
      <c r="Q22" s="124" t="s">
        <v>472</v>
      </c>
      <c r="R22" s="103">
        <v>37</v>
      </c>
      <c r="S22" s="16"/>
      <c r="T22" s="59"/>
      <c r="U22" s="121"/>
      <c r="V22" s="20">
        <v>15</v>
      </c>
      <c r="W22" s="190">
        <v>889.5</v>
      </c>
      <c r="X22" s="17">
        <v>43435</v>
      </c>
      <c r="Y22" s="190">
        <v>889.5</v>
      </c>
      <c r="Z22" s="70" t="s">
        <v>474</v>
      </c>
      <c r="AA22" s="24">
        <v>37</v>
      </c>
      <c r="AB22" s="16"/>
      <c r="AC22" s="59"/>
      <c r="AD22" s="121"/>
      <c r="AE22" s="20">
        <v>15</v>
      </c>
      <c r="AF22" s="190">
        <v>951.93</v>
      </c>
      <c r="AG22" s="17">
        <v>43436</v>
      </c>
      <c r="AH22" s="190">
        <v>951.93</v>
      </c>
      <c r="AI22" s="70" t="s">
        <v>462</v>
      </c>
      <c r="AJ22" s="24">
        <v>37</v>
      </c>
      <c r="AK22" s="16"/>
      <c r="AL22" s="59"/>
      <c r="AM22" s="121"/>
      <c r="AN22" s="20">
        <v>15</v>
      </c>
      <c r="AO22" s="19">
        <v>922.9</v>
      </c>
      <c r="AP22" s="17">
        <v>43441</v>
      </c>
      <c r="AQ22" s="19">
        <v>922.9</v>
      </c>
      <c r="AR22" s="70" t="s">
        <v>521</v>
      </c>
      <c r="AS22" s="24">
        <v>38</v>
      </c>
      <c r="AT22" s="16"/>
      <c r="AU22" s="59"/>
      <c r="AV22" s="121"/>
      <c r="AW22" s="20">
        <v>15</v>
      </c>
      <c r="AX22" s="19">
        <v>964.3</v>
      </c>
      <c r="AY22" s="105">
        <v>43441</v>
      </c>
      <c r="AZ22" s="19">
        <v>964.3</v>
      </c>
      <c r="BA22" s="124" t="s">
        <v>520</v>
      </c>
      <c r="BB22" s="414">
        <v>38</v>
      </c>
      <c r="BC22" s="16"/>
      <c r="BD22" s="59"/>
      <c r="BE22" s="121"/>
      <c r="BF22" s="20">
        <v>15</v>
      </c>
      <c r="BG22" s="19">
        <v>915.3</v>
      </c>
      <c r="BH22" s="400">
        <v>43441</v>
      </c>
      <c r="BI22" s="19">
        <v>915.3</v>
      </c>
      <c r="BJ22" s="402" t="s">
        <v>511</v>
      </c>
      <c r="BK22" s="403">
        <v>38</v>
      </c>
      <c r="BL22" s="16"/>
      <c r="BM22" s="59"/>
      <c r="BN22" s="121"/>
      <c r="BO22" s="20">
        <v>15</v>
      </c>
      <c r="BP22" s="19">
        <v>906</v>
      </c>
      <c r="BQ22" s="400">
        <v>43439</v>
      </c>
      <c r="BR22" s="19">
        <v>906</v>
      </c>
      <c r="BS22" s="402" t="s">
        <v>486</v>
      </c>
      <c r="BT22" s="403">
        <v>37</v>
      </c>
      <c r="BU22" s="16"/>
      <c r="BV22" s="59"/>
      <c r="BW22" s="121"/>
      <c r="BX22" s="20">
        <v>15</v>
      </c>
      <c r="BY22" s="30">
        <v>897.5</v>
      </c>
      <c r="BZ22" s="400">
        <v>43438</v>
      </c>
      <c r="CA22" s="30">
        <v>897.5</v>
      </c>
      <c r="CB22" s="402" t="s">
        <v>463</v>
      </c>
      <c r="CC22" s="403">
        <v>37</v>
      </c>
      <c r="CD22" s="16"/>
      <c r="CE22" s="59"/>
      <c r="CF22" s="121"/>
      <c r="CG22" s="20">
        <v>15</v>
      </c>
      <c r="CH22" s="19">
        <v>938.48</v>
      </c>
      <c r="CI22" s="17">
        <v>43439</v>
      </c>
      <c r="CJ22" s="19">
        <v>938.48</v>
      </c>
      <c r="CK22" s="70" t="s">
        <v>494</v>
      </c>
      <c r="CL22" s="24">
        <v>37</v>
      </c>
      <c r="CM22" s="16"/>
      <c r="CN22" s="128"/>
      <c r="CO22" s="121"/>
      <c r="CP22" s="20">
        <v>15</v>
      </c>
      <c r="CQ22" s="19">
        <v>902.64</v>
      </c>
      <c r="CR22" s="17">
        <v>43439</v>
      </c>
      <c r="CS22" s="19">
        <v>902.64</v>
      </c>
      <c r="CT22" s="70" t="s">
        <v>500</v>
      </c>
      <c r="CU22" s="24">
        <v>37</v>
      </c>
      <c r="CV22" s="16"/>
      <c r="CW22" s="59"/>
      <c r="CX22" s="121"/>
      <c r="CY22" s="20">
        <v>15</v>
      </c>
      <c r="CZ22" s="19">
        <v>962.81</v>
      </c>
      <c r="DA22" s="400">
        <v>43440</v>
      </c>
      <c r="DB22" s="19">
        <v>962.81</v>
      </c>
      <c r="DC22" s="402" t="s">
        <v>496</v>
      </c>
      <c r="DD22" s="403">
        <v>38</v>
      </c>
      <c r="DE22" s="16"/>
      <c r="DF22" s="59"/>
      <c r="DG22" s="121"/>
      <c r="DH22" s="20">
        <v>15</v>
      </c>
      <c r="DI22" s="19">
        <v>969.78</v>
      </c>
      <c r="DJ22" s="400">
        <v>43440</v>
      </c>
      <c r="DK22" s="19">
        <v>969.78</v>
      </c>
      <c r="DL22" s="402" t="s">
        <v>508</v>
      </c>
      <c r="DM22" s="403">
        <v>37</v>
      </c>
      <c r="DN22" s="16"/>
      <c r="DO22" s="59"/>
      <c r="DP22" s="121"/>
      <c r="DQ22" s="20">
        <v>15</v>
      </c>
      <c r="DR22" s="30">
        <v>911.11</v>
      </c>
      <c r="DS22" s="58">
        <v>43442</v>
      </c>
      <c r="DT22" s="30">
        <v>911.11</v>
      </c>
      <c r="DU22" s="76" t="s">
        <v>523</v>
      </c>
      <c r="DV22" s="24">
        <v>40</v>
      </c>
      <c r="DW22" s="16"/>
      <c r="DX22" s="59"/>
      <c r="DY22" s="121"/>
      <c r="DZ22" s="20">
        <v>15</v>
      </c>
      <c r="EA22" s="30">
        <v>877.7</v>
      </c>
      <c r="EB22" s="58">
        <v>43444</v>
      </c>
      <c r="EC22" s="30">
        <v>877.7</v>
      </c>
      <c r="ED22" s="76" t="s">
        <v>466</v>
      </c>
      <c r="EE22" s="24">
        <v>42</v>
      </c>
      <c r="EF22" s="16"/>
      <c r="EG22" s="59"/>
      <c r="EH22" s="121"/>
      <c r="EI22" s="20">
        <v>15</v>
      </c>
      <c r="EJ22" s="19">
        <v>901.7</v>
      </c>
      <c r="EK22" s="17">
        <v>43442</v>
      </c>
      <c r="EL22" s="19">
        <v>901.7</v>
      </c>
      <c r="EM22" s="43" t="s">
        <v>504</v>
      </c>
      <c r="EN22" s="24">
        <v>40</v>
      </c>
      <c r="EO22" s="16"/>
      <c r="EP22" s="59"/>
      <c r="EQ22" s="121"/>
      <c r="ER22" s="20">
        <v>15</v>
      </c>
      <c r="ES22" s="19">
        <v>952.83</v>
      </c>
      <c r="ET22" s="17">
        <v>43447</v>
      </c>
      <c r="EU22" s="19">
        <v>952.83</v>
      </c>
      <c r="EV22" s="43" t="s">
        <v>536</v>
      </c>
      <c r="EW22" s="24">
        <v>42</v>
      </c>
      <c r="EX22" s="16"/>
      <c r="EY22" s="59"/>
      <c r="EZ22" s="121"/>
      <c r="FA22" s="20">
        <v>15</v>
      </c>
      <c r="FB22" s="167">
        <v>958.73</v>
      </c>
      <c r="FC22" s="150">
        <v>43445</v>
      </c>
      <c r="FD22" s="167">
        <v>958.73</v>
      </c>
      <c r="FE22" s="110" t="s">
        <v>492</v>
      </c>
      <c r="FF22" s="111">
        <v>42</v>
      </c>
      <c r="FG22" s="16"/>
      <c r="FH22" s="59"/>
      <c r="FI22" s="121"/>
      <c r="FJ22" s="20">
        <v>15</v>
      </c>
      <c r="FK22" s="30">
        <v>901.5</v>
      </c>
      <c r="FL22" s="58">
        <v>43445</v>
      </c>
      <c r="FM22" s="30">
        <v>901.5</v>
      </c>
      <c r="FN22" s="76" t="s">
        <v>480</v>
      </c>
      <c r="FO22" s="24">
        <v>42</v>
      </c>
      <c r="FP22" s="16"/>
      <c r="FQ22" s="59"/>
      <c r="FR22" s="121"/>
      <c r="FS22" s="20">
        <v>15</v>
      </c>
      <c r="FT22" s="19">
        <v>958.44</v>
      </c>
      <c r="FU22" s="150">
        <v>43445</v>
      </c>
      <c r="FV22" s="19">
        <v>958.44</v>
      </c>
      <c r="FW22" s="270" t="s">
        <v>514</v>
      </c>
      <c r="FX22" s="111">
        <v>42</v>
      </c>
      <c r="FY22" s="16"/>
      <c r="FZ22" s="59"/>
      <c r="GA22" s="121"/>
      <c r="GB22" s="20">
        <v>15</v>
      </c>
      <c r="GC22" s="19">
        <v>940.59</v>
      </c>
      <c r="GD22" s="17">
        <v>43446</v>
      </c>
      <c r="GE22" s="19">
        <v>940.59</v>
      </c>
      <c r="GF22" s="70" t="s">
        <v>515</v>
      </c>
      <c r="GG22" s="24">
        <v>42</v>
      </c>
      <c r="GH22" s="16"/>
      <c r="GI22" s="59"/>
      <c r="GJ22" s="121"/>
      <c r="GK22" s="20">
        <v>15</v>
      </c>
      <c r="GL22" s="19">
        <v>951.02</v>
      </c>
      <c r="GM22" s="17">
        <v>43447</v>
      </c>
      <c r="GN22" s="19">
        <v>951.02</v>
      </c>
      <c r="GO22" s="70" t="s">
        <v>540</v>
      </c>
      <c r="GP22" s="24">
        <v>42</v>
      </c>
      <c r="GQ22" s="16"/>
      <c r="GR22" s="59"/>
      <c r="GS22" s="121"/>
      <c r="GT22" s="20">
        <v>15</v>
      </c>
      <c r="GU22" s="19">
        <v>942.6</v>
      </c>
      <c r="GV22" s="105">
        <v>43448</v>
      </c>
      <c r="GW22" s="416">
        <v>942.6</v>
      </c>
      <c r="GX22" s="734" t="s">
        <v>538</v>
      </c>
      <c r="GY22" s="103">
        <v>42</v>
      </c>
      <c r="GZ22" s="16"/>
      <c r="HA22" s="59"/>
      <c r="HB22" s="121"/>
      <c r="HC22" s="20">
        <v>15</v>
      </c>
      <c r="HD22" s="30">
        <v>909</v>
      </c>
      <c r="HE22" s="58">
        <v>43448</v>
      </c>
      <c r="HF22" s="30">
        <v>909</v>
      </c>
      <c r="HG22" s="76" t="s">
        <v>543</v>
      </c>
      <c r="HH22" s="24">
        <v>42</v>
      </c>
      <c r="HI22" s="16"/>
      <c r="HJ22" s="59"/>
      <c r="HK22" s="121"/>
      <c r="HL22" s="20">
        <v>15</v>
      </c>
      <c r="HM22" s="19">
        <v>920.18</v>
      </c>
      <c r="HN22" s="17">
        <v>43449</v>
      </c>
      <c r="HO22" s="19">
        <v>920.18</v>
      </c>
      <c r="HP22" s="593" t="s">
        <v>550</v>
      </c>
      <c r="HQ22" s="24">
        <v>42</v>
      </c>
      <c r="HR22" s="19"/>
      <c r="HS22" s="59"/>
      <c r="HT22" s="121"/>
      <c r="HU22" s="20">
        <v>15</v>
      </c>
      <c r="HV22" s="19">
        <v>919.73</v>
      </c>
      <c r="HW22" s="58">
        <v>43448</v>
      </c>
      <c r="HX22" s="19">
        <v>919.73</v>
      </c>
      <c r="HY22" s="76" t="s">
        <v>546</v>
      </c>
      <c r="HZ22" s="24">
        <v>42</v>
      </c>
      <c r="IA22" s="16"/>
      <c r="IB22" s="59"/>
      <c r="IC22" s="121"/>
      <c r="ID22" s="20">
        <v>15</v>
      </c>
      <c r="IE22" s="19">
        <v>929.4</v>
      </c>
      <c r="IF22" s="17">
        <v>43449</v>
      </c>
      <c r="IG22" s="19">
        <v>929.4</v>
      </c>
      <c r="IH22" s="43" t="s">
        <v>553</v>
      </c>
      <c r="II22" s="24">
        <v>42</v>
      </c>
      <c r="IJ22" s="16"/>
      <c r="IK22" s="59"/>
      <c r="IL22" s="121"/>
      <c r="IM22" s="20">
        <v>15</v>
      </c>
      <c r="IN22" s="30">
        <v>971.43</v>
      </c>
      <c r="IO22" s="626">
        <v>43450</v>
      </c>
      <c r="IP22" s="30">
        <v>971.43</v>
      </c>
      <c r="IQ22" s="76" t="s">
        <v>563</v>
      </c>
      <c r="IR22" s="24">
        <v>42</v>
      </c>
      <c r="IS22" s="16"/>
      <c r="IT22" s="59"/>
      <c r="IU22" s="121"/>
      <c r="IV22" s="20">
        <v>15</v>
      </c>
      <c r="IW22" s="19">
        <v>887.2</v>
      </c>
      <c r="IX22" s="17">
        <v>43451</v>
      </c>
      <c r="IY22" s="19">
        <v>887.2</v>
      </c>
      <c r="IZ22" s="70" t="s">
        <v>564</v>
      </c>
      <c r="JA22" s="24">
        <v>42</v>
      </c>
      <c r="JB22" s="16"/>
      <c r="JC22" s="59"/>
      <c r="JD22" s="121"/>
      <c r="JE22" s="20">
        <v>15</v>
      </c>
      <c r="JF22" s="19">
        <v>913.5</v>
      </c>
      <c r="JG22" s="17">
        <v>43452</v>
      </c>
      <c r="JH22" s="19">
        <v>913.5</v>
      </c>
      <c r="JI22" s="70" t="s">
        <v>573</v>
      </c>
      <c r="JJ22" s="24">
        <v>42</v>
      </c>
      <c r="JK22" s="16"/>
      <c r="JL22" s="59"/>
      <c r="JM22" s="121"/>
      <c r="JN22" s="20">
        <v>15</v>
      </c>
      <c r="JO22" s="19">
        <v>980.05</v>
      </c>
      <c r="JP22" s="17">
        <v>43452</v>
      </c>
      <c r="JQ22" s="19">
        <v>980.05</v>
      </c>
      <c r="JR22" s="70" t="s">
        <v>579</v>
      </c>
      <c r="JS22" s="24">
        <v>42</v>
      </c>
      <c r="JT22" s="16"/>
      <c r="JU22" s="59"/>
      <c r="JV22" s="121"/>
      <c r="JW22" s="20">
        <v>15</v>
      </c>
      <c r="JX22" s="19">
        <v>960.7</v>
      </c>
      <c r="JY22" s="17">
        <v>43454</v>
      </c>
      <c r="JZ22" s="19">
        <v>960.7</v>
      </c>
      <c r="KA22" s="70" t="s">
        <v>590</v>
      </c>
      <c r="KB22" s="24">
        <v>42</v>
      </c>
      <c r="KC22" s="16"/>
      <c r="KD22" s="59"/>
      <c r="KE22" s="121"/>
      <c r="KF22" s="20">
        <v>15</v>
      </c>
      <c r="KG22" s="19">
        <v>862</v>
      </c>
      <c r="KH22" s="17">
        <v>43452</v>
      </c>
      <c r="KI22" s="19">
        <v>862</v>
      </c>
      <c r="KJ22" s="70" t="s">
        <v>581</v>
      </c>
      <c r="KK22" s="24">
        <v>42</v>
      </c>
      <c r="KL22" s="16"/>
      <c r="KM22" s="59"/>
      <c r="KN22" s="121"/>
      <c r="KO22" s="20">
        <v>15</v>
      </c>
      <c r="KP22" s="190">
        <v>901.7</v>
      </c>
      <c r="KQ22" s="105">
        <v>43453</v>
      </c>
      <c r="KR22" s="190">
        <v>901.7</v>
      </c>
      <c r="KS22" s="124" t="s">
        <v>584</v>
      </c>
      <c r="KT22" s="103">
        <v>42</v>
      </c>
      <c r="KU22" s="16"/>
      <c r="KV22" s="59"/>
      <c r="KW22" s="121"/>
      <c r="KX22" s="20">
        <v>15</v>
      </c>
      <c r="KY22" s="190">
        <v>967.8</v>
      </c>
      <c r="KZ22" s="17">
        <v>43453</v>
      </c>
      <c r="LA22" s="190">
        <v>967.8</v>
      </c>
      <c r="LB22" s="70" t="s">
        <v>561</v>
      </c>
      <c r="LC22" s="24">
        <v>42</v>
      </c>
      <c r="LD22" s="16"/>
      <c r="LE22" s="59"/>
      <c r="LF22" s="121"/>
      <c r="LG22" s="20">
        <v>15</v>
      </c>
      <c r="LH22" s="19">
        <v>921.54</v>
      </c>
      <c r="LI22" s="17">
        <v>43454</v>
      </c>
      <c r="LJ22" s="19">
        <v>921.54</v>
      </c>
      <c r="LK22" s="70" t="s">
        <v>591</v>
      </c>
      <c r="LL22" s="24">
        <v>42</v>
      </c>
      <c r="LM22" s="16"/>
      <c r="LN22" s="59"/>
      <c r="LO22" s="121"/>
      <c r="LP22" s="20">
        <v>15</v>
      </c>
      <c r="LQ22" s="190">
        <v>935.6</v>
      </c>
      <c r="LR22" s="17">
        <v>43455</v>
      </c>
      <c r="LS22" s="190">
        <v>935.6</v>
      </c>
      <c r="LT22" s="70" t="s">
        <v>599</v>
      </c>
      <c r="LU22" s="24">
        <v>42</v>
      </c>
      <c r="LV22" s="16"/>
      <c r="LW22" s="59"/>
      <c r="LX22" s="121"/>
      <c r="LY22" s="20">
        <v>15</v>
      </c>
      <c r="LZ22" s="19">
        <v>944.4</v>
      </c>
      <c r="MA22" s="17">
        <v>43455</v>
      </c>
      <c r="MB22" s="19">
        <v>944.4</v>
      </c>
      <c r="MC22" s="70" t="s">
        <v>604</v>
      </c>
      <c r="MD22" s="24">
        <v>42</v>
      </c>
      <c r="ME22" s="16"/>
      <c r="MF22" s="59"/>
      <c r="MG22" s="121"/>
      <c r="MH22" s="20">
        <v>15</v>
      </c>
      <c r="MI22" s="167">
        <v>887.7</v>
      </c>
      <c r="MJ22" s="150">
        <v>43455</v>
      </c>
      <c r="MK22" s="167">
        <v>887.7</v>
      </c>
      <c r="ML22" s="270" t="s">
        <v>608</v>
      </c>
      <c r="MM22" s="111">
        <v>42</v>
      </c>
      <c r="MN22" s="16"/>
      <c r="MO22" s="59"/>
      <c r="MP22" s="121"/>
      <c r="MQ22" s="20">
        <v>15</v>
      </c>
      <c r="MR22" s="19">
        <v>943.31</v>
      </c>
      <c r="MS22" s="17">
        <v>43457</v>
      </c>
      <c r="MT22" s="19">
        <v>943.31</v>
      </c>
      <c r="MU22" s="70" t="s">
        <v>628</v>
      </c>
      <c r="MV22" s="24">
        <v>42</v>
      </c>
      <c r="MW22" s="16"/>
      <c r="MX22" s="59"/>
      <c r="MY22" s="121"/>
      <c r="MZ22" s="20">
        <v>15</v>
      </c>
      <c r="NA22" s="19">
        <v>930.8</v>
      </c>
      <c r="NB22" s="17">
        <v>43460</v>
      </c>
      <c r="NC22" s="19">
        <v>930.8</v>
      </c>
      <c r="ND22" s="70" t="s">
        <v>635</v>
      </c>
      <c r="NE22" s="24">
        <v>38</v>
      </c>
      <c r="NF22" s="16"/>
      <c r="NG22" s="59"/>
      <c r="NH22" s="121"/>
      <c r="NI22" s="20">
        <v>15</v>
      </c>
      <c r="NJ22" s="19">
        <v>888.6</v>
      </c>
      <c r="NK22" s="17">
        <v>43456</v>
      </c>
      <c r="NL22" s="19">
        <v>888.6</v>
      </c>
      <c r="NM22" s="70" t="s">
        <v>614</v>
      </c>
      <c r="NN22" s="24">
        <v>42</v>
      </c>
      <c r="NO22" s="16"/>
      <c r="NP22" s="59"/>
      <c r="NQ22" s="171"/>
      <c r="NR22" s="20">
        <v>15</v>
      </c>
      <c r="NS22" s="19">
        <v>916.7</v>
      </c>
      <c r="NT22" s="17">
        <v>43456</v>
      </c>
      <c r="NU22" s="19">
        <v>916.7</v>
      </c>
      <c r="NV22" s="70" t="s">
        <v>616</v>
      </c>
      <c r="NW22" s="24">
        <v>42</v>
      </c>
      <c r="NX22" s="16"/>
      <c r="NY22" s="59"/>
      <c r="NZ22" s="121"/>
      <c r="OA22" s="20">
        <v>15</v>
      </c>
      <c r="OB22" s="19">
        <v>906.12</v>
      </c>
      <c r="OC22" s="105">
        <v>43456</v>
      </c>
      <c r="OD22" s="19">
        <v>906.12</v>
      </c>
      <c r="OE22" s="124" t="s">
        <v>620</v>
      </c>
      <c r="OF22" s="103">
        <v>42</v>
      </c>
      <c r="OG22" s="16"/>
      <c r="OH22" s="59"/>
      <c r="OI22" s="121"/>
      <c r="OJ22" s="20">
        <v>15</v>
      </c>
      <c r="OK22" s="19">
        <v>882.7</v>
      </c>
      <c r="OL22" s="17">
        <v>43456</v>
      </c>
      <c r="OM22" s="19">
        <v>882.7</v>
      </c>
      <c r="ON22" s="70" t="s">
        <v>618</v>
      </c>
      <c r="OO22" s="482">
        <v>42</v>
      </c>
      <c r="OP22" s="16"/>
      <c r="OQ22" s="59"/>
      <c r="OR22" s="121"/>
      <c r="OS22" s="20">
        <v>15</v>
      </c>
      <c r="OT22" s="19">
        <v>915.3</v>
      </c>
      <c r="OU22" s="17">
        <v>43457</v>
      </c>
      <c r="OV22" s="19">
        <v>915.3</v>
      </c>
      <c r="OW22" s="70" t="s">
        <v>627</v>
      </c>
      <c r="OX22" s="24">
        <v>42</v>
      </c>
      <c r="OY22" s="16"/>
      <c r="OZ22" s="59"/>
      <c r="PA22" s="121"/>
      <c r="PB22" s="20">
        <v>15</v>
      </c>
      <c r="PC22" s="19">
        <v>894.33</v>
      </c>
      <c r="PD22" s="17">
        <v>43458</v>
      </c>
      <c r="PE22" s="19">
        <v>894.33</v>
      </c>
      <c r="PF22" s="70" t="s">
        <v>630</v>
      </c>
      <c r="PG22" s="24">
        <v>42</v>
      </c>
      <c r="PH22" s="16"/>
      <c r="PI22" s="59"/>
      <c r="PJ22" s="121"/>
      <c r="PK22" s="20">
        <v>15</v>
      </c>
      <c r="PL22" s="19">
        <v>895</v>
      </c>
      <c r="PM22" s="17">
        <v>43461</v>
      </c>
      <c r="PN22" s="19">
        <v>895</v>
      </c>
      <c r="PO22" s="70" t="s">
        <v>650</v>
      </c>
      <c r="PP22" s="24">
        <v>38</v>
      </c>
      <c r="PQ22" s="16"/>
      <c r="PR22" s="59"/>
      <c r="PS22" s="121"/>
      <c r="PT22" s="20">
        <v>15</v>
      </c>
      <c r="PU22" s="19">
        <v>930.77</v>
      </c>
      <c r="PV22" s="17">
        <v>43462</v>
      </c>
      <c r="PW22" s="19">
        <v>930.77</v>
      </c>
      <c r="PX22" s="270" t="s">
        <v>658</v>
      </c>
      <c r="PY22" s="24">
        <v>38</v>
      </c>
      <c r="PZ22" s="16"/>
      <c r="QA22" s="59"/>
      <c r="QB22" s="121"/>
      <c r="QC22" s="20">
        <v>15</v>
      </c>
      <c r="QD22" s="19">
        <v>934.85</v>
      </c>
      <c r="QE22" s="105">
        <v>43462</v>
      </c>
      <c r="QF22" s="19">
        <v>934.85</v>
      </c>
      <c r="QG22" s="124" t="s">
        <v>643</v>
      </c>
      <c r="QH22" s="414">
        <v>38</v>
      </c>
      <c r="QI22" s="16"/>
      <c r="QJ22" s="59"/>
      <c r="QK22" s="121"/>
      <c r="QL22" s="20">
        <v>15</v>
      </c>
      <c r="QM22" s="19">
        <v>941.2</v>
      </c>
      <c r="QN22" s="17">
        <v>43461</v>
      </c>
      <c r="QO22" s="19">
        <v>941.2</v>
      </c>
      <c r="QP22" s="70" t="s">
        <v>646</v>
      </c>
      <c r="QQ22" s="24">
        <v>38</v>
      </c>
      <c r="QR22" s="16"/>
      <c r="QS22" s="59"/>
      <c r="QT22" s="121"/>
      <c r="QU22" s="20">
        <v>15</v>
      </c>
      <c r="QV22" s="19">
        <v>962.06</v>
      </c>
      <c r="QW22" s="17">
        <v>43461</v>
      </c>
      <c r="QX22" s="19">
        <v>962.06</v>
      </c>
      <c r="QY22" s="70" t="s">
        <v>655</v>
      </c>
      <c r="QZ22" s="24">
        <v>38</v>
      </c>
      <c r="RA22" s="16"/>
      <c r="RB22" s="59"/>
      <c r="RC22" s="121"/>
      <c r="RD22" s="20"/>
      <c r="RE22" s="19"/>
      <c r="RF22" s="17"/>
      <c r="RG22" s="19"/>
      <c r="RH22" s="70"/>
      <c r="RI22" s="24"/>
      <c r="RJ22" s="16"/>
      <c r="RK22" s="59"/>
      <c r="RL22" s="121"/>
      <c r="RM22" s="20">
        <v>15</v>
      </c>
      <c r="RN22" s="19">
        <v>945.12</v>
      </c>
      <c r="RO22" s="400">
        <v>43462</v>
      </c>
      <c r="RP22" s="401">
        <v>945.12</v>
      </c>
      <c r="RQ22" s="402" t="s">
        <v>660</v>
      </c>
      <c r="RR22" s="403">
        <v>38</v>
      </c>
      <c r="RS22" s="16"/>
      <c r="RT22" s="59"/>
      <c r="RU22" s="121"/>
      <c r="RV22" s="20"/>
      <c r="RW22" s="19"/>
      <c r="RX22" s="17"/>
      <c r="RY22" s="19"/>
      <c r="RZ22" s="70"/>
      <c r="SA22" s="24"/>
      <c r="SB22" s="16"/>
      <c r="SC22" s="59"/>
      <c r="SD22" s="121"/>
      <c r="SE22" s="20">
        <v>15</v>
      </c>
      <c r="SF22" s="19">
        <v>926.53</v>
      </c>
      <c r="SG22" s="17">
        <v>43463</v>
      </c>
      <c r="SH22" s="19">
        <v>926.53</v>
      </c>
      <c r="SI22" s="70" t="s">
        <v>667</v>
      </c>
      <c r="SJ22" s="24">
        <v>38</v>
      </c>
      <c r="SK22" s="16"/>
      <c r="SL22" s="59"/>
      <c r="SM22" s="121"/>
      <c r="SN22" s="20"/>
      <c r="SO22" s="19"/>
      <c r="SP22" s="17"/>
      <c r="SQ22" s="19"/>
      <c r="SR22" s="70"/>
      <c r="SS22" s="24"/>
      <c r="ST22" s="16"/>
      <c r="SU22" s="59"/>
      <c r="SV22" s="121"/>
      <c r="SW22" s="20">
        <v>15</v>
      </c>
      <c r="SX22" s="19">
        <v>912.2</v>
      </c>
      <c r="SY22" s="17">
        <v>43463</v>
      </c>
      <c r="SZ22" s="19">
        <v>912.2</v>
      </c>
      <c r="TA22" s="70" t="s">
        <v>666</v>
      </c>
      <c r="TB22" s="24">
        <v>38</v>
      </c>
      <c r="TC22" s="16"/>
      <c r="TD22" s="59"/>
      <c r="TE22" s="121"/>
      <c r="TF22" s="20">
        <v>15</v>
      </c>
      <c r="TG22" s="19">
        <v>973.24</v>
      </c>
      <c r="TH22" s="17">
        <v>43464</v>
      </c>
      <c r="TI22" s="19">
        <v>973.24</v>
      </c>
      <c r="TJ22" s="70" t="s">
        <v>676</v>
      </c>
      <c r="TK22" s="24">
        <v>38</v>
      </c>
      <c r="TM22" s="7"/>
      <c r="TN22" s="2"/>
      <c r="TO22" s="20">
        <v>15</v>
      </c>
      <c r="TP22" s="19">
        <v>929</v>
      </c>
      <c r="TQ22" s="17">
        <v>43464</v>
      </c>
      <c r="TR22" s="19">
        <v>929</v>
      </c>
      <c r="TS22" s="70" t="s">
        <v>671</v>
      </c>
      <c r="TT22" s="24">
        <v>38</v>
      </c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SMITHFIELD FRESH MEATS</v>
      </c>
      <c r="C23" s="16" t="str">
        <f>GB5</f>
        <v>PED. 32128646</v>
      </c>
      <c r="D23" s="72" t="str">
        <f>GB5</f>
        <v>PED. 32128646</v>
      </c>
      <c r="E23" s="155">
        <f t="shared" si="19"/>
        <v>43446</v>
      </c>
      <c r="F23" s="74">
        <f t="shared" si="19"/>
        <v>18836.439999999999</v>
      </c>
      <c r="G23" s="15">
        <f t="shared" si="19"/>
        <v>20</v>
      </c>
      <c r="H23" s="64">
        <f t="shared" si="19"/>
        <v>18963.259999999998</v>
      </c>
      <c r="I23" s="18">
        <f t="shared" si="19"/>
        <v>-126.81999999999971</v>
      </c>
      <c r="K23" s="59"/>
      <c r="L23" s="121"/>
      <c r="M23" s="20">
        <v>16</v>
      </c>
      <c r="N23" s="190">
        <v>928</v>
      </c>
      <c r="O23" s="105">
        <v>43435</v>
      </c>
      <c r="P23" s="190">
        <v>928</v>
      </c>
      <c r="Q23" s="124" t="s">
        <v>472</v>
      </c>
      <c r="R23" s="103">
        <v>37</v>
      </c>
      <c r="S23" s="16"/>
      <c r="T23" s="59"/>
      <c r="U23" s="121"/>
      <c r="V23" s="20">
        <v>16</v>
      </c>
      <c r="W23" s="190">
        <v>862.7</v>
      </c>
      <c r="X23" s="17">
        <v>43435</v>
      </c>
      <c r="Y23" s="190">
        <v>862.7</v>
      </c>
      <c r="Z23" s="70" t="s">
        <v>474</v>
      </c>
      <c r="AA23" s="24">
        <v>37</v>
      </c>
      <c r="AB23" s="16"/>
      <c r="AC23" s="59"/>
      <c r="AD23" s="121"/>
      <c r="AE23" s="20">
        <v>16</v>
      </c>
      <c r="AF23" s="190">
        <v>935.15</v>
      </c>
      <c r="AG23" s="17">
        <v>43436</v>
      </c>
      <c r="AH23" s="190">
        <v>935.15</v>
      </c>
      <c r="AI23" s="70" t="s">
        <v>462</v>
      </c>
      <c r="AJ23" s="24">
        <v>37</v>
      </c>
      <c r="AK23" s="16"/>
      <c r="AL23" s="59"/>
      <c r="AM23" s="121"/>
      <c r="AN23" s="20">
        <v>16</v>
      </c>
      <c r="AO23" s="19">
        <v>940.14</v>
      </c>
      <c r="AP23" s="17">
        <v>43441</v>
      </c>
      <c r="AQ23" s="19">
        <v>940.14</v>
      </c>
      <c r="AR23" s="70" t="s">
        <v>521</v>
      </c>
      <c r="AS23" s="24">
        <v>38</v>
      </c>
      <c r="AT23" s="16"/>
      <c r="AU23" s="59"/>
      <c r="AV23" s="121"/>
      <c r="AW23" s="20">
        <v>16</v>
      </c>
      <c r="AX23" s="19">
        <v>899</v>
      </c>
      <c r="AY23" s="105">
        <v>43441</v>
      </c>
      <c r="AZ23" s="19">
        <v>899</v>
      </c>
      <c r="BA23" s="124" t="s">
        <v>520</v>
      </c>
      <c r="BB23" s="414">
        <v>38</v>
      </c>
      <c r="BC23" s="16"/>
      <c r="BD23" s="59"/>
      <c r="BE23" s="121"/>
      <c r="BF23" s="20">
        <v>16</v>
      </c>
      <c r="BG23" s="19">
        <v>883.6</v>
      </c>
      <c r="BH23" s="400">
        <v>43441</v>
      </c>
      <c r="BI23" s="19">
        <v>883.6</v>
      </c>
      <c r="BJ23" s="402" t="s">
        <v>511</v>
      </c>
      <c r="BK23" s="403">
        <v>38</v>
      </c>
      <c r="BL23" s="16"/>
      <c r="BM23" s="59"/>
      <c r="BN23" s="121"/>
      <c r="BO23" s="20">
        <v>16</v>
      </c>
      <c r="BP23" s="19">
        <v>885</v>
      </c>
      <c r="BQ23" s="400">
        <v>43438</v>
      </c>
      <c r="BR23" s="19">
        <v>885</v>
      </c>
      <c r="BS23" s="402" t="s">
        <v>484</v>
      </c>
      <c r="BT23" s="403">
        <v>37</v>
      </c>
      <c r="BU23" s="16"/>
      <c r="BV23" s="59"/>
      <c r="BW23" s="121"/>
      <c r="BX23" s="20">
        <v>16</v>
      </c>
      <c r="BY23" s="19">
        <v>904.5</v>
      </c>
      <c r="BZ23" s="400">
        <v>43438</v>
      </c>
      <c r="CA23" s="19">
        <v>904.5</v>
      </c>
      <c r="CB23" s="402" t="s">
        <v>463</v>
      </c>
      <c r="CC23" s="403">
        <v>37</v>
      </c>
      <c r="CD23" s="16"/>
      <c r="CE23" s="59"/>
      <c r="CF23" s="121"/>
      <c r="CG23" s="20">
        <v>16</v>
      </c>
      <c r="CH23" s="19">
        <v>943.01</v>
      </c>
      <c r="CI23" s="17">
        <v>43439</v>
      </c>
      <c r="CJ23" s="19">
        <v>943.01</v>
      </c>
      <c r="CK23" s="70" t="s">
        <v>494</v>
      </c>
      <c r="CL23" s="24">
        <v>37</v>
      </c>
      <c r="CM23" s="16"/>
      <c r="CN23" s="128"/>
      <c r="CO23" s="121"/>
      <c r="CP23" s="20">
        <v>16</v>
      </c>
      <c r="CQ23" s="19">
        <v>898.56</v>
      </c>
      <c r="CR23" s="17">
        <v>43439</v>
      </c>
      <c r="CS23" s="19">
        <v>898.56</v>
      </c>
      <c r="CT23" s="70" t="s">
        <v>500</v>
      </c>
      <c r="CU23" s="24">
        <v>37</v>
      </c>
      <c r="CV23" s="16"/>
      <c r="CW23" s="59"/>
      <c r="CX23" s="121"/>
      <c r="CY23" s="20">
        <v>16</v>
      </c>
      <c r="CZ23" s="19">
        <v>925.17</v>
      </c>
      <c r="DA23" s="400">
        <v>43075</v>
      </c>
      <c r="DB23" s="19">
        <v>925.17</v>
      </c>
      <c r="DC23" s="402" t="s">
        <v>496</v>
      </c>
      <c r="DD23" s="403">
        <v>38</v>
      </c>
      <c r="DE23" s="16"/>
      <c r="DF23" s="59"/>
      <c r="DG23" s="121"/>
      <c r="DH23" s="20">
        <v>16</v>
      </c>
      <c r="DI23" s="19">
        <v>973.4</v>
      </c>
      <c r="DJ23" s="400">
        <v>43440</v>
      </c>
      <c r="DK23" s="19">
        <v>973.4</v>
      </c>
      <c r="DL23" s="402" t="s">
        <v>508</v>
      </c>
      <c r="DM23" s="403">
        <v>37</v>
      </c>
      <c r="DN23" s="16"/>
      <c r="DO23" s="59"/>
      <c r="DP23" s="121"/>
      <c r="DQ23" s="20">
        <v>16</v>
      </c>
      <c r="DR23" s="30">
        <v>940.14</v>
      </c>
      <c r="DS23" s="58">
        <v>43442</v>
      </c>
      <c r="DT23" s="30">
        <v>940.14</v>
      </c>
      <c r="DU23" s="76" t="s">
        <v>523</v>
      </c>
      <c r="DV23" s="24">
        <v>40</v>
      </c>
      <c r="DW23" s="16"/>
      <c r="DX23" s="59"/>
      <c r="DY23" s="121"/>
      <c r="DZ23" s="20">
        <v>16</v>
      </c>
      <c r="EA23" s="30">
        <v>894</v>
      </c>
      <c r="EB23" s="58">
        <v>43444</v>
      </c>
      <c r="EC23" s="30">
        <v>894</v>
      </c>
      <c r="ED23" s="76" t="s">
        <v>466</v>
      </c>
      <c r="EE23" s="24">
        <v>42</v>
      </c>
      <c r="EF23" s="16"/>
      <c r="EG23" s="59"/>
      <c r="EH23" s="121"/>
      <c r="EI23" s="20">
        <v>16</v>
      </c>
      <c r="EJ23" s="19">
        <v>863.2</v>
      </c>
      <c r="EK23" s="17">
        <v>43442</v>
      </c>
      <c r="EL23" s="19">
        <v>863.2</v>
      </c>
      <c r="EM23" s="43" t="s">
        <v>504</v>
      </c>
      <c r="EN23" s="24">
        <v>40</v>
      </c>
      <c r="EO23" s="16"/>
      <c r="EP23" s="59"/>
      <c r="EQ23" s="121"/>
      <c r="ER23" s="20">
        <v>16</v>
      </c>
      <c r="ES23" s="19">
        <v>932.43</v>
      </c>
      <c r="ET23" s="17">
        <v>43447</v>
      </c>
      <c r="EU23" s="19">
        <v>932.43</v>
      </c>
      <c r="EV23" s="43" t="s">
        <v>536</v>
      </c>
      <c r="EW23" s="24">
        <v>42</v>
      </c>
      <c r="EX23" s="16"/>
      <c r="EY23" s="59"/>
      <c r="EZ23" s="121"/>
      <c r="FA23" s="20">
        <v>16</v>
      </c>
      <c r="FB23" s="167">
        <v>950.57</v>
      </c>
      <c r="FC23" s="150">
        <v>43445</v>
      </c>
      <c r="FD23" s="167">
        <v>950.57</v>
      </c>
      <c r="FE23" s="110" t="s">
        <v>492</v>
      </c>
      <c r="FF23" s="111">
        <v>42</v>
      </c>
      <c r="FG23" s="16"/>
      <c r="FH23" s="59"/>
      <c r="FI23" s="121"/>
      <c r="FJ23" s="20">
        <v>16</v>
      </c>
      <c r="FK23" s="30">
        <v>897.5</v>
      </c>
      <c r="FL23" s="58">
        <v>43445</v>
      </c>
      <c r="FM23" s="30">
        <v>897.5</v>
      </c>
      <c r="FN23" s="76" t="s">
        <v>480</v>
      </c>
      <c r="FO23" s="24">
        <v>42</v>
      </c>
      <c r="FP23" s="16"/>
      <c r="FQ23" s="59"/>
      <c r="FR23" s="121"/>
      <c r="FS23" s="20">
        <v>16</v>
      </c>
      <c r="FT23" s="19">
        <v>945.74</v>
      </c>
      <c r="FU23" s="150">
        <v>43445</v>
      </c>
      <c r="FV23" s="19">
        <v>945.74</v>
      </c>
      <c r="FW23" s="270" t="s">
        <v>514</v>
      </c>
      <c r="FX23" s="111">
        <v>42</v>
      </c>
      <c r="FY23" s="16"/>
      <c r="FZ23" s="59"/>
      <c r="GA23" s="121"/>
      <c r="GB23" s="20">
        <v>16</v>
      </c>
      <c r="GC23" s="19">
        <v>986.39</v>
      </c>
      <c r="GD23" s="17">
        <v>43446</v>
      </c>
      <c r="GE23" s="19">
        <v>986.39</v>
      </c>
      <c r="GF23" s="70" t="s">
        <v>515</v>
      </c>
      <c r="GG23" s="24">
        <v>42</v>
      </c>
      <c r="GH23" s="16"/>
      <c r="GI23" s="59"/>
      <c r="GJ23" s="121"/>
      <c r="GK23" s="20">
        <v>16</v>
      </c>
      <c r="GL23" s="19">
        <v>951.47</v>
      </c>
      <c r="GM23" s="17">
        <v>43447</v>
      </c>
      <c r="GN23" s="19">
        <v>951.47</v>
      </c>
      <c r="GO23" s="70" t="s">
        <v>540</v>
      </c>
      <c r="GP23" s="24">
        <v>42</v>
      </c>
      <c r="GQ23" s="16"/>
      <c r="GR23" s="59"/>
      <c r="GS23" s="121"/>
      <c r="GT23" s="20">
        <v>16</v>
      </c>
      <c r="GU23" s="19">
        <v>885</v>
      </c>
      <c r="GV23" s="17">
        <v>43448</v>
      </c>
      <c r="GW23" s="19">
        <v>885</v>
      </c>
      <c r="GX23" s="311" t="s">
        <v>538</v>
      </c>
      <c r="GY23" s="24">
        <v>42</v>
      </c>
      <c r="GZ23" s="16"/>
      <c r="HA23" s="59"/>
      <c r="HB23" s="121"/>
      <c r="HC23" s="20">
        <v>16</v>
      </c>
      <c r="HD23" s="30">
        <v>895.4</v>
      </c>
      <c r="HE23" s="58">
        <v>43448</v>
      </c>
      <c r="HF23" s="30">
        <v>895.4</v>
      </c>
      <c r="HG23" s="76" t="s">
        <v>543</v>
      </c>
      <c r="HH23" s="24">
        <v>42</v>
      </c>
      <c r="HI23" s="16"/>
      <c r="HJ23" s="59"/>
      <c r="HK23" s="121"/>
      <c r="HL23" s="20">
        <v>16</v>
      </c>
      <c r="HM23" s="19">
        <v>960.09</v>
      </c>
      <c r="HN23" s="17">
        <v>43449</v>
      </c>
      <c r="HO23" s="19">
        <v>960.09</v>
      </c>
      <c r="HP23" s="593" t="s">
        <v>550</v>
      </c>
      <c r="HQ23" s="24">
        <v>42</v>
      </c>
      <c r="HR23" s="18"/>
      <c r="HS23" s="30"/>
      <c r="HT23" s="121"/>
      <c r="HU23" s="20">
        <v>16</v>
      </c>
      <c r="HV23" s="19">
        <v>988.66</v>
      </c>
      <c r="HW23" s="58">
        <v>43448</v>
      </c>
      <c r="HX23" s="19">
        <v>988.66</v>
      </c>
      <c r="HY23" s="76" t="s">
        <v>546</v>
      </c>
      <c r="HZ23" s="24">
        <v>42</v>
      </c>
      <c r="IA23" s="16"/>
      <c r="IB23" s="59"/>
      <c r="IC23" s="121"/>
      <c r="ID23" s="20">
        <v>16</v>
      </c>
      <c r="IE23" s="19">
        <v>938.9</v>
      </c>
      <c r="IF23" s="17">
        <v>43449</v>
      </c>
      <c r="IG23" s="19">
        <v>938.9</v>
      </c>
      <c r="IH23" s="43" t="s">
        <v>553</v>
      </c>
      <c r="II23" s="24">
        <v>42</v>
      </c>
      <c r="IJ23" s="16"/>
      <c r="IK23" s="59"/>
      <c r="IL23" s="121"/>
      <c r="IM23" s="20">
        <v>16</v>
      </c>
      <c r="IN23" s="30">
        <v>958.73</v>
      </c>
      <c r="IO23" s="626">
        <v>43450</v>
      </c>
      <c r="IP23" s="30">
        <v>958.73</v>
      </c>
      <c r="IQ23" s="76" t="s">
        <v>563</v>
      </c>
      <c r="IR23" s="24">
        <v>42</v>
      </c>
      <c r="IS23" s="16"/>
      <c r="IT23" s="59"/>
      <c r="IU23" s="121"/>
      <c r="IV23" s="20">
        <v>16</v>
      </c>
      <c r="IW23" s="19">
        <v>901.3</v>
      </c>
      <c r="IX23" s="17">
        <v>43451</v>
      </c>
      <c r="IY23" s="19">
        <v>901.3</v>
      </c>
      <c r="IZ23" s="70" t="s">
        <v>570</v>
      </c>
      <c r="JA23" s="24">
        <v>42</v>
      </c>
      <c r="JB23" s="16"/>
      <c r="JC23" s="59"/>
      <c r="JD23" s="121"/>
      <c r="JE23" s="20">
        <v>16</v>
      </c>
      <c r="JF23" s="19">
        <v>892.7</v>
      </c>
      <c r="JG23" s="17">
        <v>43452</v>
      </c>
      <c r="JH23" s="19">
        <v>892.7</v>
      </c>
      <c r="JI23" s="70" t="s">
        <v>573</v>
      </c>
      <c r="JJ23" s="24">
        <v>42</v>
      </c>
      <c r="JK23" s="16"/>
      <c r="JL23" s="59"/>
      <c r="JM23" s="121"/>
      <c r="JN23" s="20">
        <v>16</v>
      </c>
      <c r="JO23" s="19">
        <v>946.94</v>
      </c>
      <c r="JP23" s="17">
        <v>43452</v>
      </c>
      <c r="JQ23" s="19">
        <v>946.94</v>
      </c>
      <c r="JR23" s="70" t="s">
        <v>579</v>
      </c>
      <c r="JS23" s="24">
        <v>42</v>
      </c>
      <c r="JT23" s="16"/>
      <c r="JU23" s="59"/>
      <c r="JV23" s="121"/>
      <c r="JW23" s="20">
        <v>16</v>
      </c>
      <c r="JX23" s="19">
        <v>906.27</v>
      </c>
      <c r="JY23" s="17">
        <v>43454</v>
      </c>
      <c r="JZ23" s="19">
        <v>906.27</v>
      </c>
      <c r="KA23" s="70" t="s">
        <v>590</v>
      </c>
      <c r="KB23" s="24">
        <v>42</v>
      </c>
      <c r="KC23" s="16"/>
      <c r="KD23" s="59"/>
      <c r="KE23" s="121"/>
      <c r="KF23" s="20">
        <v>16</v>
      </c>
      <c r="KG23" s="19">
        <v>905</v>
      </c>
      <c r="KH23" s="17">
        <v>43452</v>
      </c>
      <c r="KI23" s="19">
        <v>905</v>
      </c>
      <c r="KJ23" s="70" t="s">
        <v>581</v>
      </c>
      <c r="KK23" s="24">
        <v>42</v>
      </c>
      <c r="KL23" s="16"/>
      <c r="KM23" s="59"/>
      <c r="KN23" s="121"/>
      <c r="KO23" s="20">
        <v>16</v>
      </c>
      <c r="KP23" s="190">
        <v>913.1</v>
      </c>
      <c r="KQ23" s="105">
        <v>43453</v>
      </c>
      <c r="KR23" s="190">
        <v>913.1</v>
      </c>
      <c r="KS23" s="124" t="s">
        <v>584</v>
      </c>
      <c r="KT23" s="103">
        <v>42</v>
      </c>
      <c r="KU23" s="16"/>
      <c r="KV23" s="59"/>
      <c r="KW23" s="121"/>
      <c r="KX23" s="20">
        <v>16</v>
      </c>
      <c r="KY23" s="190">
        <v>907.03</v>
      </c>
      <c r="KZ23" s="17">
        <v>43453</v>
      </c>
      <c r="LA23" s="190">
        <v>907.03</v>
      </c>
      <c r="LB23" s="70" t="s">
        <v>561</v>
      </c>
      <c r="LC23" s="24">
        <v>42</v>
      </c>
      <c r="LD23" s="16"/>
      <c r="LE23" s="59"/>
      <c r="LF23" s="121"/>
      <c r="LG23" s="20">
        <v>16</v>
      </c>
      <c r="LH23" s="19">
        <v>931.97</v>
      </c>
      <c r="LI23" s="17">
        <v>43454</v>
      </c>
      <c r="LJ23" s="19">
        <v>931.97</v>
      </c>
      <c r="LK23" s="70" t="s">
        <v>591</v>
      </c>
      <c r="LL23" s="24">
        <v>42</v>
      </c>
      <c r="LM23" s="16"/>
      <c r="LN23" s="59"/>
      <c r="LO23" s="121"/>
      <c r="LP23" s="20">
        <v>16</v>
      </c>
      <c r="LQ23" s="190">
        <v>871.66</v>
      </c>
      <c r="LR23" s="17">
        <v>43455</v>
      </c>
      <c r="LS23" s="190">
        <v>871.66</v>
      </c>
      <c r="LT23" s="70" t="s">
        <v>599</v>
      </c>
      <c r="LU23" s="24">
        <v>42</v>
      </c>
      <c r="LV23" s="16"/>
      <c r="LW23" s="59"/>
      <c r="LX23" s="121"/>
      <c r="LY23" s="20">
        <v>16</v>
      </c>
      <c r="LZ23" s="19">
        <v>956.6</v>
      </c>
      <c r="MA23" s="17">
        <v>43455</v>
      </c>
      <c r="MB23" s="19">
        <v>956.6</v>
      </c>
      <c r="MC23" s="70" t="s">
        <v>605</v>
      </c>
      <c r="MD23" s="24">
        <v>42</v>
      </c>
      <c r="ME23" s="16"/>
      <c r="MF23" s="59"/>
      <c r="MG23" s="121"/>
      <c r="MH23" s="20">
        <v>16</v>
      </c>
      <c r="MI23" s="167">
        <v>908.5</v>
      </c>
      <c r="MJ23" s="150">
        <v>43455</v>
      </c>
      <c r="MK23" s="167">
        <v>908.5</v>
      </c>
      <c r="ML23" s="270" t="s">
        <v>608</v>
      </c>
      <c r="MM23" s="111">
        <v>42</v>
      </c>
      <c r="MN23" s="16"/>
      <c r="MO23" s="59"/>
      <c r="MP23" s="121"/>
      <c r="MQ23" s="20">
        <v>16</v>
      </c>
      <c r="MR23" s="19">
        <v>964.17</v>
      </c>
      <c r="MS23" s="17">
        <v>43457</v>
      </c>
      <c r="MT23" s="19">
        <v>964.17</v>
      </c>
      <c r="MU23" s="70" t="s">
        <v>628</v>
      </c>
      <c r="MV23" s="24">
        <v>42</v>
      </c>
      <c r="MW23" s="16"/>
      <c r="MX23" s="59"/>
      <c r="MY23" s="121"/>
      <c r="MZ23" s="20">
        <v>16</v>
      </c>
      <c r="NA23" s="19">
        <v>882.2</v>
      </c>
      <c r="NB23" s="17">
        <v>43460</v>
      </c>
      <c r="NC23" s="19">
        <v>882.2</v>
      </c>
      <c r="ND23" s="70" t="s">
        <v>635</v>
      </c>
      <c r="NE23" s="24">
        <v>38</v>
      </c>
      <c r="NF23" s="16"/>
      <c r="NG23" s="59"/>
      <c r="NH23" s="121"/>
      <c r="NI23" s="20">
        <v>16</v>
      </c>
      <c r="NJ23" s="19">
        <v>904.5</v>
      </c>
      <c r="NK23" s="17">
        <v>43456</v>
      </c>
      <c r="NL23" s="19">
        <v>904.5</v>
      </c>
      <c r="NM23" s="70" t="s">
        <v>614</v>
      </c>
      <c r="NN23" s="24">
        <v>42</v>
      </c>
      <c r="NO23" s="16"/>
      <c r="NP23" s="59"/>
      <c r="NQ23" s="171"/>
      <c r="NR23" s="20">
        <v>16</v>
      </c>
      <c r="NS23" s="19">
        <v>950.3</v>
      </c>
      <c r="NT23" s="17">
        <v>43456</v>
      </c>
      <c r="NU23" s="19">
        <v>950.3</v>
      </c>
      <c r="NV23" s="70" t="s">
        <v>616</v>
      </c>
      <c r="NW23" s="24">
        <v>42</v>
      </c>
      <c r="NX23" s="16"/>
      <c r="NY23" s="59"/>
      <c r="NZ23" s="121"/>
      <c r="OA23" s="20">
        <v>16</v>
      </c>
      <c r="OB23" s="19">
        <v>968.25</v>
      </c>
      <c r="OC23" s="105">
        <v>43456</v>
      </c>
      <c r="OD23" s="19">
        <v>968.25</v>
      </c>
      <c r="OE23" s="124" t="s">
        <v>620</v>
      </c>
      <c r="OF23" s="103">
        <v>42</v>
      </c>
      <c r="OG23" s="16"/>
      <c r="OH23" s="59"/>
      <c r="OI23" s="121"/>
      <c r="OJ23" s="20">
        <v>16</v>
      </c>
      <c r="OK23" s="19">
        <v>917.6</v>
      </c>
      <c r="OL23" s="17">
        <v>43457</v>
      </c>
      <c r="OM23" s="19">
        <v>917.6</v>
      </c>
      <c r="ON23" s="70" t="s">
        <v>627</v>
      </c>
      <c r="OO23" s="482">
        <v>42</v>
      </c>
      <c r="OP23" s="16"/>
      <c r="OQ23" s="59"/>
      <c r="OR23" s="121"/>
      <c r="OS23" s="20">
        <v>16</v>
      </c>
      <c r="OT23" s="19">
        <v>870</v>
      </c>
      <c r="OU23" s="17">
        <v>43457</v>
      </c>
      <c r="OV23" s="19">
        <v>870</v>
      </c>
      <c r="OW23" s="70" t="s">
        <v>627</v>
      </c>
      <c r="OX23" s="24">
        <v>42</v>
      </c>
      <c r="OY23" s="16"/>
      <c r="OZ23" s="59"/>
      <c r="PA23" s="121"/>
      <c r="PB23" s="20">
        <v>16</v>
      </c>
      <c r="PC23" s="19">
        <v>884.35</v>
      </c>
      <c r="PD23" s="17">
        <v>43458</v>
      </c>
      <c r="PE23" s="19">
        <v>884.35</v>
      </c>
      <c r="PF23" s="70" t="s">
        <v>632</v>
      </c>
      <c r="PG23" s="24">
        <v>42</v>
      </c>
      <c r="PH23" s="16"/>
      <c r="PI23" s="59"/>
      <c r="PJ23" s="121"/>
      <c r="PK23" s="20">
        <v>16</v>
      </c>
      <c r="PL23" s="19">
        <v>907</v>
      </c>
      <c r="PM23" s="17">
        <v>43461</v>
      </c>
      <c r="PN23" s="19">
        <v>907</v>
      </c>
      <c r="PO23" s="70" t="s">
        <v>650</v>
      </c>
      <c r="PP23" s="24">
        <v>38</v>
      </c>
      <c r="PQ23" s="16"/>
      <c r="PR23" s="59"/>
      <c r="PS23" s="121"/>
      <c r="PT23" s="20">
        <v>16</v>
      </c>
      <c r="PU23" s="19">
        <v>908.99</v>
      </c>
      <c r="PV23" s="17">
        <v>43462</v>
      </c>
      <c r="PW23" s="19">
        <v>908.99</v>
      </c>
      <c r="PX23" s="270" t="s">
        <v>658</v>
      </c>
      <c r="PY23" s="24">
        <v>38</v>
      </c>
      <c r="PZ23" s="16"/>
      <c r="QA23" s="59"/>
      <c r="QB23" s="121"/>
      <c r="QC23" s="20">
        <v>16</v>
      </c>
      <c r="QD23" s="19">
        <v>940.29</v>
      </c>
      <c r="QE23" s="105">
        <v>43462</v>
      </c>
      <c r="QF23" s="19">
        <v>940.29</v>
      </c>
      <c r="QG23" s="124" t="s">
        <v>643</v>
      </c>
      <c r="QH23" s="414">
        <v>38</v>
      </c>
      <c r="QI23" s="16"/>
      <c r="QJ23" s="59"/>
      <c r="QK23" s="121"/>
      <c r="QL23" s="20">
        <v>16</v>
      </c>
      <c r="QM23" s="19">
        <v>884</v>
      </c>
      <c r="QN23" s="17">
        <v>43461</v>
      </c>
      <c r="QO23" s="19">
        <v>884</v>
      </c>
      <c r="QP23" s="70" t="s">
        <v>646</v>
      </c>
      <c r="QQ23" s="24">
        <v>38</v>
      </c>
      <c r="QR23" s="16"/>
      <c r="QS23" s="59"/>
      <c r="QT23" s="121"/>
      <c r="QU23" s="20">
        <v>16</v>
      </c>
      <c r="QV23" s="19">
        <v>953.9</v>
      </c>
      <c r="QW23" s="17">
        <v>43461</v>
      </c>
      <c r="QX23" s="19">
        <v>953.9</v>
      </c>
      <c r="QY23" s="70" t="s">
        <v>655</v>
      </c>
      <c r="QZ23" s="24">
        <v>38</v>
      </c>
      <c r="RA23" s="16"/>
      <c r="RB23" s="59"/>
      <c r="RC23" s="121"/>
      <c r="RD23" s="20"/>
      <c r="RE23" s="19"/>
      <c r="RF23" s="17"/>
      <c r="RG23" s="19"/>
      <c r="RH23" s="70"/>
      <c r="RI23" s="24"/>
      <c r="RJ23" s="16"/>
      <c r="RK23" s="59"/>
      <c r="RL23" s="121"/>
      <c r="RM23" s="20">
        <v>16</v>
      </c>
      <c r="RN23" s="19">
        <v>937.87</v>
      </c>
      <c r="RO23" s="400">
        <v>43462</v>
      </c>
      <c r="RP23" s="401">
        <v>937.87</v>
      </c>
      <c r="RQ23" s="402" t="s">
        <v>660</v>
      </c>
      <c r="RR23" s="403">
        <v>38</v>
      </c>
      <c r="RS23" s="16"/>
      <c r="RT23" s="59"/>
      <c r="RU23" s="121"/>
      <c r="RV23" s="20"/>
      <c r="RW23" s="19"/>
      <c r="RX23" s="17"/>
      <c r="RY23" s="19"/>
      <c r="RZ23" s="70"/>
      <c r="SA23" s="24"/>
      <c r="SB23" s="16"/>
      <c r="SC23" s="59"/>
      <c r="SD23" s="121"/>
      <c r="SE23" s="20">
        <v>16</v>
      </c>
      <c r="SF23" s="19">
        <v>947.85</v>
      </c>
      <c r="SG23" s="17">
        <v>43463</v>
      </c>
      <c r="SH23" s="19">
        <v>947.85</v>
      </c>
      <c r="SI23" s="70" t="s">
        <v>667</v>
      </c>
      <c r="SJ23" s="24">
        <v>38</v>
      </c>
      <c r="SK23" s="16"/>
      <c r="SL23" s="59"/>
      <c r="SM23" s="121"/>
      <c r="SN23" s="20"/>
      <c r="SO23" s="19"/>
      <c r="SP23" s="17"/>
      <c r="SQ23" s="19"/>
      <c r="SR23" s="70"/>
      <c r="SS23" s="24"/>
      <c r="ST23" s="16"/>
      <c r="SU23" s="59"/>
      <c r="SV23" s="121"/>
      <c r="SW23" s="20">
        <v>16</v>
      </c>
      <c r="SX23" s="19">
        <v>911.7</v>
      </c>
      <c r="SY23" s="17">
        <v>43463</v>
      </c>
      <c r="SZ23" s="19">
        <v>911.7</v>
      </c>
      <c r="TA23" s="70" t="s">
        <v>666</v>
      </c>
      <c r="TB23" s="24">
        <v>38</v>
      </c>
      <c r="TC23" s="16"/>
      <c r="TD23" s="59"/>
      <c r="TE23" s="121"/>
      <c r="TF23" s="20">
        <v>16</v>
      </c>
      <c r="TG23" s="19">
        <v>966.89</v>
      </c>
      <c r="TH23" s="17">
        <v>43464</v>
      </c>
      <c r="TI23" s="19">
        <v>966.89</v>
      </c>
      <c r="TJ23" s="70" t="s">
        <v>676</v>
      </c>
      <c r="TK23" s="24">
        <v>38</v>
      </c>
      <c r="TM23" s="7"/>
      <c r="TN23" s="2"/>
      <c r="TO23" s="20">
        <v>16</v>
      </c>
      <c r="TP23" s="19">
        <v>945.7</v>
      </c>
      <c r="TQ23" s="17">
        <v>43464</v>
      </c>
      <c r="TR23" s="19">
        <v>945.7</v>
      </c>
      <c r="TS23" s="70" t="s">
        <v>671</v>
      </c>
      <c r="TT23" s="24">
        <v>38</v>
      </c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SMITHFIELD  FRESH MEATS</v>
      </c>
      <c r="C24" s="16" t="str">
        <f t="shared" si="20"/>
        <v>Smithfield</v>
      </c>
      <c r="D24" s="72" t="str">
        <f t="shared" si="20"/>
        <v>PED. 32127894</v>
      </c>
      <c r="E24" s="155">
        <f t="shared" si="20"/>
        <v>43446</v>
      </c>
      <c r="F24" s="74">
        <f t="shared" si="20"/>
        <v>19099.68</v>
      </c>
      <c r="G24" s="15">
        <f t="shared" si="20"/>
        <v>20</v>
      </c>
      <c r="H24" s="64">
        <f t="shared" si="20"/>
        <v>18806.34</v>
      </c>
      <c r="I24" s="18">
        <f t="shared" si="20"/>
        <v>293.34000000000015</v>
      </c>
      <c r="K24" s="59"/>
      <c r="L24" s="121"/>
      <c r="M24" s="20">
        <v>17</v>
      </c>
      <c r="N24" s="190">
        <v>920.8</v>
      </c>
      <c r="O24" s="105">
        <v>43435</v>
      </c>
      <c r="P24" s="190">
        <v>920.8</v>
      </c>
      <c r="Q24" s="124" t="s">
        <v>472</v>
      </c>
      <c r="R24" s="103">
        <v>37</v>
      </c>
      <c r="S24" s="16"/>
      <c r="T24" s="59"/>
      <c r="U24" s="121"/>
      <c r="V24" s="20">
        <v>17</v>
      </c>
      <c r="W24" s="190">
        <v>893.6</v>
      </c>
      <c r="X24" s="17">
        <v>43435</v>
      </c>
      <c r="Y24" s="190">
        <v>893.6</v>
      </c>
      <c r="Z24" s="70" t="s">
        <v>474</v>
      </c>
      <c r="AA24" s="24">
        <v>37</v>
      </c>
      <c r="AB24" s="16"/>
      <c r="AC24" s="59"/>
      <c r="AD24" s="121"/>
      <c r="AE24" s="20">
        <v>17</v>
      </c>
      <c r="AF24" s="190">
        <v>927.89</v>
      </c>
      <c r="AG24" s="17">
        <v>43436</v>
      </c>
      <c r="AH24" s="190">
        <v>927.89</v>
      </c>
      <c r="AI24" s="70" t="s">
        <v>462</v>
      </c>
      <c r="AJ24" s="24">
        <v>37</v>
      </c>
      <c r="AK24" s="16"/>
      <c r="AL24" s="59"/>
      <c r="AM24" s="121"/>
      <c r="AN24" s="20">
        <v>17</v>
      </c>
      <c r="AO24" s="19">
        <v>950.11</v>
      </c>
      <c r="AP24" s="17">
        <v>43441</v>
      </c>
      <c r="AQ24" s="19">
        <v>950.11</v>
      </c>
      <c r="AR24" s="70" t="s">
        <v>521</v>
      </c>
      <c r="AS24" s="24">
        <v>38</v>
      </c>
      <c r="AT24" s="16"/>
      <c r="AU24" s="59"/>
      <c r="AV24" s="121"/>
      <c r="AW24" s="20">
        <v>17</v>
      </c>
      <c r="AX24" s="19">
        <v>875.4</v>
      </c>
      <c r="AY24" s="105">
        <v>43441</v>
      </c>
      <c r="AZ24" s="19">
        <v>875.4</v>
      </c>
      <c r="BA24" s="124" t="s">
        <v>520</v>
      </c>
      <c r="BB24" s="414">
        <v>38</v>
      </c>
      <c r="BC24" s="16"/>
      <c r="BD24" s="59"/>
      <c r="BE24" s="121"/>
      <c r="BF24" s="20">
        <v>17</v>
      </c>
      <c r="BG24" s="19">
        <v>880.4</v>
      </c>
      <c r="BH24" s="400">
        <v>43441</v>
      </c>
      <c r="BI24" s="19">
        <v>880.4</v>
      </c>
      <c r="BJ24" s="402" t="s">
        <v>511</v>
      </c>
      <c r="BK24" s="403">
        <v>38</v>
      </c>
      <c r="BL24" s="16"/>
      <c r="BM24" s="59"/>
      <c r="BN24" s="121"/>
      <c r="BO24" s="20">
        <v>17</v>
      </c>
      <c r="BP24" s="19">
        <v>903</v>
      </c>
      <c r="BQ24" s="400">
        <v>43438</v>
      </c>
      <c r="BR24" s="19">
        <v>903</v>
      </c>
      <c r="BS24" s="402" t="s">
        <v>484</v>
      </c>
      <c r="BT24" s="403">
        <v>37</v>
      </c>
      <c r="BU24" s="16"/>
      <c r="BV24" s="59"/>
      <c r="BW24" s="121"/>
      <c r="BX24" s="20">
        <v>17</v>
      </c>
      <c r="BY24" s="19">
        <v>901</v>
      </c>
      <c r="BZ24" s="400">
        <v>43438</v>
      </c>
      <c r="CA24" s="19">
        <v>901</v>
      </c>
      <c r="CB24" s="402" t="s">
        <v>463</v>
      </c>
      <c r="CC24" s="403">
        <v>37</v>
      </c>
      <c r="CD24" s="16"/>
      <c r="CE24" s="59"/>
      <c r="CF24" s="121"/>
      <c r="CG24" s="20">
        <v>17</v>
      </c>
      <c r="CH24" s="19">
        <v>937.12</v>
      </c>
      <c r="CI24" s="17">
        <v>43439</v>
      </c>
      <c r="CJ24" s="19">
        <v>937.12</v>
      </c>
      <c r="CK24" s="70" t="s">
        <v>494</v>
      </c>
      <c r="CL24" s="24">
        <v>37</v>
      </c>
      <c r="CM24" s="16"/>
      <c r="CN24" s="128"/>
      <c r="CO24" s="121"/>
      <c r="CP24" s="20">
        <v>17</v>
      </c>
      <c r="CQ24" s="19">
        <v>918.07</v>
      </c>
      <c r="CR24" s="17">
        <v>43439</v>
      </c>
      <c r="CS24" s="19">
        <v>918.07</v>
      </c>
      <c r="CT24" s="70" t="s">
        <v>500</v>
      </c>
      <c r="CU24" s="24">
        <v>37</v>
      </c>
      <c r="CV24" s="16"/>
      <c r="CW24" s="59"/>
      <c r="CX24" s="121"/>
      <c r="CY24" s="20">
        <v>17</v>
      </c>
      <c r="CZ24" s="19">
        <v>886.17</v>
      </c>
      <c r="DA24" s="400">
        <v>43440</v>
      </c>
      <c r="DB24" s="19">
        <v>886.17</v>
      </c>
      <c r="DC24" s="402" t="s">
        <v>496</v>
      </c>
      <c r="DD24" s="403">
        <v>38</v>
      </c>
      <c r="DE24" s="16"/>
      <c r="DF24" s="59"/>
      <c r="DG24" s="121"/>
      <c r="DH24" s="20">
        <v>17</v>
      </c>
      <c r="DI24" s="19">
        <v>930.77</v>
      </c>
      <c r="DJ24" s="400">
        <v>43440</v>
      </c>
      <c r="DK24" s="19">
        <v>930.77</v>
      </c>
      <c r="DL24" s="402" t="s">
        <v>508</v>
      </c>
      <c r="DM24" s="403">
        <v>37</v>
      </c>
      <c r="DN24" s="16"/>
      <c r="DO24" s="59"/>
      <c r="DP24" s="121"/>
      <c r="DQ24" s="20">
        <v>17</v>
      </c>
      <c r="DR24" s="30">
        <v>961</v>
      </c>
      <c r="DS24" s="58">
        <v>43442</v>
      </c>
      <c r="DT24" s="30">
        <v>961</v>
      </c>
      <c r="DU24" s="76" t="s">
        <v>523</v>
      </c>
      <c r="DV24" s="24">
        <v>40</v>
      </c>
      <c r="DW24" s="16"/>
      <c r="DX24" s="59"/>
      <c r="DY24" s="121"/>
      <c r="DZ24" s="20">
        <v>17</v>
      </c>
      <c r="EA24" s="30">
        <v>919.9</v>
      </c>
      <c r="EB24" s="58">
        <v>43444</v>
      </c>
      <c r="EC24" s="30">
        <v>919.9</v>
      </c>
      <c r="ED24" s="76" t="s">
        <v>466</v>
      </c>
      <c r="EE24" s="24">
        <v>42</v>
      </c>
      <c r="EF24" s="16"/>
      <c r="EG24" s="59"/>
      <c r="EH24" s="121"/>
      <c r="EI24" s="20">
        <v>17</v>
      </c>
      <c r="EJ24" s="19">
        <v>910.4</v>
      </c>
      <c r="EK24" s="17">
        <v>43442</v>
      </c>
      <c r="EL24" s="19">
        <v>910.4</v>
      </c>
      <c r="EM24" s="43" t="s">
        <v>504</v>
      </c>
      <c r="EN24" s="24">
        <v>40</v>
      </c>
      <c r="EO24" s="16"/>
      <c r="EP24" s="59"/>
      <c r="EQ24" s="121"/>
      <c r="ER24" s="20">
        <v>17</v>
      </c>
      <c r="ES24" s="19">
        <v>954.2</v>
      </c>
      <c r="ET24" s="17">
        <v>43447</v>
      </c>
      <c r="EU24" s="19">
        <v>954.2</v>
      </c>
      <c r="EV24" s="43" t="s">
        <v>536</v>
      </c>
      <c r="EW24" s="24">
        <v>42</v>
      </c>
      <c r="EX24" s="16"/>
      <c r="EY24" s="59"/>
      <c r="EZ24" s="121"/>
      <c r="FA24" s="20">
        <v>17</v>
      </c>
      <c r="FB24" s="167">
        <v>973.24</v>
      </c>
      <c r="FC24" s="150">
        <v>43445</v>
      </c>
      <c r="FD24" s="167">
        <v>973.24</v>
      </c>
      <c r="FE24" s="110" t="s">
        <v>492</v>
      </c>
      <c r="FF24" s="111">
        <v>42</v>
      </c>
      <c r="FG24" s="16"/>
      <c r="FH24" s="59"/>
      <c r="FI24" s="121"/>
      <c r="FJ24" s="20">
        <v>17</v>
      </c>
      <c r="FK24" s="30">
        <v>884.5</v>
      </c>
      <c r="FL24" s="58">
        <v>43445</v>
      </c>
      <c r="FM24" s="30">
        <v>884.5</v>
      </c>
      <c r="FN24" s="76" t="s">
        <v>480</v>
      </c>
      <c r="FO24" s="24">
        <v>42</v>
      </c>
      <c r="FP24" s="16"/>
      <c r="FQ24" s="59"/>
      <c r="FR24" s="121"/>
      <c r="FS24" s="20">
        <v>17</v>
      </c>
      <c r="FT24" s="19">
        <v>956.17</v>
      </c>
      <c r="FU24" s="150">
        <v>43445</v>
      </c>
      <c r="FV24" s="19">
        <v>956.17</v>
      </c>
      <c r="FW24" s="270" t="s">
        <v>514</v>
      </c>
      <c r="FX24" s="111">
        <v>42</v>
      </c>
      <c r="FY24" s="16"/>
      <c r="FZ24" s="59"/>
      <c r="GA24" s="121"/>
      <c r="GB24" s="20">
        <v>17</v>
      </c>
      <c r="GC24" s="19">
        <v>937.87</v>
      </c>
      <c r="GD24" s="17">
        <v>43446</v>
      </c>
      <c r="GE24" s="19">
        <v>937.87</v>
      </c>
      <c r="GF24" s="70" t="s">
        <v>515</v>
      </c>
      <c r="GG24" s="24">
        <v>42</v>
      </c>
      <c r="GH24" s="16"/>
      <c r="GI24" s="59"/>
      <c r="GJ24" s="121"/>
      <c r="GK24" s="20">
        <v>17</v>
      </c>
      <c r="GL24" s="19">
        <v>919.27</v>
      </c>
      <c r="GM24" s="17">
        <v>43447</v>
      </c>
      <c r="GN24" s="19">
        <v>919.27</v>
      </c>
      <c r="GO24" s="70" t="s">
        <v>537</v>
      </c>
      <c r="GP24" s="24">
        <v>42</v>
      </c>
      <c r="GQ24" s="16"/>
      <c r="GR24" s="59"/>
      <c r="GS24" s="121"/>
      <c r="GT24" s="20">
        <v>17</v>
      </c>
      <c r="GU24" s="19">
        <v>964.3</v>
      </c>
      <c r="GV24" s="17">
        <v>43448</v>
      </c>
      <c r="GW24" s="19">
        <v>964.3</v>
      </c>
      <c r="GX24" s="311" t="s">
        <v>548</v>
      </c>
      <c r="GY24" s="24">
        <v>42</v>
      </c>
      <c r="GZ24" s="16"/>
      <c r="HA24" s="59"/>
      <c r="HB24" s="121"/>
      <c r="HC24" s="20">
        <v>17</v>
      </c>
      <c r="HD24" s="30">
        <v>903.1</v>
      </c>
      <c r="HE24" s="58">
        <v>43448</v>
      </c>
      <c r="HF24" s="30">
        <v>903.1</v>
      </c>
      <c r="HG24" s="76" t="s">
        <v>543</v>
      </c>
      <c r="HH24" s="24">
        <v>42</v>
      </c>
      <c r="HI24" s="16"/>
      <c r="HJ24" s="59"/>
      <c r="HK24" s="121"/>
      <c r="HL24" s="20">
        <v>17</v>
      </c>
      <c r="HM24" s="19">
        <v>914.29</v>
      </c>
      <c r="HN24" s="17">
        <v>43449</v>
      </c>
      <c r="HO24" s="19">
        <v>914.29</v>
      </c>
      <c r="HP24" s="593" t="s">
        <v>550</v>
      </c>
      <c r="HQ24" s="24">
        <v>42</v>
      </c>
      <c r="HR24" s="16"/>
      <c r="HS24" s="30"/>
      <c r="HT24" s="121"/>
      <c r="HU24" s="20">
        <v>17</v>
      </c>
      <c r="HV24" s="19">
        <v>939.23</v>
      </c>
      <c r="HW24" s="58">
        <v>43448</v>
      </c>
      <c r="HX24" s="19">
        <v>939.23</v>
      </c>
      <c r="HY24" s="76" t="s">
        <v>546</v>
      </c>
      <c r="HZ24" s="24">
        <v>42</v>
      </c>
      <c r="IA24" s="16"/>
      <c r="IB24" s="59"/>
      <c r="IC24" s="121"/>
      <c r="ID24" s="20">
        <v>17</v>
      </c>
      <c r="IE24" s="19">
        <v>901.7</v>
      </c>
      <c r="IF24" s="17">
        <v>43449</v>
      </c>
      <c r="IG24" s="19">
        <v>901.7</v>
      </c>
      <c r="IH24" s="43" t="s">
        <v>553</v>
      </c>
      <c r="II24" s="24">
        <v>42</v>
      </c>
      <c r="IJ24" s="16"/>
      <c r="IK24" s="59"/>
      <c r="IL24" s="121"/>
      <c r="IM24" s="20">
        <v>17</v>
      </c>
      <c r="IN24" s="30">
        <v>955.56</v>
      </c>
      <c r="IO24" s="626">
        <v>43450</v>
      </c>
      <c r="IP24" s="30">
        <v>955.56</v>
      </c>
      <c r="IQ24" s="76" t="s">
        <v>563</v>
      </c>
      <c r="IR24" s="24">
        <v>42</v>
      </c>
      <c r="IS24" s="16"/>
      <c r="IT24" s="59"/>
      <c r="IU24" s="121"/>
      <c r="IV24" s="20">
        <v>17</v>
      </c>
      <c r="IW24" s="19">
        <v>899.9</v>
      </c>
      <c r="IX24" s="17">
        <v>43451</v>
      </c>
      <c r="IY24" s="19">
        <v>899.9</v>
      </c>
      <c r="IZ24" s="70" t="s">
        <v>570</v>
      </c>
      <c r="JA24" s="24">
        <v>42</v>
      </c>
      <c r="JB24" s="16"/>
      <c r="JC24" s="59"/>
      <c r="JD24" s="121"/>
      <c r="JE24" s="20">
        <v>17</v>
      </c>
      <c r="JF24" s="19">
        <v>904</v>
      </c>
      <c r="JG24" s="17">
        <v>43452</v>
      </c>
      <c r="JH24" s="19">
        <v>904</v>
      </c>
      <c r="JI24" s="70" t="s">
        <v>577</v>
      </c>
      <c r="JJ24" s="24">
        <v>42</v>
      </c>
      <c r="JK24" s="16"/>
      <c r="JL24" s="59"/>
      <c r="JM24" s="121"/>
      <c r="JN24" s="20">
        <v>17</v>
      </c>
      <c r="JO24" s="19">
        <v>934.69</v>
      </c>
      <c r="JP24" s="17">
        <v>43452</v>
      </c>
      <c r="JQ24" s="19">
        <v>934.69</v>
      </c>
      <c r="JR24" s="70" t="s">
        <v>579</v>
      </c>
      <c r="JS24" s="24">
        <v>42</v>
      </c>
      <c r="JT24" s="16"/>
      <c r="JU24" s="59"/>
      <c r="JV24" s="121"/>
      <c r="JW24" s="20">
        <v>17</v>
      </c>
      <c r="JX24" s="19">
        <v>927.14</v>
      </c>
      <c r="JY24" s="17">
        <v>43454</v>
      </c>
      <c r="JZ24" s="19">
        <v>927.14</v>
      </c>
      <c r="KA24" s="70" t="s">
        <v>590</v>
      </c>
      <c r="KB24" s="24">
        <v>42</v>
      </c>
      <c r="KC24" s="16"/>
      <c r="KD24" s="59"/>
      <c r="KE24" s="121"/>
      <c r="KF24" s="20">
        <v>17</v>
      </c>
      <c r="KG24" s="19">
        <v>901.5</v>
      </c>
      <c r="KH24" s="17">
        <v>43452</v>
      </c>
      <c r="KI24" s="19">
        <v>901.5</v>
      </c>
      <c r="KJ24" s="70" t="s">
        <v>581</v>
      </c>
      <c r="KK24" s="24">
        <v>42</v>
      </c>
      <c r="KL24" s="16"/>
      <c r="KM24" s="59"/>
      <c r="KN24" s="121"/>
      <c r="KO24" s="20">
        <v>17</v>
      </c>
      <c r="KP24" s="190">
        <v>914.4</v>
      </c>
      <c r="KQ24" s="105">
        <v>43453</v>
      </c>
      <c r="KR24" s="190">
        <v>914.4</v>
      </c>
      <c r="KS24" s="124" t="s">
        <v>584</v>
      </c>
      <c r="KT24" s="103">
        <v>42</v>
      </c>
      <c r="KU24" s="16"/>
      <c r="KV24" s="59"/>
      <c r="KW24" s="121"/>
      <c r="KX24" s="20">
        <v>17</v>
      </c>
      <c r="KY24" s="190">
        <v>989.12</v>
      </c>
      <c r="KZ24" s="17">
        <v>43453</v>
      </c>
      <c r="LA24" s="190">
        <v>989.12</v>
      </c>
      <c r="LB24" s="70" t="s">
        <v>561</v>
      </c>
      <c r="LC24" s="24">
        <v>42</v>
      </c>
      <c r="LD24" s="16"/>
      <c r="LE24" s="59"/>
      <c r="LF24" s="121"/>
      <c r="LG24" s="20">
        <v>17</v>
      </c>
      <c r="LH24" s="19">
        <v>951.47</v>
      </c>
      <c r="LI24" s="17">
        <v>43454</v>
      </c>
      <c r="LJ24" s="19">
        <v>951.47</v>
      </c>
      <c r="LK24" s="70" t="s">
        <v>593</v>
      </c>
      <c r="LL24" s="24">
        <v>42</v>
      </c>
      <c r="LM24" s="16"/>
      <c r="LN24" s="59"/>
      <c r="LO24" s="121"/>
      <c r="LP24" s="20">
        <v>17</v>
      </c>
      <c r="LQ24" s="190">
        <v>970.98</v>
      </c>
      <c r="LR24" s="17">
        <v>43455</v>
      </c>
      <c r="LS24" s="190">
        <v>970.98</v>
      </c>
      <c r="LT24" s="70" t="s">
        <v>599</v>
      </c>
      <c r="LU24" s="24">
        <v>42</v>
      </c>
      <c r="LV24" s="16"/>
      <c r="LW24" s="59"/>
      <c r="LX24" s="121"/>
      <c r="LY24" s="20">
        <v>17</v>
      </c>
      <c r="LZ24" s="19">
        <v>883.1</v>
      </c>
      <c r="MA24" s="17">
        <v>43455</v>
      </c>
      <c r="MB24" s="19">
        <v>883.1</v>
      </c>
      <c r="MC24" s="70" t="s">
        <v>605</v>
      </c>
      <c r="MD24" s="24">
        <v>42</v>
      </c>
      <c r="ME24" s="16"/>
      <c r="MF24" s="59"/>
      <c r="MG24" s="121"/>
      <c r="MH24" s="20">
        <v>17</v>
      </c>
      <c r="MI24" s="167">
        <v>937.6</v>
      </c>
      <c r="MJ24" s="150">
        <v>43455</v>
      </c>
      <c r="MK24" s="167">
        <v>937.6</v>
      </c>
      <c r="ML24" s="270" t="s">
        <v>608</v>
      </c>
      <c r="MM24" s="111">
        <v>42</v>
      </c>
      <c r="MN24" s="16"/>
      <c r="MO24" s="59"/>
      <c r="MP24" s="121"/>
      <c r="MQ24" s="20">
        <v>17</v>
      </c>
      <c r="MR24" s="19">
        <v>940.14</v>
      </c>
      <c r="MS24" s="17">
        <v>43457</v>
      </c>
      <c r="MT24" s="19">
        <v>940.14</v>
      </c>
      <c r="MU24" s="70" t="s">
        <v>628</v>
      </c>
      <c r="MV24" s="24">
        <v>42</v>
      </c>
      <c r="MW24" s="16"/>
      <c r="MX24" s="59"/>
      <c r="MY24" s="121"/>
      <c r="MZ24" s="20">
        <v>17</v>
      </c>
      <c r="NA24" s="19">
        <v>944.8</v>
      </c>
      <c r="NB24" s="17">
        <v>43461</v>
      </c>
      <c r="NC24" s="19">
        <v>944.8</v>
      </c>
      <c r="ND24" s="70" t="s">
        <v>640</v>
      </c>
      <c r="NE24" s="24">
        <v>38</v>
      </c>
      <c r="NF24" s="16"/>
      <c r="NG24" s="59"/>
      <c r="NH24" s="121"/>
      <c r="NI24" s="20">
        <v>17</v>
      </c>
      <c r="NJ24" s="19">
        <v>880.4</v>
      </c>
      <c r="NK24" s="17">
        <v>43456</v>
      </c>
      <c r="NL24" s="19">
        <v>880.4</v>
      </c>
      <c r="NM24" s="70" t="s">
        <v>614</v>
      </c>
      <c r="NN24" s="24">
        <v>42</v>
      </c>
      <c r="NO24" s="16"/>
      <c r="NP24" s="59"/>
      <c r="NQ24" s="171"/>
      <c r="NR24" s="20">
        <v>17</v>
      </c>
      <c r="NS24" s="19">
        <v>906.7</v>
      </c>
      <c r="NT24" s="17">
        <v>43456</v>
      </c>
      <c r="NU24" s="19">
        <v>906.7</v>
      </c>
      <c r="NV24" s="70" t="s">
        <v>616</v>
      </c>
      <c r="NW24" s="24">
        <v>42</v>
      </c>
      <c r="NX24" s="16"/>
      <c r="NY24" s="59"/>
      <c r="NZ24" s="121"/>
      <c r="OA24" s="20">
        <v>17</v>
      </c>
      <c r="OB24" s="19">
        <v>952.83</v>
      </c>
      <c r="OC24" s="105">
        <v>43456</v>
      </c>
      <c r="OD24" s="19">
        <v>952.83</v>
      </c>
      <c r="OE24" s="124" t="s">
        <v>620</v>
      </c>
      <c r="OF24" s="103">
        <v>42</v>
      </c>
      <c r="OG24" s="16"/>
      <c r="OH24" s="59"/>
      <c r="OI24" s="121"/>
      <c r="OJ24" s="20">
        <v>17</v>
      </c>
      <c r="OK24" s="19">
        <v>907.6</v>
      </c>
      <c r="OL24" s="17">
        <v>43456</v>
      </c>
      <c r="OM24" s="19">
        <v>907.6</v>
      </c>
      <c r="ON24" s="70" t="s">
        <v>623</v>
      </c>
      <c r="OO24" s="482">
        <v>42</v>
      </c>
      <c r="OP24" s="16"/>
      <c r="OQ24" s="59"/>
      <c r="OR24" s="121"/>
      <c r="OS24" s="20">
        <v>17</v>
      </c>
      <c r="OT24" s="19">
        <v>914.9</v>
      </c>
      <c r="OU24" s="17">
        <v>43457</v>
      </c>
      <c r="OV24" s="19">
        <v>914.9</v>
      </c>
      <c r="OW24" s="70" t="s">
        <v>627</v>
      </c>
      <c r="OX24" s="24">
        <v>42</v>
      </c>
      <c r="OY24" s="16"/>
      <c r="OZ24" s="59"/>
      <c r="PA24" s="121"/>
      <c r="PB24" s="20">
        <v>17</v>
      </c>
      <c r="PC24" s="19">
        <v>974.15</v>
      </c>
      <c r="PD24" s="17">
        <v>43458</v>
      </c>
      <c r="PE24" s="19">
        <v>974.15</v>
      </c>
      <c r="PF24" s="70" t="s">
        <v>630</v>
      </c>
      <c r="PG24" s="24">
        <v>42</v>
      </c>
      <c r="PH24" s="16"/>
      <c r="PI24" s="59"/>
      <c r="PJ24" s="121"/>
      <c r="PK24" s="20">
        <v>17</v>
      </c>
      <c r="PL24" s="19">
        <v>905.5</v>
      </c>
      <c r="PM24" s="17">
        <v>43461</v>
      </c>
      <c r="PN24" s="19">
        <v>905.5</v>
      </c>
      <c r="PO24" s="70" t="s">
        <v>650</v>
      </c>
      <c r="PP24" s="24">
        <v>38</v>
      </c>
      <c r="PQ24" s="16"/>
      <c r="PR24" s="59"/>
      <c r="PS24" s="121"/>
      <c r="PT24" s="20">
        <v>17</v>
      </c>
      <c r="PU24" s="19">
        <v>939.38</v>
      </c>
      <c r="PV24" s="17">
        <v>43462</v>
      </c>
      <c r="PW24" s="19">
        <v>939.38</v>
      </c>
      <c r="PX24" s="270" t="s">
        <v>658</v>
      </c>
      <c r="PY24" s="24">
        <v>38</v>
      </c>
      <c r="PZ24" s="16"/>
      <c r="QA24" s="59"/>
      <c r="QB24" s="121"/>
      <c r="QC24" s="20">
        <v>17</v>
      </c>
      <c r="QD24" s="19">
        <v>933.94</v>
      </c>
      <c r="QE24" s="105">
        <v>43462</v>
      </c>
      <c r="QF24" s="19">
        <v>933.94</v>
      </c>
      <c r="QG24" s="124" t="s">
        <v>643</v>
      </c>
      <c r="QH24" s="414">
        <v>38</v>
      </c>
      <c r="QI24" s="16"/>
      <c r="QJ24" s="59"/>
      <c r="QK24" s="121"/>
      <c r="QL24" s="20">
        <v>17</v>
      </c>
      <c r="QM24" s="19">
        <v>882.2</v>
      </c>
      <c r="QN24" s="17">
        <v>43461</v>
      </c>
      <c r="QO24" s="19">
        <v>882.2</v>
      </c>
      <c r="QP24" s="70" t="s">
        <v>646</v>
      </c>
      <c r="QQ24" s="24">
        <v>38</v>
      </c>
      <c r="QR24" s="16"/>
      <c r="QS24" s="59"/>
      <c r="QT24" s="121"/>
      <c r="QU24" s="20">
        <v>17</v>
      </c>
      <c r="QV24" s="19">
        <v>913.53</v>
      </c>
      <c r="QW24" s="17">
        <v>43461</v>
      </c>
      <c r="QX24" s="19">
        <v>913.53</v>
      </c>
      <c r="QY24" s="70" t="s">
        <v>655</v>
      </c>
      <c r="QZ24" s="24">
        <v>38</v>
      </c>
      <c r="RA24" s="16"/>
      <c r="RB24" s="59"/>
      <c r="RC24" s="121"/>
      <c r="RD24" s="20"/>
      <c r="RE24" s="19"/>
      <c r="RF24" s="17"/>
      <c r="RG24" s="19"/>
      <c r="RH24" s="70"/>
      <c r="RI24" s="24"/>
      <c r="RJ24" s="16"/>
      <c r="RK24" s="59"/>
      <c r="RL24" s="121"/>
      <c r="RM24" s="20">
        <v>17</v>
      </c>
      <c r="RN24" s="19">
        <v>909.3</v>
      </c>
      <c r="RO24" s="400">
        <v>43462</v>
      </c>
      <c r="RP24" s="401">
        <v>909.3</v>
      </c>
      <c r="RQ24" s="402" t="s">
        <v>660</v>
      </c>
      <c r="RR24" s="403">
        <v>38</v>
      </c>
      <c r="RS24" s="16"/>
      <c r="RT24" s="59"/>
      <c r="RU24" s="121"/>
      <c r="RV24" s="20"/>
      <c r="RW24" s="19"/>
      <c r="RX24" s="17"/>
      <c r="RY24" s="19"/>
      <c r="RZ24" s="70"/>
      <c r="SA24" s="24"/>
      <c r="SB24" s="16"/>
      <c r="SC24" s="59"/>
      <c r="SD24" s="121"/>
      <c r="SE24" s="20">
        <v>17</v>
      </c>
      <c r="SF24" s="19">
        <v>912.93</v>
      </c>
      <c r="SG24" s="17">
        <v>43463</v>
      </c>
      <c r="SH24" s="19">
        <v>912.93</v>
      </c>
      <c r="SI24" s="70" t="s">
        <v>667</v>
      </c>
      <c r="SJ24" s="24">
        <v>38</v>
      </c>
      <c r="SK24" s="16"/>
      <c r="SL24" s="59"/>
      <c r="SM24" s="121"/>
      <c r="SN24" s="20"/>
      <c r="SO24" s="19"/>
      <c r="SP24" s="17"/>
      <c r="SQ24" s="19"/>
      <c r="SR24" s="70"/>
      <c r="SS24" s="24"/>
      <c r="ST24" s="16"/>
      <c r="SU24" s="59"/>
      <c r="SV24" s="121"/>
      <c r="SW24" s="20">
        <v>17</v>
      </c>
      <c r="SX24" s="19">
        <v>933</v>
      </c>
      <c r="SY24" s="17">
        <v>43463</v>
      </c>
      <c r="SZ24" s="19">
        <v>933</v>
      </c>
      <c r="TA24" s="70" t="s">
        <v>666</v>
      </c>
      <c r="TB24" s="24">
        <v>38</v>
      </c>
      <c r="TC24" s="16"/>
      <c r="TD24" s="59"/>
      <c r="TE24" s="121"/>
      <c r="TF24" s="20">
        <v>17</v>
      </c>
      <c r="TG24" s="19">
        <v>932.43</v>
      </c>
      <c r="TH24" s="17">
        <v>43464</v>
      </c>
      <c r="TI24" s="19">
        <v>932.43</v>
      </c>
      <c r="TJ24" s="70" t="s">
        <v>676</v>
      </c>
      <c r="TK24" s="24">
        <v>38</v>
      </c>
      <c r="TM24" s="7"/>
      <c r="TN24" s="2"/>
      <c r="TO24" s="20">
        <v>17</v>
      </c>
      <c r="TP24" s="19">
        <v>923.1</v>
      </c>
      <c r="TQ24" s="17">
        <v>43464</v>
      </c>
      <c r="TR24" s="19">
        <v>923.1</v>
      </c>
      <c r="TS24" s="70" t="s">
        <v>671</v>
      </c>
      <c r="TT24" s="24">
        <v>38</v>
      </c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32173278</v>
      </c>
      <c r="E25" s="155">
        <f t="shared" si="21"/>
        <v>43447</v>
      </c>
      <c r="F25" s="74">
        <f t="shared" si="21"/>
        <v>19150.75</v>
      </c>
      <c r="G25" s="15">
        <f t="shared" si="21"/>
        <v>21</v>
      </c>
      <c r="H25" s="64">
        <f t="shared" si="21"/>
        <v>19170.599999999999</v>
      </c>
      <c r="I25" s="18">
        <f t="shared" si="21"/>
        <v>-19.849999999998545</v>
      </c>
      <c r="K25" s="59"/>
      <c r="L25" s="171"/>
      <c r="M25" s="20">
        <v>18</v>
      </c>
      <c r="N25" s="190">
        <v>902.2</v>
      </c>
      <c r="O25" s="105">
        <v>43435</v>
      </c>
      <c r="P25" s="190">
        <v>902.2</v>
      </c>
      <c r="Q25" s="124" t="s">
        <v>472</v>
      </c>
      <c r="R25" s="103">
        <v>37</v>
      </c>
      <c r="S25" s="16"/>
      <c r="T25" s="59"/>
      <c r="U25" s="171"/>
      <c r="V25" s="20">
        <v>18</v>
      </c>
      <c r="W25" s="190">
        <v>903.6</v>
      </c>
      <c r="X25" s="17">
        <v>43435</v>
      </c>
      <c r="Y25" s="190">
        <v>903.6</v>
      </c>
      <c r="Z25" s="70" t="s">
        <v>474</v>
      </c>
      <c r="AA25" s="24">
        <v>37</v>
      </c>
      <c r="AB25" s="16"/>
      <c r="AC25" s="59"/>
      <c r="AD25" s="171"/>
      <c r="AE25" s="20">
        <v>18</v>
      </c>
      <c r="AF25" s="190">
        <v>946.49</v>
      </c>
      <c r="AG25" s="17">
        <v>43436</v>
      </c>
      <c r="AH25" s="190">
        <v>946.49</v>
      </c>
      <c r="AI25" s="70" t="s">
        <v>462</v>
      </c>
      <c r="AJ25" s="24">
        <v>37</v>
      </c>
      <c r="AK25" s="16"/>
      <c r="AL25" s="59"/>
      <c r="AM25" s="171"/>
      <c r="AN25" s="20">
        <v>18</v>
      </c>
      <c r="AO25" s="19">
        <v>976.87</v>
      </c>
      <c r="AP25" s="17">
        <v>43441</v>
      </c>
      <c r="AQ25" s="19">
        <v>976.87</v>
      </c>
      <c r="AR25" s="70" t="s">
        <v>521</v>
      </c>
      <c r="AS25" s="24">
        <v>38</v>
      </c>
      <c r="AT25" s="16"/>
      <c r="AU25" s="59"/>
      <c r="AV25" s="171"/>
      <c r="AW25" s="20">
        <v>18</v>
      </c>
      <c r="AX25" s="19">
        <v>910.4</v>
      </c>
      <c r="AY25" s="105">
        <v>43441</v>
      </c>
      <c r="AZ25" s="19">
        <v>910.4</v>
      </c>
      <c r="BA25" s="124" t="s">
        <v>520</v>
      </c>
      <c r="BB25" s="414">
        <v>38</v>
      </c>
      <c r="BC25" s="16"/>
      <c r="BD25" s="59"/>
      <c r="BE25" s="171"/>
      <c r="BF25" s="20">
        <v>18</v>
      </c>
      <c r="BG25" s="19">
        <v>886.8</v>
      </c>
      <c r="BH25" s="400">
        <v>43441</v>
      </c>
      <c r="BI25" s="19">
        <v>886.8</v>
      </c>
      <c r="BJ25" s="402" t="s">
        <v>511</v>
      </c>
      <c r="BK25" s="403">
        <v>38</v>
      </c>
      <c r="BL25" s="16"/>
      <c r="BM25" s="59"/>
      <c r="BN25" s="171"/>
      <c r="BO25" s="20">
        <v>18</v>
      </c>
      <c r="BP25" s="19">
        <v>887</v>
      </c>
      <c r="BQ25" s="400">
        <v>43438</v>
      </c>
      <c r="BR25" s="19">
        <v>887</v>
      </c>
      <c r="BS25" s="402" t="s">
        <v>484</v>
      </c>
      <c r="BT25" s="403">
        <v>37</v>
      </c>
      <c r="BU25" s="16"/>
      <c r="BV25" s="59"/>
      <c r="BW25" s="171"/>
      <c r="BX25" s="20">
        <v>18</v>
      </c>
      <c r="BY25" s="19">
        <v>903.5</v>
      </c>
      <c r="BZ25" s="400">
        <v>43438</v>
      </c>
      <c r="CA25" s="19">
        <v>903.5</v>
      </c>
      <c r="CB25" s="402" t="s">
        <v>463</v>
      </c>
      <c r="CC25" s="403">
        <v>37</v>
      </c>
      <c r="CD25" s="16"/>
      <c r="CE25" s="59"/>
      <c r="CF25" s="171"/>
      <c r="CG25" s="20">
        <v>18</v>
      </c>
      <c r="CH25" s="19">
        <v>971.59</v>
      </c>
      <c r="CI25" s="17">
        <v>43439</v>
      </c>
      <c r="CJ25" s="19">
        <v>971.59</v>
      </c>
      <c r="CK25" s="70" t="s">
        <v>494</v>
      </c>
      <c r="CL25" s="24">
        <v>37</v>
      </c>
      <c r="CM25" s="16"/>
      <c r="CN25" s="128"/>
      <c r="CO25" s="171"/>
      <c r="CP25" s="20">
        <v>18</v>
      </c>
      <c r="CQ25" s="19">
        <v>923.51</v>
      </c>
      <c r="CR25" s="17">
        <v>43439</v>
      </c>
      <c r="CS25" s="19">
        <v>923.51</v>
      </c>
      <c r="CT25" s="70" t="s">
        <v>500</v>
      </c>
      <c r="CU25" s="24">
        <v>37</v>
      </c>
      <c r="CV25" s="16"/>
      <c r="CW25" s="59"/>
      <c r="CX25" s="171"/>
      <c r="CY25" s="20">
        <v>18</v>
      </c>
      <c r="CZ25" s="19">
        <v>939.68</v>
      </c>
      <c r="DA25" s="400">
        <v>43440</v>
      </c>
      <c r="DB25" s="19">
        <v>939.68</v>
      </c>
      <c r="DC25" s="402" t="s">
        <v>496</v>
      </c>
      <c r="DD25" s="403">
        <v>38</v>
      </c>
      <c r="DE25" s="16"/>
      <c r="DF25" s="59"/>
      <c r="DG25" s="171"/>
      <c r="DH25" s="20">
        <v>18</v>
      </c>
      <c r="DI25" s="19">
        <v>921.69</v>
      </c>
      <c r="DJ25" s="400">
        <v>43440</v>
      </c>
      <c r="DK25" s="19">
        <v>921.69</v>
      </c>
      <c r="DL25" s="402" t="s">
        <v>508</v>
      </c>
      <c r="DM25" s="403">
        <v>37</v>
      </c>
      <c r="DN25" s="16"/>
      <c r="DO25" s="59"/>
      <c r="DP25" s="171"/>
      <c r="DQ25" s="20">
        <v>18</v>
      </c>
      <c r="DR25" s="30">
        <v>953.74</v>
      </c>
      <c r="DS25" s="58">
        <v>43442</v>
      </c>
      <c r="DT25" s="30">
        <v>953.74</v>
      </c>
      <c r="DU25" s="76" t="s">
        <v>523</v>
      </c>
      <c r="DV25" s="24">
        <v>40</v>
      </c>
      <c r="DW25" s="16"/>
      <c r="DX25" s="59"/>
      <c r="DY25" s="171"/>
      <c r="DZ25" s="20">
        <v>18</v>
      </c>
      <c r="EA25" s="30">
        <v>884.5</v>
      </c>
      <c r="EB25" s="58">
        <v>43444</v>
      </c>
      <c r="EC25" s="30">
        <v>884.5</v>
      </c>
      <c r="ED25" s="76" t="s">
        <v>466</v>
      </c>
      <c r="EE25" s="24">
        <v>42</v>
      </c>
      <c r="EF25" s="16"/>
      <c r="EG25" s="59"/>
      <c r="EH25" s="171"/>
      <c r="EI25" s="20">
        <v>18</v>
      </c>
      <c r="EJ25" s="19">
        <v>893.6</v>
      </c>
      <c r="EK25" s="17">
        <v>43442</v>
      </c>
      <c r="EL25" s="19">
        <v>893.6</v>
      </c>
      <c r="EM25" s="43" t="s">
        <v>504</v>
      </c>
      <c r="EN25" s="24">
        <v>40</v>
      </c>
      <c r="EO25" s="16"/>
      <c r="EP25" s="59"/>
      <c r="EQ25" s="171"/>
      <c r="ER25" s="20">
        <v>18</v>
      </c>
      <c r="ES25" s="19">
        <v>944.22</v>
      </c>
      <c r="ET25" s="17">
        <v>43447</v>
      </c>
      <c r="EU25" s="19">
        <v>944.22</v>
      </c>
      <c r="EV25" s="43" t="s">
        <v>536</v>
      </c>
      <c r="EW25" s="24">
        <v>42</v>
      </c>
      <c r="EX25" s="16"/>
      <c r="EY25" s="59"/>
      <c r="EZ25" s="171"/>
      <c r="FA25" s="20">
        <v>18</v>
      </c>
      <c r="FB25" s="167">
        <v>921.54</v>
      </c>
      <c r="FC25" s="150">
        <v>43445</v>
      </c>
      <c r="FD25" s="167">
        <v>921.54</v>
      </c>
      <c r="FE25" s="110" t="s">
        <v>492</v>
      </c>
      <c r="FF25" s="111">
        <v>42</v>
      </c>
      <c r="FG25" s="16"/>
      <c r="FH25" s="59"/>
      <c r="FI25" s="171"/>
      <c r="FJ25" s="20">
        <v>18</v>
      </c>
      <c r="FK25" s="30">
        <v>902.5</v>
      </c>
      <c r="FL25" s="58">
        <v>43445</v>
      </c>
      <c r="FM25" s="30">
        <v>902.5</v>
      </c>
      <c r="FN25" s="76" t="s">
        <v>480</v>
      </c>
      <c r="FO25" s="24">
        <v>42</v>
      </c>
      <c r="FP25" s="16"/>
      <c r="FQ25" s="59"/>
      <c r="FR25" s="171"/>
      <c r="FS25" s="20">
        <v>18</v>
      </c>
      <c r="FT25" s="19">
        <v>972.95</v>
      </c>
      <c r="FU25" s="150">
        <v>43445</v>
      </c>
      <c r="FV25" s="19">
        <v>972.95</v>
      </c>
      <c r="FW25" s="270" t="s">
        <v>514</v>
      </c>
      <c r="FX25" s="111">
        <v>42</v>
      </c>
      <c r="FY25" s="16"/>
      <c r="FZ25" s="59"/>
      <c r="GA25" s="171"/>
      <c r="GB25" s="20">
        <v>18</v>
      </c>
      <c r="GC25" s="19">
        <v>946.03</v>
      </c>
      <c r="GD25" s="17">
        <v>43446</v>
      </c>
      <c r="GE25" s="19">
        <v>946.03</v>
      </c>
      <c r="GF25" s="70" t="s">
        <v>515</v>
      </c>
      <c r="GG25" s="24">
        <v>42</v>
      </c>
      <c r="GH25" s="16"/>
      <c r="GI25" s="59"/>
      <c r="GJ25" s="171"/>
      <c r="GK25" s="20">
        <v>18</v>
      </c>
      <c r="GL25" s="19">
        <v>956.46</v>
      </c>
      <c r="GM25" s="17">
        <v>43447</v>
      </c>
      <c r="GN25" s="19">
        <v>956.46</v>
      </c>
      <c r="GO25" s="70" t="s">
        <v>537</v>
      </c>
      <c r="GP25" s="24">
        <v>42</v>
      </c>
      <c r="GQ25" s="16"/>
      <c r="GR25" s="59"/>
      <c r="GS25" s="638"/>
      <c r="GT25" s="20">
        <v>18</v>
      </c>
      <c r="GU25" s="19">
        <v>898.1</v>
      </c>
      <c r="GV25" s="17">
        <v>43448</v>
      </c>
      <c r="GW25" s="19">
        <v>898.1</v>
      </c>
      <c r="GX25" s="311" t="s">
        <v>548</v>
      </c>
      <c r="GY25" s="24">
        <v>42</v>
      </c>
      <c r="GZ25" s="16"/>
      <c r="HA25" s="59"/>
      <c r="HB25" s="171"/>
      <c r="HC25" s="20">
        <v>18</v>
      </c>
      <c r="HD25" s="30">
        <v>914</v>
      </c>
      <c r="HE25" s="58">
        <v>43448</v>
      </c>
      <c r="HF25" s="30">
        <v>914</v>
      </c>
      <c r="HG25" s="76" t="s">
        <v>543</v>
      </c>
      <c r="HH25" s="24">
        <v>42</v>
      </c>
      <c r="HI25" s="16"/>
      <c r="HJ25" s="59"/>
      <c r="HK25" s="171"/>
      <c r="HL25" s="20">
        <v>18</v>
      </c>
      <c r="HM25" s="19">
        <v>977.32</v>
      </c>
      <c r="HN25" s="17">
        <v>43449</v>
      </c>
      <c r="HO25" s="19">
        <v>977.32</v>
      </c>
      <c r="HP25" s="593" t="s">
        <v>550</v>
      </c>
      <c r="HQ25" s="24">
        <v>42</v>
      </c>
      <c r="HR25" s="16"/>
      <c r="HS25" s="30"/>
      <c r="HT25" s="171"/>
      <c r="HU25" s="20">
        <v>18</v>
      </c>
      <c r="HV25" s="19">
        <v>989.12</v>
      </c>
      <c r="HW25" s="58">
        <v>43448</v>
      </c>
      <c r="HX25" s="19">
        <v>989.12</v>
      </c>
      <c r="HY25" s="76" t="s">
        <v>546</v>
      </c>
      <c r="HZ25" s="24">
        <v>42</v>
      </c>
      <c r="IA25" s="16"/>
      <c r="IB25" s="59"/>
      <c r="IC25" s="171"/>
      <c r="ID25" s="20">
        <v>18</v>
      </c>
      <c r="IE25" s="19">
        <v>894.9</v>
      </c>
      <c r="IF25" s="17">
        <v>43449</v>
      </c>
      <c r="IG25" s="19">
        <v>894.9</v>
      </c>
      <c r="IH25" s="43" t="s">
        <v>553</v>
      </c>
      <c r="II25" s="24">
        <v>42</v>
      </c>
      <c r="IJ25" s="16"/>
      <c r="IK25" s="59"/>
      <c r="IL25" s="171"/>
      <c r="IM25" s="20">
        <v>18</v>
      </c>
      <c r="IN25" s="30">
        <v>928.8</v>
      </c>
      <c r="IO25" s="626">
        <v>43450</v>
      </c>
      <c r="IP25" s="30">
        <v>928.8</v>
      </c>
      <c r="IQ25" s="76" t="s">
        <v>563</v>
      </c>
      <c r="IR25" s="24">
        <v>42</v>
      </c>
      <c r="IS25" s="16"/>
      <c r="IT25" s="59"/>
      <c r="IU25" s="171"/>
      <c r="IV25" s="20">
        <v>18</v>
      </c>
      <c r="IW25" s="19">
        <v>932.6</v>
      </c>
      <c r="IX25" s="17">
        <v>43451</v>
      </c>
      <c r="IY25" s="19">
        <v>932.6</v>
      </c>
      <c r="IZ25" s="70" t="s">
        <v>564</v>
      </c>
      <c r="JA25" s="24">
        <v>42</v>
      </c>
      <c r="JB25" s="16"/>
      <c r="JC25" s="59"/>
      <c r="JD25" s="171"/>
      <c r="JE25" s="20">
        <v>18</v>
      </c>
      <c r="JF25" s="19">
        <v>899</v>
      </c>
      <c r="JG25" s="17">
        <v>43452</v>
      </c>
      <c r="JH25" s="19">
        <v>899</v>
      </c>
      <c r="JI25" s="70" t="s">
        <v>560</v>
      </c>
      <c r="JJ25" s="24">
        <v>42</v>
      </c>
      <c r="JK25" s="16"/>
      <c r="JL25" s="59"/>
      <c r="JM25" s="171"/>
      <c r="JN25" s="20">
        <v>18</v>
      </c>
      <c r="JO25" s="19">
        <v>931.97</v>
      </c>
      <c r="JP25" s="17">
        <v>43452</v>
      </c>
      <c r="JQ25" s="19">
        <v>931.97</v>
      </c>
      <c r="JR25" s="70" t="s">
        <v>579</v>
      </c>
      <c r="JS25" s="24">
        <v>42</v>
      </c>
      <c r="JT25" s="16"/>
      <c r="JU25" s="59"/>
      <c r="JV25" s="171"/>
      <c r="JW25" s="20">
        <v>18</v>
      </c>
      <c r="JX25" s="19">
        <v>973.38</v>
      </c>
      <c r="JY25" s="17">
        <v>43454</v>
      </c>
      <c r="JZ25" s="19">
        <v>973.38</v>
      </c>
      <c r="KA25" s="70" t="s">
        <v>590</v>
      </c>
      <c r="KB25" s="24">
        <v>42</v>
      </c>
      <c r="KC25" s="16"/>
      <c r="KD25" s="59"/>
      <c r="KE25" s="171"/>
      <c r="KF25" s="20">
        <v>18</v>
      </c>
      <c r="KG25" s="19">
        <v>903</v>
      </c>
      <c r="KH25" s="17">
        <v>43452</v>
      </c>
      <c r="KI25" s="19">
        <v>903</v>
      </c>
      <c r="KJ25" s="70" t="s">
        <v>581</v>
      </c>
      <c r="KK25" s="24">
        <v>42</v>
      </c>
      <c r="KL25" s="16"/>
      <c r="KM25" s="59"/>
      <c r="KN25" s="171"/>
      <c r="KO25" s="20">
        <v>18</v>
      </c>
      <c r="KP25" s="190">
        <v>894.5</v>
      </c>
      <c r="KQ25" s="105">
        <v>43453</v>
      </c>
      <c r="KR25" s="190">
        <v>894.5</v>
      </c>
      <c r="KS25" s="124" t="s">
        <v>584</v>
      </c>
      <c r="KT25" s="103">
        <v>42</v>
      </c>
      <c r="KU25" s="16"/>
      <c r="KV25" s="59"/>
      <c r="KW25" s="171"/>
      <c r="KX25" s="20">
        <v>18</v>
      </c>
      <c r="KY25" s="190">
        <v>926.08</v>
      </c>
      <c r="KZ25" s="17">
        <v>43453</v>
      </c>
      <c r="LA25" s="190">
        <v>926.08</v>
      </c>
      <c r="LB25" s="70" t="s">
        <v>561</v>
      </c>
      <c r="LC25" s="24">
        <v>42</v>
      </c>
      <c r="LD25" s="16"/>
      <c r="LE25" s="59"/>
      <c r="LF25" s="171"/>
      <c r="LG25" s="20">
        <v>18</v>
      </c>
      <c r="LH25" s="19">
        <v>914.74</v>
      </c>
      <c r="LI25" s="17">
        <v>43454</v>
      </c>
      <c r="LJ25" s="19">
        <v>914.74</v>
      </c>
      <c r="LK25" s="70" t="s">
        <v>591</v>
      </c>
      <c r="LL25" s="24">
        <v>42</v>
      </c>
      <c r="LM25" s="16"/>
      <c r="LN25" s="59"/>
      <c r="LO25" s="171"/>
      <c r="LP25" s="20">
        <v>18</v>
      </c>
      <c r="LQ25" s="190">
        <v>934.69</v>
      </c>
      <c r="LR25" s="17">
        <v>43455</v>
      </c>
      <c r="LS25" s="190">
        <v>934.69</v>
      </c>
      <c r="LT25" s="70" t="s">
        <v>598</v>
      </c>
      <c r="LU25" s="24">
        <v>42</v>
      </c>
      <c r="LV25" s="16"/>
      <c r="LW25" s="59"/>
      <c r="LX25" s="171"/>
      <c r="LY25" s="20">
        <v>18</v>
      </c>
      <c r="LZ25" s="19">
        <v>909</v>
      </c>
      <c r="MA25" s="17">
        <v>43455</v>
      </c>
      <c r="MB25" s="19">
        <v>909</v>
      </c>
      <c r="MC25" s="70" t="s">
        <v>603</v>
      </c>
      <c r="MD25" s="24">
        <v>42</v>
      </c>
      <c r="ME25" s="16"/>
      <c r="MF25" s="59"/>
      <c r="MG25" s="171"/>
      <c r="MH25" s="20">
        <v>18</v>
      </c>
      <c r="MI25" s="167">
        <v>880.4</v>
      </c>
      <c r="MJ25" s="150">
        <v>43455</v>
      </c>
      <c r="MK25" s="167">
        <v>880.4</v>
      </c>
      <c r="ML25" s="270" t="s">
        <v>608</v>
      </c>
      <c r="MM25" s="111">
        <v>42</v>
      </c>
      <c r="MN25" s="16"/>
      <c r="MO25" s="59"/>
      <c r="MP25" s="171"/>
      <c r="MQ25" s="20">
        <v>18</v>
      </c>
      <c r="MR25" s="19">
        <v>937.87</v>
      </c>
      <c r="MS25" s="17">
        <v>43457</v>
      </c>
      <c r="MT25" s="19">
        <v>937.87</v>
      </c>
      <c r="MU25" s="70" t="s">
        <v>628</v>
      </c>
      <c r="MV25" s="24">
        <v>42</v>
      </c>
      <c r="MW25" s="16"/>
      <c r="MX25" s="59"/>
      <c r="MY25" s="171"/>
      <c r="MZ25" s="20">
        <v>18</v>
      </c>
      <c r="NA25" s="19">
        <v>881.8</v>
      </c>
      <c r="NB25" s="17">
        <v>43461</v>
      </c>
      <c r="NC25" s="19">
        <v>881.8</v>
      </c>
      <c r="ND25" s="70" t="s">
        <v>640</v>
      </c>
      <c r="NE25" s="24">
        <v>38</v>
      </c>
      <c r="NF25" s="16"/>
      <c r="NG25" s="59"/>
      <c r="NH25" s="171"/>
      <c r="NI25" s="20">
        <v>18</v>
      </c>
      <c r="NJ25" s="19">
        <v>907.6</v>
      </c>
      <c r="NK25" s="17">
        <v>43456</v>
      </c>
      <c r="NL25" s="19">
        <v>907.6</v>
      </c>
      <c r="NM25" s="70" t="s">
        <v>614</v>
      </c>
      <c r="NN25" s="24">
        <v>42</v>
      </c>
      <c r="NO25" s="16"/>
      <c r="NP25" s="59"/>
      <c r="NQ25" s="171"/>
      <c r="NR25" s="20">
        <v>18</v>
      </c>
      <c r="NS25" s="19">
        <v>892.2</v>
      </c>
      <c r="NT25" s="17">
        <v>43456</v>
      </c>
      <c r="NU25" s="19">
        <v>892.2</v>
      </c>
      <c r="NV25" s="70" t="s">
        <v>616</v>
      </c>
      <c r="NW25" s="24">
        <v>42</v>
      </c>
      <c r="NX25" s="16"/>
      <c r="NY25" s="59"/>
      <c r="NZ25" s="121"/>
      <c r="OA25" s="20">
        <v>18</v>
      </c>
      <c r="OB25" s="19">
        <v>934.69</v>
      </c>
      <c r="OC25" s="105">
        <v>43456</v>
      </c>
      <c r="OD25" s="19">
        <v>934.69</v>
      </c>
      <c r="OE25" s="124" t="s">
        <v>620</v>
      </c>
      <c r="OF25" s="103">
        <v>42</v>
      </c>
      <c r="OG25" s="16"/>
      <c r="OH25" s="59"/>
      <c r="OI25" s="121"/>
      <c r="OJ25" s="20">
        <v>18</v>
      </c>
      <c r="OK25" s="19">
        <v>869.5</v>
      </c>
      <c r="OL25" s="17">
        <v>43456</v>
      </c>
      <c r="OM25" s="19">
        <v>869.5</v>
      </c>
      <c r="ON25" s="70" t="s">
        <v>623</v>
      </c>
      <c r="OO25" s="482">
        <v>42</v>
      </c>
      <c r="OP25" s="16"/>
      <c r="OQ25" s="59"/>
      <c r="OR25" s="121"/>
      <c r="OS25" s="20">
        <v>18</v>
      </c>
      <c r="OT25" s="19">
        <v>873.6</v>
      </c>
      <c r="OU25" s="17">
        <v>43457</v>
      </c>
      <c r="OV25" s="19">
        <v>873.6</v>
      </c>
      <c r="OW25" s="70" t="s">
        <v>627</v>
      </c>
      <c r="OX25" s="24">
        <v>42</v>
      </c>
      <c r="OY25" s="16"/>
      <c r="OZ25" s="59"/>
      <c r="PA25" s="121"/>
      <c r="PB25" s="20">
        <v>18</v>
      </c>
      <c r="PC25" s="19">
        <v>928.34</v>
      </c>
      <c r="PD25" s="17">
        <v>43458</v>
      </c>
      <c r="PE25" s="19">
        <v>928.34</v>
      </c>
      <c r="PF25" s="70" t="s">
        <v>630</v>
      </c>
      <c r="PG25" s="24">
        <v>42</v>
      </c>
      <c r="PH25" s="16"/>
      <c r="PI25" s="59"/>
      <c r="PJ25" s="121"/>
      <c r="PK25" s="20">
        <v>18</v>
      </c>
      <c r="PL25" s="19">
        <v>897</v>
      </c>
      <c r="PM25" s="17">
        <v>43461</v>
      </c>
      <c r="PN25" s="19">
        <v>897</v>
      </c>
      <c r="PO25" s="70" t="s">
        <v>650</v>
      </c>
      <c r="PP25" s="24">
        <v>38</v>
      </c>
      <c r="PQ25" s="16"/>
      <c r="PR25" s="59"/>
      <c r="PS25" s="121"/>
      <c r="PT25" s="20">
        <v>18</v>
      </c>
      <c r="PU25" s="19">
        <v>911.72</v>
      </c>
      <c r="PV25" s="17">
        <v>43462</v>
      </c>
      <c r="PW25" s="19">
        <v>911.72</v>
      </c>
      <c r="PX25" s="270" t="s">
        <v>658</v>
      </c>
      <c r="PY25" s="24">
        <v>38</v>
      </c>
      <c r="PZ25" s="16"/>
      <c r="QA25" s="59"/>
      <c r="QB25" s="121"/>
      <c r="QC25" s="20">
        <v>18</v>
      </c>
      <c r="QD25" s="19">
        <v>952.04</v>
      </c>
      <c r="QE25" s="804">
        <v>43462</v>
      </c>
      <c r="QF25" s="800">
        <v>952.09</v>
      </c>
      <c r="QG25" s="124" t="s">
        <v>643</v>
      </c>
      <c r="QH25" s="414">
        <v>38</v>
      </c>
      <c r="QI25" s="16"/>
      <c r="QJ25" s="59"/>
      <c r="QK25" s="121"/>
      <c r="QL25" s="20">
        <v>18</v>
      </c>
      <c r="QM25" s="19">
        <v>900.4</v>
      </c>
      <c r="QN25" s="17">
        <v>43461</v>
      </c>
      <c r="QO25" s="19">
        <v>900.4</v>
      </c>
      <c r="QP25" s="70" t="s">
        <v>646</v>
      </c>
      <c r="QQ25" s="24">
        <v>38</v>
      </c>
      <c r="QR25" s="16"/>
      <c r="QS25" s="59"/>
      <c r="QT25" s="121"/>
      <c r="QU25" s="20">
        <v>18</v>
      </c>
      <c r="QV25" s="19">
        <v>950.72</v>
      </c>
      <c r="QW25" s="17">
        <v>43461</v>
      </c>
      <c r="QX25" s="19">
        <v>950.72</v>
      </c>
      <c r="QY25" s="70" t="s">
        <v>655</v>
      </c>
      <c r="QZ25" s="24">
        <v>38</v>
      </c>
      <c r="RA25" s="16"/>
      <c r="RB25" s="59"/>
      <c r="RC25" s="121"/>
      <c r="RD25" s="20"/>
      <c r="RE25" s="19"/>
      <c r="RF25" s="17"/>
      <c r="RG25" s="19"/>
      <c r="RH25" s="70"/>
      <c r="RI25" s="24"/>
      <c r="RJ25" s="16"/>
      <c r="RK25" s="59"/>
      <c r="RL25" s="121"/>
      <c r="RM25" s="20">
        <v>18</v>
      </c>
      <c r="RN25" s="19">
        <v>932.43</v>
      </c>
      <c r="RO25" s="400">
        <v>43462</v>
      </c>
      <c r="RP25" s="401">
        <v>932.43</v>
      </c>
      <c r="RQ25" s="402" t="s">
        <v>660</v>
      </c>
      <c r="RR25" s="403">
        <v>38</v>
      </c>
      <c r="RS25" s="16"/>
      <c r="RT25" s="59"/>
      <c r="RU25" s="121"/>
      <c r="RV25" s="20"/>
      <c r="RW25" s="19"/>
      <c r="RX25" s="17"/>
      <c r="RY25" s="19"/>
      <c r="RZ25" s="70"/>
      <c r="SA25" s="24"/>
      <c r="SB25" s="16"/>
      <c r="SC25" s="59"/>
      <c r="SD25" s="121"/>
      <c r="SE25" s="20">
        <v>18</v>
      </c>
      <c r="SF25" s="19">
        <v>929.25</v>
      </c>
      <c r="SG25" s="17">
        <v>43463</v>
      </c>
      <c r="SH25" s="19">
        <v>929.25</v>
      </c>
      <c r="SI25" s="70" t="s">
        <v>667</v>
      </c>
      <c r="SJ25" s="24">
        <v>38</v>
      </c>
      <c r="SK25" s="16"/>
      <c r="SL25" s="59"/>
      <c r="SM25" s="121"/>
      <c r="SN25" s="20"/>
      <c r="SO25" s="19"/>
      <c r="SP25" s="17"/>
      <c r="SQ25" s="19"/>
      <c r="SR25" s="70"/>
      <c r="SS25" s="24"/>
      <c r="ST25" s="16"/>
      <c r="SU25" s="59"/>
      <c r="SV25" s="121"/>
      <c r="SW25" s="20">
        <v>18</v>
      </c>
      <c r="SX25" s="19">
        <v>895.4</v>
      </c>
      <c r="SY25" s="17">
        <v>43463</v>
      </c>
      <c r="SZ25" s="19">
        <v>895.4</v>
      </c>
      <c r="TA25" s="70" t="s">
        <v>666</v>
      </c>
      <c r="TB25" s="24">
        <v>38</v>
      </c>
      <c r="TC25" s="16"/>
      <c r="TD25" s="59"/>
      <c r="TE25" s="121"/>
      <c r="TF25" s="20">
        <v>18</v>
      </c>
      <c r="TG25" s="19">
        <v>950.57</v>
      </c>
      <c r="TH25" s="17">
        <v>43464</v>
      </c>
      <c r="TI25" s="19">
        <v>950.57</v>
      </c>
      <c r="TJ25" s="70" t="s">
        <v>676</v>
      </c>
      <c r="TK25" s="24">
        <v>38</v>
      </c>
      <c r="TM25" s="7"/>
      <c r="TN25" s="2"/>
      <c r="TO25" s="20">
        <v>18</v>
      </c>
      <c r="TP25" s="19">
        <v>904.5</v>
      </c>
      <c r="TQ25" s="17">
        <v>43464</v>
      </c>
      <c r="TR25" s="19">
        <v>904.5</v>
      </c>
      <c r="TS25" s="70" t="s">
        <v>671</v>
      </c>
      <c r="TT25" s="24">
        <v>38</v>
      </c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IDEAL TRADING</v>
      </c>
      <c r="C26" s="16" t="str">
        <f t="shared" si="22"/>
        <v>Seaboard</v>
      </c>
      <c r="D26" s="72" t="str">
        <f t="shared" si="22"/>
        <v>PED. 32247488</v>
      </c>
      <c r="E26" s="155">
        <f t="shared" si="22"/>
        <v>43448</v>
      </c>
      <c r="F26" s="74">
        <f t="shared" si="22"/>
        <v>16203.52</v>
      </c>
      <c r="G26" s="15">
        <f t="shared" si="22"/>
        <v>18</v>
      </c>
      <c r="H26" s="64">
        <f t="shared" si="22"/>
        <v>16247.6</v>
      </c>
      <c r="I26" s="18">
        <f t="shared" si="22"/>
        <v>-44.079999999999927</v>
      </c>
      <c r="K26" s="59"/>
      <c r="L26" s="121"/>
      <c r="M26" s="20">
        <v>19</v>
      </c>
      <c r="N26" s="190">
        <v>885</v>
      </c>
      <c r="O26" s="105">
        <v>43435</v>
      </c>
      <c r="P26" s="190">
        <v>885</v>
      </c>
      <c r="Q26" s="124" t="s">
        <v>472</v>
      </c>
      <c r="R26" s="103">
        <v>37</v>
      </c>
      <c r="S26" s="16"/>
      <c r="T26" s="59"/>
      <c r="U26" s="121"/>
      <c r="V26" s="20">
        <v>19</v>
      </c>
      <c r="W26" s="190">
        <v>880</v>
      </c>
      <c r="X26" s="17">
        <v>43435</v>
      </c>
      <c r="Y26" s="190">
        <v>880</v>
      </c>
      <c r="Z26" s="70" t="s">
        <v>474</v>
      </c>
      <c r="AA26" s="24">
        <v>37</v>
      </c>
      <c r="AB26" s="16"/>
      <c r="AC26" s="59"/>
      <c r="AD26" s="121"/>
      <c r="AE26" s="20">
        <v>19</v>
      </c>
      <c r="AF26" s="190">
        <v>916.55</v>
      </c>
      <c r="AG26" s="17">
        <v>43436</v>
      </c>
      <c r="AH26" s="190">
        <v>916.55</v>
      </c>
      <c r="AI26" s="70" t="s">
        <v>462</v>
      </c>
      <c r="AJ26" s="24">
        <v>37</v>
      </c>
      <c r="AK26" s="16"/>
      <c r="AL26" s="59"/>
      <c r="AM26" s="121"/>
      <c r="AN26" s="20">
        <v>19</v>
      </c>
      <c r="AO26" s="19">
        <v>927.44</v>
      </c>
      <c r="AP26" s="17">
        <v>43441</v>
      </c>
      <c r="AQ26" s="19">
        <v>927.44</v>
      </c>
      <c r="AR26" s="70" t="s">
        <v>521</v>
      </c>
      <c r="AS26" s="24">
        <v>38</v>
      </c>
      <c r="AT26" s="16"/>
      <c r="AU26" s="59"/>
      <c r="AV26" s="121"/>
      <c r="AW26" s="20">
        <v>19</v>
      </c>
      <c r="AX26" s="19">
        <v>893.1</v>
      </c>
      <c r="AY26" s="105">
        <v>43441</v>
      </c>
      <c r="AZ26" s="19">
        <v>893.1</v>
      </c>
      <c r="BA26" s="124" t="s">
        <v>520</v>
      </c>
      <c r="BB26" s="414">
        <v>38</v>
      </c>
      <c r="BC26" s="16"/>
      <c r="BD26" s="59"/>
      <c r="BE26" s="121"/>
      <c r="BF26" s="20">
        <v>19</v>
      </c>
      <c r="BG26" s="19">
        <v>915.8</v>
      </c>
      <c r="BH26" s="400">
        <v>43441</v>
      </c>
      <c r="BI26" s="19">
        <v>915.8</v>
      </c>
      <c r="BJ26" s="402" t="s">
        <v>511</v>
      </c>
      <c r="BK26" s="403">
        <v>38</v>
      </c>
      <c r="BL26" s="16"/>
      <c r="BM26" s="59"/>
      <c r="BN26" s="121"/>
      <c r="BO26" s="20">
        <v>19</v>
      </c>
      <c r="BP26" s="19">
        <v>894.5</v>
      </c>
      <c r="BQ26" s="400">
        <v>43438</v>
      </c>
      <c r="BR26" s="19">
        <v>894.5</v>
      </c>
      <c r="BS26" s="402" t="s">
        <v>484</v>
      </c>
      <c r="BT26" s="403">
        <v>37</v>
      </c>
      <c r="BU26" s="16"/>
      <c r="BV26" s="59"/>
      <c r="BW26" s="121"/>
      <c r="BX26" s="20">
        <v>19</v>
      </c>
      <c r="BY26" s="19">
        <v>902</v>
      </c>
      <c r="BZ26" s="400">
        <v>43438</v>
      </c>
      <c r="CA26" s="19">
        <v>902</v>
      </c>
      <c r="CB26" s="402" t="s">
        <v>463</v>
      </c>
      <c r="CC26" s="403">
        <v>37</v>
      </c>
      <c r="CD26" s="16"/>
      <c r="CE26" s="59"/>
      <c r="CF26" s="121"/>
      <c r="CG26" s="20">
        <v>19</v>
      </c>
      <c r="CH26" s="19">
        <v>951.18</v>
      </c>
      <c r="CI26" s="17">
        <v>43439</v>
      </c>
      <c r="CJ26" s="19">
        <v>951.18</v>
      </c>
      <c r="CK26" s="70" t="s">
        <v>494</v>
      </c>
      <c r="CL26" s="24">
        <v>37</v>
      </c>
      <c r="CM26" s="16"/>
      <c r="CN26" s="128"/>
      <c r="CO26" s="121"/>
      <c r="CP26" s="20">
        <v>19</v>
      </c>
      <c r="CQ26" s="19">
        <v>916.25</v>
      </c>
      <c r="CR26" s="17">
        <v>43439</v>
      </c>
      <c r="CS26" s="19">
        <v>916.25</v>
      </c>
      <c r="CT26" s="70" t="s">
        <v>500</v>
      </c>
      <c r="CU26" s="24">
        <v>37</v>
      </c>
      <c r="CV26" s="16"/>
      <c r="CW26" s="59"/>
      <c r="CX26" s="121"/>
      <c r="CY26" s="20">
        <v>19</v>
      </c>
      <c r="CZ26" s="19">
        <v>922</v>
      </c>
      <c r="DA26" s="400">
        <v>43440</v>
      </c>
      <c r="DB26" s="19">
        <v>922</v>
      </c>
      <c r="DC26" s="402" t="s">
        <v>496</v>
      </c>
      <c r="DD26" s="403">
        <v>38</v>
      </c>
      <c r="DE26" s="16"/>
      <c r="DF26" s="59"/>
      <c r="DG26" s="121"/>
      <c r="DH26" s="20">
        <v>19</v>
      </c>
      <c r="DI26" s="19">
        <v>962.97</v>
      </c>
      <c r="DJ26" s="400">
        <v>43440</v>
      </c>
      <c r="DK26" s="19">
        <v>962.97</v>
      </c>
      <c r="DL26" s="402" t="s">
        <v>508</v>
      </c>
      <c r="DM26" s="403">
        <v>37</v>
      </c>
      <c r="DN26" s="16"/>
      <c r="DO26" s="59"/>
      <c r="DP26" s="121"/>
      <c r="DQ26" s="20">
        <v>19</v>
      </c>
      <c r="DR26" s="30">
        <v>997.28</v>
      </c>
      <c r="DS26" s="58">
        <v>43442</v>
      </c>
      <c r="DT26" s="30">
        <v>997.28</v>
      </c>
      <c r="DU26" s="76" t="s">
        <v>523</v>
      </c>
      <c r="DV26" s="24">
        <v>40</v>
      </c>
      <c r="DW26" s="16"/>
      <c r="DX26" s="59"/>
      <c r="DY26" s="121"/>
      <c r="DZ26" s="20">
        <v>19</v>
      </c>
      <c r="EA26" s="30">
        <v>901.3</v>
      </c>
      <c r="EB26" s="58">
        <v>43444</v>
      </c>
      <c r="EC26" s="30">
        <v>901.3</v>
      </c>
      <c r="ED26" s="76" t="s">
        <v>466</v>
      </c>
      <c r="EE26" s="24">
        <v>42</v>
      </c>
      <c r="EF26" s="16"/>
      <c r="EG26" s="59"/>
      <c r="EH26" s="121"/>
      <c r="EI26" s="20">
        <v>19</v>
      </c>
      <c r="EJ26" s="19">
        <v>893.6</v>
      </c>
      <c r="EK26" s="17">
        <v>43442</v>
      </c>
      <c r="EL26" s="19">
        <v>893.6</v>
      </c>
      <c r="EM26" s="43" t="s">
        <v>504</v>
      </c>
      <c r="EN26" s="24">
        <v>40</v>
      </c>
      <c r="EO26" s="16"/>
      <c r="EP26" s="59"/>
      <c r="EQ26" s="121"/>
      <c r="ER26" s="20">
        <v>19</v>
      </c>
      <c r="ES26" s="19">
        <v>993.2</v>
      </c>
      <c r="ET26" s="17">
        <v>43447</v>
      </c>
      <c r="EU26" s="19">
        <v>993.2</v>
      </c>
      <c r="EV26" s="43" t="s">
        <v>536</v>
      </c>
      <c r="EW26" s="24">
        <v>42</v>
      </c>
      <c r="EX26" s="16"/>
      <c r="EY26" s="59"/>
      <c r="EZ26" s="121"/>
      <c r="FA26" s="20">
        <v>19</v>
      </c>
      <c r="FB26" s="167">
        <v>991.84</v>
      </c>
      <c r="FC26" s="150">
        <v>43445</v>
      </c>
      <c r="FD26" s="167">
        <v>991.84</v>
      </c>
      <c r="FE26" s="110" t="s">
        <v>492</v>
      </c>
      <c r="FF26" s="111">
        <v>42</v>
      </c>
      <c r="FG26" s="16"/>
      <c r="FH26" s="59"/>
      <c r="FI26" s="121"/>
      <c r="FJ26" s="20">
        <v>19</v>
      </c>
      <c r="FK26" s="30">
        <v>906.5</v>
      </c>
      <c r="FL26" s="58">
        <v>43445</v>
      </c>
      <c r="FM26" s="30">
        <v>906.5</v>
      </c>
      <c r="FN26" s="76" t="s">
        <v>480</v>
      </c>
      <c r="FO26" s="24">
        <v>42</v>
      </c>
      <c r="FP26" s="16"/>
      <c r="FQ26" s="59"/>
      <c r="FR26" s="121"/>
      <c r="FS26" s="20">
        <v>19</v>
      </c>
      <c r="FT26" s="19">
        <v>935.3</v>
      </c>
      <c r="FU26" s="150">
        <v>43445</v>
      </c>
      <c r="FV26" s="19">
        <v>935.3</v>
      </c>
      <c r="FW26" s="270" t="s">
        <v>514</v>
      </c>
      <c r="FX26" s="111">
        <v>42</v>
      </c>
      <c r="FY26" s="16"/>
      <c r="FZ26" s="59"/>
      <c r="GA26" s="121"/>
      <c r="GB26" s="20">
        <v>19</v>
      </c>
      <c r="GC26" s="19">
        <v>907.94</v>
      </c>
      <c r="GD26" s="17">
        <v>43446</v>
      </c>
      <c r="GE26" s="19">
        <v>907.94</v>
      </c>
      <c r="GF26" s="70" t="s">
        <v>515</v>
      </c>
      <c r="GG26" s="24">
        <v>42</v>
      </c>
      <c r="GH26" s="16"/>
      <c r="GI26" s="59"/>
      <c r="GJ26" s="121"/>
      <c r="GK26" s="20">
        <v>19</v>
      </c>
      <c r="GL26" s="19">
        <v>951.93</v>
      </c>
      <c r="GM26" s="17">
        <v>43447</v>
      </c>
      <c r="GN26" s="19">
        <v>951.93</v>
      </c>
      <c r="GO26" s="70" t="s">
        <v>537</v>
      </c>
      <c r="GP26" s="24">
        <v>42</v>
      </c>
      <c r="GQ26" s="16"/>
      <c r="GR26" s="59"/>
      <c r="GS26" s="638"/>
      <c r="GT26" s="20">
        <v>19</v>
      </c>
      <c r="GU26" s="19">
        <v>895.8</v>
      </c>
      <c r="GV26" s="17">
        <v>43448</v>
      </c>
      <c r="GW26" s="19">
        <v>895.8</v>
      </c>
      <c r="GX26" s="311" t="s">
        <v>548</v>
      </c>
      <c r="GY26" s="24">
        <v>42</v>
      </c>
      <c r="GZ26" s="16"/>
      <c r="HA26" s="59"/>
      <c r="HB26" s="121"/>
      <c r="HC26" s="20">
        <v>19</v>
      </c>
      <c r="HD26" s="30"/>
      <c r="HE26" s="58"/>
      <c r="HF26" s="30"/>
      <c r="HG26" s="76"/>
      <c r="HH26" s="24"/>
      <c r="HI26" s="16"/>
      <c r="HJ26" s="59"/>
      <c r="HK26" s="121"/>
      <c r="HL26" s="20">
        <v>19</v>
      </c>
      <c r="HM26" s="19">
        <v>945.58</v>
      </c>
      <c r="HN26" s="17">
        <v>43449</v>
      </c>
      <c r="HO26" s="19">
        <v>945.58</v>
      </c>
      <c r="HP26" s="593" t="s">
        <v>551</v>
      </c>
      <c r="HQ26" s="24">
        <v>42</v>
      </c>
      <c r="HR26" s="16"/>
      <c r="HS26" s="30"/>
      <c r="HT26" s="121"/>
      <c r="HU26" s="20">
        <v>19</v>
      </c>
      <c r="HV26" s="19">
        <v>971.43</v>
      </c>
      <c r="HW26" s="58">
        <v>43448</v>
      </c>
      <c r="HX26" s="19">
        <v>971.43</v>
      </c>
      <c r="HY26" s="76" t="s">
        <v>546</v>
      </c>
      <c r="HZ26" s="24">
        <v>42</v>
      </c>
      <c r="IA26" s="16"/>
      <c r="IB26" s="59"/>
      <c r="IC26" s="121"/>
      <c r="ID26" s="20">
        <v>19</v>
      </c>
      <c r="IE26" s="19"/>
      <c r="IF26" s="17"/>
      <c r="IG26" s="19"/>
      <c r="IH26" s="43"/>
      <c r="II26" s="24"/>
      <c r="IJ26" s="16"/>
      <c r="IK26" s="59"/>
      <c r="IL26" s="121"/>
      <c r="IM26" s="20">
        <v>19</v>
      </c>
      <c r="IN26" s="30">
        <v>975.96</v>
      </c>
      <c r="IO26" s="626">
        <v>43450</v>
      </c>
      <c r="IP26" s="30">
        <v>975.96</v>
      </c>
      <c r="IQ26" s="76" t="s">
        <v>563</v>
      </c>
      <c r="IR26" s="24">
        <v>42</v>
      </c>
      <c r="IS26" s="16"/>
      <c r="IT26" s="59"/>
      <c r="IU26" s="121"/>
      <c r="IV26" s="20">
        <v>19</v>
      </c>
      <c r="IW26" s="19">
        <v>921.2</v>
      </c>
      <c r="IX26" s="17">
        <v>43451</v>
      </c>
      <c r="IY26" s="19">
        <v>921.2</v>
      </c>
      <c r="IZ26" s="70" t="s">
        <v>568</v>
      </c>
      <c r="JA26" s="24">
        <v>42</v>
      </c>
      <c r="JB26" s="16"/>
      <c r="JC26" s="59"/>
      <c r="JD26" s="121"/>
      <c r="JE26" s="20">
        <v>19</v>
      </c>
      <c r="JF26" s="19">
        <v>874.5</v>
      </c>
      <c r="JG26" s="17">
        <v>43451</v>
      </c>
      <c r="JH26" s="19">
        <v>874.5</v>
      </c>
      <c r="JI26" s="70" t="s">
        <v>568</v>
      </c>
      <c r="JJ26" s="24">
        <v>42</v>
      </c>
      <c r="JK26" s="16"/>
      <c r="JL26" s="59"/>
      <c r="JM26" s="121"/>
      <c r="JN26" s="20">
        <v>19</v>
      </c>
      <c r="JO26" s="19">
        <v>931.97</v>
      </c>
      <c r="JP26" s="17">
        <v>43452</v>
      </c>
      <c r="JQ26" s="19">
        <v>931.97</v>
      </c>
      <c r="JR26" s="70" t="s">
        <v>579</v>
      </c>
      <c r="JS26" s="24">
        <v>42</v>
      </c>
      <c r="JT26" s="16"/>
      <c r="JU26" s="59"/>
      <c r="JV26" s="121"/>
      <c r="JW26" s="20">
        <v>19</v>
      </c>
      <c r="JX26" s="19">
        <v>908.09</v>
      </c>
      <c r="JY26" s="17">
        <v>43454</v>
      </c>
      <c r="JZ26" s="19">
        <v>908.09</v>
      </c>
      <c r="KA26" s="70" t="s">
        <v>590</v>
      </c>
      <c r="KB26" s="24">
        <v>42</v>
      </c>
      <c r="KC26" s="16"/>
      <c r="KD26" s="59"/>
      <c r="KE26" s="121"/>
      <c r="KF26" s="20">
        <v>19</v>
      </c>
      <c r="KG26" s="19">
        <v>905.5</v>
      </c>
      <c r="KH26" s="17">
        <v>43452</v>
      </c>
      <c r="KI26" s="19">
        <v>905.5</v>
      </c>
      <c r="KJ26" s="70" t="s">
        <v>581</v>
      </c>
      <c r="KK26" s="24">
        <v>42</v>
      </c>
      <c r="KL26" s="16"/>
      <c r="KM26" s="59"/>
      <c r="KN26" s="121"/>
      <c r="KO26" s="20">
        <v>19</v>
      </c>
      <c r="KP26" s="190">
        <v>901.7</v>
      </c>
      <c r="KQ26" s="105">
        <v>43453</v>
      </c>
      <c r="KR26" s="190">
        <v>901.7</v>
      </c>
      <c r="KS26" s="124" t="s">
        <v>584</v>
      </c>
      <c r="KT26" s="103">
        <v>42</v>
      </c>
      <c r="KU26" s="16"/>
      <c r="KV26" s="59"/>
      <c r="KW26" s="121"/>
      <c r="KX26" s="20">
        <v>19</v>
      </c>
      <c r="KY26" s="190">
        <v>947.39</v>
      </c>
      <c r="KZ26" s="17">
        <v>43453</v>
      </c>
      <c r="LA26" s="190">
        <v>947.39</v>
      </c>
      <c r="LB26" s="70" t="s">
        <v>561</v>
      </c>
      <c r="LC26" s="24">
        <v>42</v>
      </c>
      <c r="LD26" s="16"/>
      <c r="LE26" s="59"/>
      <c r="LF26" s="121"/>
      <c r="LG26" s="20">
        <v>19</v>
      </c>
      <c r="LH26" s="19">
        <v>951.47</v>
      </c>
      <c r="LI26" s="17">
        <v>43454</v>
      </c>
      <c r="LJ26" s="19">
        <v>951.47</v>
      </c>
      <c r="LK26" s="70" t="s">
        <v>591</v>
      </c>
      <c r="LL26" s="24">
        <v>42</v>
      </c>
      <c r="LM26" s="16"/>
      <c r="LN26" s="59"/>
      <c r="LO26" s="121"/>
      <c r="LP26" s="20">
        <v>19</v>
      </c>
      <c r="LQ26" s="190">
        <v>927.44</v>
      </c>
      <c r="LR26" s="17">
        <v>43455</v>
      </c>
      <c r="LS26" s="190">
        <v>927.44</v>
      </c>
      <c r="LT26" s="70" t="s">
        <v>598</v>
      </c>
      <c r="LU26" s="24">
        <v>42</v>
      </c>
      <c r="LV26" s="16"/>
      <c r="LW26" s="59"/>
      <c r="LX26" s="121"/>
      <c r="LY26" s="20">
        <v>19</v>
      </c>
      <c r="LZ26" s="19">
        <v>893.6</v>
      </c>
      <c r="MA26" s="17">
        <v>43455</v>
      </c>
      <c r="MB26" s="19">
        <v>893.6</v>
      </c>
      <c r="MC26" s="70" t="s">
        <v>604</v>
      </c>
      <c r="MD26" s="24">
        <v>42</v>
      </c>
      <c r="ME26" s="16"/>
      <c r="MF26" s="59"/>
      <c r="MG26" s="121"/>
      <c r="MH26" s="20">
        <v>19</v>
      </c>
      <c r="MI26" s="167">
        <v>886.3</v>
      </c>
      <c r="MJ26" s="150">
        <v>43455</v>
      </c>
      <c r="MK26" s="167">
        <v>886.3</v>
      </c>
      <c r="ML26" s="270" t="s">
        <v>608</v>
      </c>
      <c r="MM26" s="111">
        <v>42</v>
      </c>
      <c r="MN26" s="16"/>
      <c r="MO26" s="59"/>
      <c r="MP26" s="121"/>
      <c r="MQ26" s="20">
        <v>19</v>
      </c>
      <c r="MR26" s="19">
        <v>966.44</v>
      </c>
      <c r="MS26" s="17">
        <v>43457</v>
      </c>
      <c r="MT26" s="19">
        <v>966.44</v>
      </c>
      <c r="MU26" s="70" t="s">
        <v>628</v>
      </c>
      <c r="MV26" s="24">
        <v>42</v>
      </c>
      <c r="MW26" s="16"/>
      <c r="MX26" s="59"/>
      <c r="MY26" s="121"/>
      <c r="MZ26" s="20">
        <v>19</v>
      </c>
      <c r="NA26" s="19">
        <v>950.7</v>
      </c>
      <c r="NB26" s="17">
        <v>43461</v>
      </c>
      <c r="NC26" s="19">
        <v>950.7</v>
      </c>
      <c r="ND26" s="70" t="s">
        <v>640</v>
      </c>
      <c r="NE26" s="24">
        <v>38</v>
      </c>
      <c r="NF26" s="16"/>
      <c r="NG26" s="59"/>
      <c r="NH26" s="121"/>
      <c r="NI26" s="20">
        <v>19</v>
      </c>
      <c r="NJ26" s="19">
        <v>905.8</v>
      </c>
      <c r="NK26" s="17">
        <v>43456</v>
      </c>
      <c r="NL26" s="19">
        <v>905.8</v>
      </c>
      <c r="NM26" s="70" t="s">
        <v>614</v>
      </c>
      <c r="NN26" s="24">
        <v>42</v>
      </c>
      <c r="NO26" s="16"/>
      <c r="NP26" s="59"/>
      <c r="NQ26" s="171"/>
      <c r="NR26" s="20">
        <v>19</v>
      </c>
      <c r="NS26" s="19">
        <v>960.3</v>
      </c>
      <c r="NT26" s="17">
        <v>43456</v>
      </c>
      <c r="NU26" s="19">
        <v>960.3</v>
      </c>
      <c r="NV26" s="70" t="s">
        <v>616</v>
      </c>
      <c r="NW26" s="24">
        <v>42</v>
      </c>
      <c r="NX26" s="16"/>
      <c r="NY26" s="59"/>
      <c r="NZ26" s="121"/>
      <c r="OA26" s="20">
        <v>19</v>
      </c>
      <c r="OB26" s="19">
        <v>945.58</v>
      </c>
      <c r="OC26" s="105">
        <v>43456</v>
      </c>
      <c r="OD26" s="19">
        <v>945.58</v>
      </c>
      <c r="OE26" s="124" t="s">
        <v>620</v>
      </c>
      <c r="OF26" s="103">
        <v>42</v>
      </c>
      <c r="OG26" s="16"/>
      <c r="OH26" s="59"/>
      <c r="OI26" s="121"/>
      <c r="OJ26" s="20">
        <v>19</v>
      </c>
      <c r="OK26" s="19">
        <v>870.4</v>
      </c>
      <c r="OL26" s="17">
        <v>43456</v>
      </c>
      <c r="OM26" s="19">
        <v>870.4</v>
      </c>
      <c r="ON26" s="70" t="s">
        <v>623</v>
      </c>
      <c r="OO26" s="482">
        <v>42</v>
      </c>
      <c r="OP26" s="16"/>
      <c r="OQ26" s="59"/>
      <c r="OR26" s="121"/>
      <c r="OS26" s="20">
        <v>19</v>
      </c>
      <c r="OT26" s="19">
        <v>873.6</v>
      </c>
      <c r="OU26" s="17">
        <v>43457</v>
      </c>
      <c r="OV26" s="19">
        <v>873.6</v>
      </c>
      <c r="OW26" s="70" t="s">
        <v>626</v>
      </c>
      <c r="OX26" s="24">
        <v>42</v>
      </c>
      <c r="OY26" s="16"/>
      <c r="OZ26" s="59"/>
      <c r="PA26" s="121"/>
      <c r="PB26" s="20">
        <v>19</v>
      </c>
      <c r="PC26" s="19">
        <v>949.66</v>
      </c>
      <c r="PD26" s="17">
        <v>43458</v>
      </c>
      <c r="PE26" s="19">
        <v>949.66</v>
      </c>
      <c r="PF26" s="70" t="s">
        <v>630</v>
      </c>
      <c r="PG26" s="24">
        <v>42</v>
      </c>
      <c r="PH26" s="16"/>
      <c r="PI26" s="59"/>
      <c r="PJ26" s="121"/>
      <c r="PK26" s="20">
        <v>19</v>
      </c>
      <c r="PL26" s="19">
        <v>894.5</v>
      </c>
      <c r="PM26" s="17">
        <v>43461</v>
      </c>
      <c r="PN26" s="19">
        <v>894.5</v>
      </c>
      <c r="PO26" s="70" t="s">
        <v>650</v>
      </c>
      <c r="PP26" s="24">
        <v>38</v>
      </c>
      <c r="PQ26" s="16"/>
      <c r="PR26" s="59"/>
      <c r="PS26" s="199"/>
      <c r="PT26" s="20">
        <v>19</v>
      </c>
      <c r="PU26" s="19">
        <v>930.77</v>
      </c>
      <c r="PV26" s="17">
        <v>43462</v>
      </c>
      <c r="PW26" s="19">
        <v>930.77</v>
      </c>
      <c r="PX26" s="270" t="s">
        <v>658</v>
      </c>
      <c r="PY26" s="24">
        <v>38</v>
      </c>
      <c r="PZ26" s="16"/>
      <c r="QA26" s="59"/>
      <c r="QB26" s="121"/>
      <c r="QC26" s="20">
        <v>19</v>
      </c>
      <c r="QD26" s="19">
        <v>926.68</v>
      </c>
      <c r="QE26" s="105">
        <v>43461</v>
      </c>
      <c r="QF26" s="19">
        <v>926.68</v>
      </c>
      <c r="QG26" s="124" t="s">
        <v>639</v>
      </c>
      <c r="QH26" s="414">
        <v>38</v>
      </c>
      <c r="QI26" s="16"/>
      <c r="QJ26" s="59"/>
      <c r="QK26" s="121"/>
      <c r="QL26" s="20">
        <v>19</v>
      </c>
      <c r="QM26" s="19">
        <v>907.6</v>
      </c>
      <c r="QN26" s="17">
        <v>43461</v>
      </c>
      <c r="QO26" s="19">
        <v>907.6</v>
      </c>
      <c r="QP26" s="70" t="s">
        <v>646</v>
      </c>
      <c r="QQ26" s="24">
        <v>38</v>
      </c>
      <c r="QR26" s="16"/>
      <c r="QS26" s="59"/>
      <c r="QT26" s="121"/>
      <c r="QU26" s="20">
        <v>19</v>
      </c>
      <c r="QV26" s="19">
        <v>940.29</v>
      </c>
      <c r="QW26" s="17">
        <v>43461</v>
      </c>
      <c r="QX26" s="19">
        <v>940.29</v>
      </c>
      <c r="QY26" s="70" t="s">
        <v>655</v>
      </c>
      <c r="QZ26" s="24">
        <v>38</v>
      </c>
      <c r="RA26" s="16"/>
      <c r="RB26" s="59"/>
      <c r="RC26" s="121"/>
      <c r="RD26" s="20"/>
      <c r="RE26" s="19"/>
      <c r="RF26" s="17"/>
      <c r="RG26" s="19"/>
      <c r="RH26" s="70"/>
      <c r="RI26" s="24"/>
      <c r="RJ26" s="16"/>
      <c r="RK26" s="59"/>
      <c r="RL26" s="121"/>
      <c r="RM26" s="20">
        <v>19</v>
      </c>
      <c r="RN26" s="19">
        <v>925.17</v>
      </c>
      <c r="RO26" s="400">
        <v>43462</v>
      </c>
      <c r="RP26" s="401">
        <v>925.17</v>
      </c>
      <c r="RQ26" s="402" t="s">
        <v>660</v>
      </c>
      <c r="RR26" s="403">
        <v>38</v>
      </c>
      <c r="RS26" s="16"/>
      <c r="RT26" s="59"/>
      <c r="RU26" s="121"/>
      <c r="RV26" s="20"/>
      <c r="RW26" s="19"/>
      <c r="RX26" s="17"/>
      <c r="RY26" s="19"/>
      <c r="RZ26" s="70"/>
      <c r="SA26" s="24"/>
      <c r="SB26" s="16"/>
      <c r="SC26" s="59"/>
      <c r="SD26" s="121"/>
      <c r="SE26" s="20">
        <v>19</v>
      </c>
      <c r="SF26" s="19">
        <v>933.79</v>
      </c>
      <c r="SG26" s="17">
        <v>43463</v>
      </c>
      <c r="SH26" s="19">
        <v>933.79</v>
      </c>
      <c r="SI26" s="70" t="s">
        <v>667</v>
      </c>
      <c r="SJ26" s="24">
        <v>38</v>
      </c>
      <c r="SK26" s="16"/>
      <c r="SL26" s="59"/>
      <c r="SM26" s="121"/>
      <c r="SN26" s="20"/>
      <c r="SO26" s="19"/>
      <c r="SP26" s="17"/>
      <c r="SQ26" s="19"/>
      <c r="SR26" s="70"/>
      <c r="SS26" s="24"/>
      <c r="ST26" s="16"/>
      <c r="SU26" s="59"/>
      <c r="SV26" s="121"/>
      <c r="SW26" s="20">
        <v>19</v>
      </c>
      <c r="SX26" s="19">
        <v>906.3</v>
      </c>
      <c r="SY26" s="17">
        <v>43463</v>
      </c>
      <c r="SZ26" s="19">
        <v>906.3</v>
      </c>
      <c r="TA26" s="70" t="s">
        <v>666</v>
      </c>
      <c r="TB26" s="24">
        <v>38</v>
      </c>
      <c r="TC26" s="16"/>
      <c r="TD26" s="59"/>
      <c r="TE26" s="121"/>
      <c r="TF26" s="20">
        <v>19</v>
      </c>
      <c r="TG26" s="19">
        <v>909.75</v>
      </c>
      <c r="TH26" s="17">
        <v>43464</v>
      </c>
      <c r="TI26" s="19">
        <v>909.75</v>
      </c>
      <c r="TJ26" s="70" t="s">
        <v>676</v>
      </c>
      <c r="TK26" s="24">
        <v>38</v>
      </c>
      <c r="TM26" s="7"/>
      <c r="TN26" s="2"/>
      <c r="TO26" s="20">
        <v>19</v>
      </c>
      <c r="TP26" s="19">
        <v>896.7</v>
      </c>
      <c r="TQ26" s="17">
        <v>43464</v>
      </c>
      <c r="TR26" s="19">
        <v>896.7</v>
      </c>
      <c r="TS26" s="70" t="s">
        <v>671</v>
      </c>
      <c r="TT26" s="24">
        <v>38</v>
      </c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SMTHFIELD FARMLAND</v>
      </c>
      <c r="C27" s="16" t="str">
        <f t="shared" si="23"/>
        <v>Smithfield</v>
      </c>
      <c r="D27" s="72" t="str">
        <f t="shared" si="23"/>
        <v>PED.32246261</v>
      </c>
      <c r="E27" s="155">
        <f t="shared" si="23"/>
        <v>43448</v>
      </c>
      <c r="F27" s="74">
        <f t="shared" si="23"/>
        <v>18519.490000000002</v>
      </c>
      <c r="G27" s="15">
        <f t="shared" si="23"/>
        <v>20</v>
      </c>
      <c r="H27" s="64">
        <f t="shared" si="23"/>
        <v>18953.21</v>
      </c>
      <c r="I27" s="18">
        <f t="shared" si="23"/>
        <v>-433.71999999999753</v>
      </c>
      <c r="K27" s="59"/>
      <c r="L27" s="121"/>
      <c r="M27" s="20">
        <v>20</v>
      </c>
      <c r="N27" s="190">
        <v>892.7</v>
      </c>
      <c r="O27" s="105">
        <v>43435</v>
      </c>
      <c r="P27" s="190">
        <v>892.7</v>
      </c>
      <c r="Q27" s="124" t="s">
        <v>472</v>
      </c>
      <c r="R27" s="103">
        <v>37</v>
      </c>
      <c r="S27" s="16"/>
      <c r="T27" s="59"/>
      <c r="U27" s="121"/>
      <c r="V27" s="20">
        <v>20</v>
      </c>
      <c r="W27" s="190">
        <v>940.3</v>
      </c>
      <c r="X27" s="17">
        <v>43435</v>
      </c>
      <c r="Y27" s="190">
        <v>940.3</v>
      </c>
      <c r="Z27" s="70" t="s">
        <v>474</v>
      </c>
      <c r="AA27" s="24">
        <v>37</v>
      </c>
      <c r="AB27" s="16"/>
      <c r="AC27" s="59"/>
      <c r="AD27" s="121"/>
      <c r="AE27" s="20">
        <v>20</v>
      </c>
      <c r="AF27" s="190">
        <v>956.92</v>
      </c>
      <c r="AG27" s="17">
        <v>43436</v>
      </c>
      <c r="AH27" s="190">
        <v>956.92</v>
      </c>
      <c r="AI27" s="70" t="s">
        <v>462</v>
      </c>
      <c r="AJ27" s="24">
        <v>37</v>
      </c>
      <c r="AK27" s="16"/>
      <c r="AL27" s="59"/>
      <c r="AM27" s="121"/>
      <c r="AN27" s="20">
        <v>20</v>
      </c>
      <c r="AO27" s="19"/>
      <c r="AP27" s="17"/>
      <c r="AQ27" s="19"/>
      <c r="AR27" s="70"/>
      <c r="AS27" s="24"/>
      <c r="AT27" s="16"/>
      <c r="AU27" s="59"/>
      <c r="AV27" s="121"/>
      <c r="AW27" s="20">
        <v>20</v>
      </c>
      <c r="AX27" s="19">
        <v>909</v>
      </c>
      <c r="AY27" s="105">
        <v>43441</v>
      </c>
      <c r="AZ27" s="19">
        <v>909</v>
      </c>
      <c r="BA27" s="124" t="s">
        <v>520</v>
      </c>
      <c r="BB27" s="414">
        <v>38</v>
      </c>
      <c r="BC27" s="16"/>
      <c r="BD27" s="59"/>
      <c r="BE27" s="121"/>
      <c r="BF27" s="20">
        <v>20</v>
      </c>
      <c r="BG27" s="19">
        <v>925.3</v>
      </c>
      <c r="BH27" s="400">
        <v>43441</v>
      </c>
      <c r="BI27" s="19">
        <v>925.3</v>
      </c>
      <c r="BJ27" s="402" t="s">
        <v>511</v>
      </c>
      <c r="BK27" s="403">
        <v>38</v>
      </c>
      <c r="BL27" s="16"/>
      <c r="BM27" s="59"/>
      <c r="BN27" s="121"/>
      <c r="BO27" s="20">
        <v>20</v>
      </c>
      <c r="BP27" s="19">
        <v>895.5</v>
      </c>
      <c r="BQ27" s="400">
        <v>43438</v>
      </c>
      <c r="BR27" s="19">
        <v>895.5</v>
      </c>
      <c r="BS27" s="402" t="s">
        <v>484</v>
      </c>
      <c r="BT27" s="403">
        <v>37</v>
      </c>
      <c r="BU27" s="16"/>
      <c r="BV27" s="59"/>
      <c r="BW27" s="121"/>
      <c r="BX27" s="20">
        <v>20</v>
      </c>
      <c r="BY27" s="19">
        <v>904</v>
      </c>
      <c r="BZ27" s="400">
        <v>43438</v>
      </c>
      <c r="CA27" s="19">
        <v>904</v>
      </c>
      <c r="CB27" s="402" t="s">
        <v>463</v>
      </c>
      <c r="CC27" s="403">
        <v>37</v>
      </c>
      <c r="CD27" s="16"/>
      <c r="CE27" s="59"/>
      <c r="CF27" s="121"/>
      <c r="CG27" s="20">
        <v>20</v>
      </c>
      <c r="CH27" s="19">
        <v>970.68</v>
      </c>
      <c r="CI27" s="17">
        <v>43439</v>
      </c>
      <c r="CJ27" s="19">
        <v>970.68</v>
      </c>
      <c r="CK27" s="70" t="s">
        <v>494</v>
      </c>
      <c r="CL27" s="24">
        <v>37</v>
      </c>
      <c r="CM27" s="16"/>
      <c r="CN27" s="128"/>
      <c r="CO27" s="121"/>
      <c r="CP27" s="20">
        <v>20</v>
      </c>
      <c r="CQ27" s="19">
        <v>916.25</v>
      </c>
      <c r="CR27" s="17">
        <v>43439</v>
      </c>
      <c r="CS27" s="19">
        <v>916.25</v>
      </c>
      <c r="CT27" s="70" t="s">
        <v>500</v>
      </c>
      <c r="CU27" s="24">
        <v>37</v>
      </c>
      <c r="CV27" s="16"/>
      <c r="CW27" s="59"/>
      <c r="CX27" s="121"/>
      <c r="CY27" s="20">
        <v>20</v>
      </c>
      <c r="CZ27" s="19">
        <v>888.89</v>
      </c>
      <c r="DA27" s="400">
        <v>43440</v>
      </c>
      <c r="DB27" s="19">
        <v>888.89</v>
      </c>
      <c r="DC27" s="402" t="s">
        <v>496</v>
      </c>
      <c r="DD27" s="403">
        <v>38</v>
      </c>
      <c r="DE27" s="16"/>
      <c r="DF27" s="59"/>
      <c r="DG27" s="121"/>
      <c r="DH27" s="20">
        <v>20</v>
      </c>
      <c r="DI27" s="19">
        <v>959.34</v>
      </c>
      <c r="DJ27" s="400">
        <v>43440</v>
      </c>
      <c r="DK27" s="19">
        <v>959.34</v>
      </c>
      <c r="DL27" s="402" t="s">
        <v>508</v>
      </c>
      <c r="DM27" s="403">
        <v>37</v>
      </c>
      <c r="DN27" s="16"/>
      <c r="DO27" s="59"/>
      <c r="DP27" s="121"/>
      <c r="DQ27" s="20">
        <v>20</v>
      </c>
      <c r="DR27" s="30"/>
      <c r="DS27" s="58"/>
      <c r="DT27" s="30"/>
      <c r="DU27" s="76"/>
      <c r="DV27" s="24"/>
      <c r="DW27" s="16"/>
      <c r="DX27" s="59"/>
      <c r="DY27" s="121"/>
      <c r="DZ27" s="20">
        <v>20</v>
      </c>
      <c r="EA27" s="30">
        <v>924</v>
      </c>
      <c r="EB27" s="58">
        <v>43444</v>
      </c>
      <c r="EC27" s="30">
        <v>924</v>
      </c>
      <c r="ED27" s="76" t="s">
        <v>466</v>
      </c>
      <c r="EE27" s="24">
        <v>42</v>
      </c>
      <c r="EF27" s="16"/>
      <c r="EG27" s="59"/>
      <c r="EH27" s="121"/>
      <c r="EI27" s="20">
        <v>20</v>
      </c>
      <c r="EJ27" s="19">
        <v>918.5</v>
      </c>
      <c r="EK27" s="17">
        <v>43442</v>
      </c>
      <c r="EL27" s="19">
        <v>918.5</v>
      </c>
      <c r="EM27" s="43" t="s">
        <v>504</v>
      </c>
      <c r="EN27" s="24">
        <v>40</v>
      </c>
      <c r="EO27" s="16"/>
      <c r="EP27" s="59"/>
      <c r="EQ27" s="121"/>
      <c r="ER27" s="20">
        <v>20</v>
      </c>
      <c r="ES27" s="19">
        <v>986.85</v>
      </c>
      <c r="ET27" s="17">
        <v>43447</v>
      </c>
      <c r="EU27" s="19">
        <v>986.85</v>
      </c>
      <c r="EV27" s="43" t="s">
        <v>536</v>
      </c>
      <c r="EW27" s="24">
        <v>42</v>
      </c>
      <c r="EX27" s="16"/>
      <c r="EY27" s="59"/>
      <c r="EZ27" s="121"/>
      <c r="FA27" s="20">
        <v>20</v>
      </c>
      <c r="FB27" s="167">
        <v>937.87</v>
      </c>
      <c r="FC27" s="150">
        <v>43445</v>
      </c>
      <c r="FD27" s="167">
        <v>937.87</v>
      </c>
      <c r="FE27" s="110" t="s">
        <v>492</v>
      </c>
      <c r="FF27" s="111">
        <v>42</v>
      </c>
      <c r="FG27" s="16"/>
      <c r="FH27" s="59"/>
      <c r="FI27" s="121"/>
      <c r="FJ27" s="20">
        <v>20</v>
      </c>
      <c r="FK27" s="30">
        <v>900.5</v>
      </c>
      <c r="FL27" s="58">
        <v>43445</v>
      </c>
      <c r="FM27" s="30">
        <v>900.5</v>
      </c>
      <c r="FN27" s="76" t="s">
        <v>480</v>
      </c>
      <c r="FO27" s="24">
        <v>42</v>
      </c>
      <c r="FP27" s="16"/>
      <c r="FQ27" s="59"/>
      <c r="FR27" s="121"/>
      <c r="FS27" s="20">
        <v>20</v>
      </c>
      <c r="FT27" s="19">
        <v>946.19</v>
      </c>
      <c r="FU27" s="150">
        <v>43445</v>
      </c>
      <c r="FV27" s="19">
        <v>946.19</v>
      </c>
      <c r="FW27" s="270" t="s">
        <v>514</v>
      </c>
      <c r="FX27" s="111">
        <v>42</v>
      </c>
      <c r="FY27" s="16"/>
      <c r="FZ27" s="59"/>
      <c r="GA27" s="121"/>
      <c r="GB27" s="20">
        <v>20</v>
      </c>
      <c r="GC27" s="19">
        <v>950.11</v>
      </c>
      <c r="GD27" s="17">
        <v>43446</v>
      </c>
      <c r="GE27" s="19">
        <v>950.11</v>
      </c>
      <c r="GF27" s="70" t="s">
        <v>515</v>
      </c>
      <c r="GG27" s="24">
        <v>42</v>
      </c>
      <c r="GH27" s="16"/>
      <c r="GI27" s="59"/>
      <c r="GJ27" s="121"/>
      <c r="GK27" s="20">
        <v>20</v>
      </c>
      <c r="GL27" s="19">
        <v>939.68</v>
      </c>
      <c r="GM27" s="17">
        <v>43447</v>
      </c>
      <c r="GN27" s="19">
        <v>939.68</v>
      </c>
      <c r="GO27" s="70" t="s">
        <v>540</v>
      </c>
      <c r="GP27" s="24">
        <v>42</v>
      </c>
      <c r="GQ27" s="16"/>
      <c r="GR27" s="59"/>
      <c r="GS27" s="638"/>
      <c r="GT27" s="20">
        <v>20</v>
      </c>
      <c r="GU27" s="19">
        <v>947.5</v>
      </c>
      <c r="GV27" s="17">
        <v>43448</v>
      </c>
      <c r="GW27" s="19">
        <v>947.5</v>
      </c>
      <c r="GX27" s="311" t="s">
        <v>548</v>
      </c>
      <c r="GY27" s="24">
        <v>42</v>
      </c>
      <c r="GZ27" s="16"/>
      <c r="HA27" s="59"/>
      <c r="HB27" s="121"/>
      <c r="HC27" s="20">
        <v>20</v>
      </c>
      <c r="HD27" s="30"/>
      <c r="HE27" s="58"/>
      <c r="HF27" s="30"/>
      <c r="HG27" s="76"/>
      <c r="HH27" s="24"/>
      <c r="HI27" s="16"/>
      <c r="HJ27" s="59"/>
      <c r="HK27" s="121"/>
      <c r="HL27" s="20">
        <v>20</v>
      </c>
      <c r="HM27" s="19">
        <v>944.67</v>
      </c>
      <c r="HN27" s="17">
        <v>43449</v>
      </c>
      <c r="HO27" s="19">
        <v>944.67</v>
      </c>
      <c r="HP27" s="593" t="s">
        <v>551</v>
      </c>
      <c r="HQ27" s="24">
        <v>42</v>
      </c>
      <c r="HR27" s="16"/>
      <c r="HS27" s="30"/>
      <c r="HT27" s="121"/>
      <c r="HU27" s="20">
        <v>20</v>
      </c>
      <c r="HV27" s="19">
        <v>944.67</v>
      </c>
      <c r="HW27" s="58">
        <v>43448</v>
      </c>
      <c r="HX27" s="19">
        <v>944.67</v>
      </c>
      <c r="HY27" s="76" t="s">
        <v>546</v>
      </c>
      <c r="HZ27" s="24">
        <v>42</v>
      </c>
      <c r="IA27" s="16"/>
      <c r="IB27" s="59"/>
      <c r="IC27" s="121"/>
      <c r="ID27" s="20">
        <v>20</v>
      </c>
      <c r="IE27" s="19"/>
      <c r="IF27" s="17"/>
      <c r="IG27" s="19"/>
      <c r="IH27" s="43"/>
      <c r="II27" s="24"/>
      <c r="IJ27" s="16"/>
      <c r="IK27" s="59"/>
      <c r="IL27" s="121"/>
      <c r="IM27" s="20">
        <v>20</v>
      </c>
      <c r="IN27" s="30">
        <v>973.7</v>
      </c>
      <c r="IO27" s="626">
        <v>43450</v>
      </c>
      <c r="IP27" s="30">
        <v>973.7</v>
      </c>
      <c r="IQ27" s="76" t="s">
        <v>564</v>
      </c>
      <c r="IR27" s="24">
        <v>42</v>
      </c>
      <c r="IS27" s="16"/>
      <c r="IT27" s="59"/>
      <c r="IU27" s="121"/>
      <c r="IV27" s="20">
        <v>20</v>
      </c>
      <c r="IW27" s="19">
        <v>897.7</v>
      </c>
      <c r="IX27" s="17">
        <v>43451</v>
      </c>
      <c r="IY27" s="19">
        <v>897.7</v>
      </c>
      <c r="IZ27" s="70" t="s">
        <v>570</v>
      </c>
      <c r="JA27" s="24">
        <v>42</v>
      </c>
      <c r="JB27" s="16"/>
      <c r="JC27" s="59"/>
      <c r="JD27" s="121"/>
      <c r="JE27" s="20">
        <v>20</v>
      </c>
      <c r="JF27" s="19">
        <v>908.1</v>
      </c>
      <c r="JG27" s="17">
        <v>43452</v>
      </c>
      <c r="JH27" s="19">
        <v>908.1</v>
      </c>
      <c r="JI27" s="70" t="s">
        <v>573</v>
      </c>
      <c r="JJ27" s="24">
        <v>42</v>
      </c>
      <c r="JK27" s="16"/>
      <c r="JL27" s="59"/>
      <c r="JM27" s="121"/>
      <c r="JN27" s="20">
        <v>20</v>
      </c>
      <c r="JO27" s="19">
        <v>939.23</v>
      </c>
      <c r="JP27" s="17">
        <v>43452</v>
      </c>
      <c r="JQ27" s="19">
        <v>939.23</v>
      </c>
      <c r="JR27" s="70" t="s">
        <v>579</v>
      </c>
      <c r="JS27" s="24">
        <v>42</v>
      </c>
      <c r="JT27" s="16"/>
      <c r="JU27" s="59"/>
      <c r="JV27" s="121"/>
      <c r="JW27" s="20">
        <v>20</v>
      </c>
      <c r="JX27" s="19">
        <v>919.43</v>
      </c>
      <c r="JY27" s="17">
        <v>43454</v>
      </c>
      <c r="JZ27" s="19">
        <v>919.43</v>
      </c>
      <c r="KA27" s="70" t="s">
        <v>590</v>
      </c>
      <c r="KB27" s="24">
        <v>42</v>
      </c>
      <c r="KC27" s="16"/>
      <c r="KD27" s="59"/>
      <c r="KE27" s="121"/>
      <c r="KF27" s="20">
        <v>20</v>
      </c>
      <c r="KG27" s="19">
        <v>896.5</v>
      </c>
      <c r="KH27" s="17">
        <v>43452</v>
      </c>
      <c r="KI27" s="19">
        <v>896.5</v>
      </c>
      <c r="KJ27" s="70" t="s">
        <v>581</v>
      </c>
      <c r="KK27" s="24">
        <v>42</v>
      </c>
      <c r="KL27" s="16"/>
      <c r="KM27" s="59"/>
      <c r="KN27" s="121"/>
      <c r="KO27" s="20">
        <v>20</v>
      </c>
      <c r="KP27" s="190">
        <v>921.7</v>
      </c>
      <c r="KQ27" s="105">
        <v>43453</v>
      </c>
      <c r="KR27" s="190">
        <v>921.7</v>
      </c>
      <c r="KS27" s="124" t="s">
        <v>584</v>
      </c>
      <c r="KT27" s="103">
        <v>42</v>
      </c>
      <c r="KU27" s="16"/>
      <c r="KV27" s="59"/>
      <c r="KW27" s="121"/>
      <c r="KX27" s="20">
        <v>20</v>
      </c>
      <c r="KY27" s="190">
        <v>955.56</v>
      </c>
      <c r="KZ27" s="17">
        <v>43453</v>
      </c>
      <c r="LA27" s="190">
        <v>955.56</v>
      </c>
      <c r="LB27" s="70" t="s">
        <v>561</v>
      </c>
      <c r="LC27" s="24">
        <v>42</v>
      </c>
      <c r="LD27" s="16"/>
      <c r="LE27" s="59"/>
      <c r="LF27" s="121"/>
      <c r="LG27" s="20">
        <v>20</v>
      </c>
      <c r="LH27" s="19">
        <v>925.17</v>
      </c>
      <c r="LI27" s="17">
        <v>43454</v>
      </c>
      <c r="LJ27" s="19">
        <v>925.17</v>
      </c>
      <c r="LK27" s="70" t="s">
        <v>592</v>
      </c>
      <c r="LL27" s="24">
        <v>42</v>
      </c>
      <c r="LM27" s="16"/>
      <c r="LN27" s="59"/>
      <c r="LO27" s="121"/>
      <c r="LP27" s="20">
        <v>20</v>
      </c>
      <c r="LQ27" s="190">
        <v>923.36</v>
      </c>
      <c r="LR27" s="17">
        <v>43455</v>
      </c>
      <c r="LS27" s="190">
        <v>923.36</v>
      </c>
      <c r="LT27" s="70" t="s">
        <v>598</v>
      </c>
      <c r="LU27" s="24">
        <v>42</v>
      </c>
      <c r="LV27" s="16"/>
      <c r="LW27" s="59"/>
      <c r="LX27" s="121"/>
      <c r="LY27" s="20">
        <v>20</v>
      </c>
      <c r="LZ27" s="19">
        <v>918.1</v>
      </c>
      <c r="MA27" s="17">
        <v>43455</v>
      </c>
      <c r="MB27" s="19">
        <v>918.1</v>
      </c>
      <c r="MC27" s="70" t="s">
        <v>604</v>
      </c>
      <c r="MD27" s="24">
        <v>42</v>
      </c>
      <c r="ME27" s="16"/>
      <c r="MF27" s="59"/>
      <c r="MG27" s="121"/>
      <c r="MH27" s="20">
        <v>20</v>
      </c>
      <c r="MI27" s="167">
        <v>874.5</v>
      </c>
      <c r="MJ27" s="150">
        <v>43455</v>
      </c>
      <c r="MK27" s="167">
        <v>874.5</v>
      </c>
      <c r="ML27" s="270" t="s">
        <v>608</v>
      </c>
      <c r="MM27" s="111">
        <v>42</v>
      </c>
      <c r="MN27" s="16"/>
      <c r="MO27" s="59"/>
      <c r="MP27" s="121"/>
      <c r="MQ27" s="20">
        <v>20</v>
      </c>
      <c r="MR27" s="19"/>
      <c r="MS27" s="17"/>
      <c r="MT27" s="19"/>
      <c r="MU27" s="70"/>
      <c r="MV27" s="24"/>
      <c r="MW27" s="16"/>
      <c r="MX27" s="59"/>
      <c r="MY27" s="121"/>
      <c r="MZ27" s="20">
        <v>20</v>
      </c>
      <c r="NA27" s="19">
        <v>960.3</v>
      </c>
      <c r="NB27" s="17">
        <v>43461</v>
      </c>
      <c r="NC27" s="19">
        <v>960.3</v>
      </c>
      <c r="ND27" s="70" t="s">
        <v>640</v>
      </c>
      <c r="NE27" s="24">
        <v>38</v>
      </c>
      <c r="NF27" s="16"/>
      <c r="NG27" s="59"/>
      <c r="NH27" s="121"/>
      <c r="NI27" s="20">
        <v>20</v>
      </c>
      <c r="NJ27" s="19">
        <v>870</v>
      </c>
      <c r="NK27" s="17">
        <v>43456</v>
      </c>
      <c r="NL27" s="19">
        <v>870</v>
      </c>
      <c r="NM27" s="70" t="s">
        <v>614</v>
      </c>
      <c r="NN27" s="24">
        <v>42</v>
      </c>
      <c r="NO27" s="16"/>
      <c r="NP27" s="59"/>
      <c r="NQ27" s="121"/>
      <c r="NR27" s="20">
        <v>20</v>
      </c>
      <c r="NS27" s="19">
        <v>958.4</v>
      </c>
      <c r="NT27" s="17">
        <v>43456</v>
      </c>
      <c r="NU27" s="19">
        <v>958.4</v>
      </c>
      <c r="NV27" s="70" t="s">
        <v>616</v>
      </c>
      <c r="NW27" s="24">
        <v>42</v>
      </c>
      <c r="NX27" s="16"/>
      <c r="NY27" s="59"/>
      <c r="NZ27" s="121"/>
      <c r="OA27" s="20">
        <v>20</v>
      </c>
      <c r="OB27" s="19"/>
      <c r="OC27" s="105"/>
      <c r="OD27" s="19"/>
      <c r="OE27" s="124"/>
      <c r="OF27" s="103"/>
      <c r="OG27" s="16"/>
      <c r="OH27" s="59"/>
      <c r="OI27" s="121"/>
      <c r="OJ27" s="20">
        <v>20</v>
      </c>
      <c r="OK27" s="19">
        <v>912.4</v>
      </c>
      <c r="OL27" s="17">
        <v>43456</v>
      </c>
      <c r="OM27" s="19">
        <v>912.4</v>
      </c>
      <c r="ON27" s="70" t="s">
        <v>623</v>
      </c>
      <c r="OO27" s="482">
        <v>42</v>
      </c>
      <c r="OP27" s="16"/>
      <c r="OQ27" s="59"/>
      <c r="OR27" s="121"/>
      <c r="OS27" s="20">
        <v>20</v>
      </c>
      <c r="OT27" s="19">
        <v>948.5</v>
      </c>
      <c r="OU27" s="17">
        <v>43457</v>
      </c>
      <c r="OV27" s="19">
        <v>948.5</v>
      </c>
      <c r="OW27" s="70" t="s">
        <v>626</v>
      </c>
      <c r="OX27" s="24">
        <v>42</v>
      </c>
      <c r="OY27" s="16"/>
      <c r="OZ27" s="59"/>
      <c r="PA27" s="121"/>
      <c r="PB27" s="20">
        <v>20</v>
      </c>
      <c r="PC27" s="19"/>
      <c r="PD27" s="17"/>
      <c r="PE27" s="19"/>
      <c r="PF27" s="70"/>
      <c r="PG27" s="24"/>
      <c r="PH27" s="16"/>
      <c r="PI27" s="59"/>
      <c r="PJ27" s="121"/>
      <c r="PK27" s="20">
        <v>20</v>
      </c>
      <c r="PL27" s="19">
        <v>896</v>
      </c>
      <c r="PM27" s="17">
        <v>43461</v>
      </c>
      <c r="PN27" s="19">
        <v>896</v>
      </c>
      <c r="PO27" s="70" t="s">
        <v>650</v>
      </c>
      <c r="PP27" s="24">
        <v>38</v>
      </c>
      <c r="PQ27" s="16"/>
      <c r="PR27" s="59"/>
      <c r="PS27" s="194"/>
      <c r="PT27" s="20">
        <v>20</v>
      </c>
      <c r="PU27" s="19">
        <v>925.32</v>
      </c>
      <c r="PV27" s="17">
        <v>43462</v>
      </c>
      <c r="PW27" s="19">
        <v>925.32</v>
      </c>
      <c r="PX27" s="270" t="s">
        <v>658</v>
      </c>
      <c r="PY27" s="24">
        <v>38</v>
      </c>
      <c r="PZ27" s="16"/>
      <c r="QA27" s="59"/>
      <c r="QB27" s="121"/>
      <c r="QC27" s="20">
        <v>20</v>
      </c>
      <c r="QD27" s="19">
        <v>963.88</v>
      </c>
      <c r="QE27" s="105">
        <v>43461</v>
      </c>
      <c r="QF27" s="19">
        <v>963.88</v>
      </c>
      <c r="QG27" s="124" t="s">
        <v>639</v>
      </c>
      <c r="QH27" s="414">
        <v>38</v>
      </c>
      <c r="QI27" s="16"/>
      <c r="QJ27" s="59"/>
      <c r="QK27" s="121"/>
      <c r="QL27" s="20">
        <v>20</v>
      </c>
      <c r="QM27" s="19">
        <v>907.6</v>
      </c>
      <c r="QN27" s="150">
        <v>43462</v>
      </c>
      <c r="QO27" s="167">
        <v>907.6</v>
      </c>
      <c r="QP27" s="270" t="s">
        <v>643</v>
      </c>
      <c r="QQ27" s="111">
        <v>38</v>
      </c>
      <c r="QR27" s="16"/>
      <c r="QS27" s="59"/>
      <c r="QT27" s="121"/>
      <c r="QU27" s="20">
        <v>20</v>
      </c>
      <c r="QV27" s="19">
        <v>952.99</v>
      </c>
      <c r="QW27" s="17">
        <v>43461</v>
      </c>
      <c r="QX27" s="19">
        <v>952.99</v>
      </c>
      <c r="QY27" s="70" t="s">
        <v>655</v>
      </c>
      <c r="QZ27" s="24">
        <v>38</v>
      </c>
      <c r="RA27" s="16"/>
      <c r="RB27" s="59"/>
      <c r="RC27" s="121"/>
      <c r="RD27" s="20"/>
      <c r="RE27" s="19"/>
      <c r="RF27" s="17"/>
      <c r="RG27" s="19"/>
      <c r="RH27" s="70"/>
      <c r="RI27" s="24"/>
      <c r="RJ27" s="16"/>
      <c r="RK27" s="59"/>
      <c r="RL27" s="121"/>
      <c r="RM27" s="20">
        <v>20</v>
      </c>
      <c r="RN27" s="19">
        <v>947.39</v>
      </c>
      <c r="RO27" s="400">
        <v>43462</v>
      </c>
      <c r="RP27" s="401">
        <v>947.39</v>
      </c>
      <c r="RQ27" s="402" t="s">
        <v>661</v>
      </c>
      <c r="RR27" s="403">
        <v>38</v>
      </c>
      <c r="RS27" s="16"/>
      <c r="RT27" s="59"/>
      <c r="RU27" s="121"/>
      <c r="RV27" s="20"/>
      <c r="RW27" s="19"/>
      <c r="RX27" s="17"/>
      <c r="RY27" s="19"/>
      <c r="RZ27" s="70"/>
      <c r="SA27" s="24"/>
      <c r="SB27" s="16"/>
      <c r="SC27" s="59"/>
      <c r="SD27" s="121"/>
      <c r="SE27" s="20">
        <v>20</v>
      </c>
      <c r="SF27" s="19"/>
      <c r="SG27" s="17"/>
      <c r="SH27" s="19"/>
      <c r="SI27" s="70"/>
      <c r="SJ27" s="24"/>
      <c r="SK27" s="16"/>
      <c r="SL27" s="59"/>
      <c r="SM27" s="121"/>
      <c r="SN27" s="20"/>
      <c r="SO27" s="19"/>
      <c r="SP27" s="17"/>
      <c r="SQ27" s="19"/>
      <c r="SR27" s="70"/>
      <c r="SS27" s="24"/>
      <c r="ST27" s="16"/>
      <c r="SU27" s="59"/>
      <c r="SV27" s="121"/>
      <c r="SW27" s="20">
        <v>20</v>
      </c>
      <c r="SX27" s="19">
        <v>924.4</v>
      </c>
      <c r="SY27" s="17">
        <v>43463</v>
      </c>
      <c r="SZ27" s="19">
        <v>924.4</v>
      </c>
      <c r="TA27" s="70" t="s">
        <v>666</v>
      </c>
      <c r="TB27" s="24">
        <v>38</v>
      </c>
      <c r="TC27" s="16"/>
      <c r="TD27" s="59"/>
      <c r="TE27" s="121"/>
      <c r="TF27" s="20">
        <v>20</v>
      </c>
      <c r="TG27" s="19">
        <v>966.89</v>
      </c>
      <c r="TH27" s="17">
        <v>43464</v>
      </c>
      <c r="TI27" s="19">
        <v>966.89</v>
      </c>
      <c r="TJ27" s="70" t="s">
        <v>676</v>
      </c>
      <c r="TK27" s="24">
        <v>38</v>
      </c>
      <c r="TM27" s="7"/>
      <c r="TN27" s="2"/>
      <c r="TO27" s="20">
        <v>20</v>
      </c>
      <c r="TP27" s="19">
        <v>925.8</v>
      </c>
      <c r="TQ27" s="17">
        <v>43464</v>
      </c>
      <c r="TR27" s="19">
        <v>925.8</v>
      </c>
      <c r="TS27" s="70" t="s">
        <v>671</v>
      </c>
      <c r="TT27" s="24">
        <v>38</v>
      </c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SMITHFIELD FRESH MEATS</v>
      </c>
      <c r="C28" s="16" t="str">
        <f t="shared" si="24"/>
        <v>Smithfield</v>
      </c>
      <c r="D28" s="72" t="str">
        <f t="shared" si="24"/>
        <v>PED.32128976</v>
      </c>
      <c r="E28" s="155">
        <f t="shared" si="24"/>
        <v>43448</v>
      </c>
      <c r="F28" s="74">
        <f t="shared" si="24"/>
        <v>19022.88</v>
      </c>
      <c r="G28" s="15">
        <f t="shared" si="24"/>
        <v>20</v>
      </c>
      <c r="H28" s="64">
        <f t="shared" si="24"/>
        <v>19332.900000000001</v>
      </c>
      <c r="I28" s="18">
        <f t="shared" si="24"/>
        <v>-310.02000000000044</v>
      </c>
      <c r="K28" s="59"/>
      <c r="L28" s="121"/>
      <c r="M28" s="20">
        <v>21</v>
      </c>
      <c r="N28" s="190">
        <v>919.9</v>
      </c>
      <c r="O28" s="105">
        <v>43435</v>
      </c>
      <c r="P28" s="190">
        <v>919.9</v>
      </c>
      <c r="Q28" s="124" t="s">
        <v>472</v>
      </c>
      <c r="R28" s="103">
        <v>37</v>
      </c>
      <c r="S28" s="16"/>
      <c r="T28" s="59"/>
      <c r="U28" s="121"/>
      <c r="V28" s="20">
        <v>21</v>
      </c>
      <c r="W28" s="190">
        <v>936.2</v>
      </c>
      <c r="X28" s="17">
        <v>43435</v>
      </c>
      <c r="Y28" s="190">
        <v>936.2</v>
      </c>
      <c r="Z28" s="70" t="s">
        <v>474</v>
      </c>
      <c r="AA28" s="24">
        <v>37</v>
      </c>
      <c r="AB28" s="16"/>
      <c r="AC28" s="59"/>
      <c r="AD28" s="121"/>
      <c r="AE28" s="20">
        <v>21</v>
      </c>
      <c r="AF28" s="190"/>
      <c r="AG28" s="17"/>
      <c r="AH28" s="190"/>
      <c r="AI28" s="70"/>
      <c r="AJ28" s="24"/>
      <c r="AK28" s="16"/>
      <c r="AL28" s="59"/>
      <c r="AM28" s="121"/>
      <c r="AN28" s="20">
        <v>21</v>
      </c>
      <c r="AO28" s="19"/>
      <c r="AP28" s="17"/>
      <c r="AQ28" s="19"/>
      <c r="AR28" s="70"/>
      <c r="AS28" s="24"/>
      <c r="AT28" s="16"/>
      <c r="AU28" s="59"/>
      <c r="AV28" s="121"/>
      <c r="AW28" s="20">
        <v>21</v>
      </c>
      <c r="AX28" s="19">
        <v>907.6</v>
      </c>
      <c r="AY28" s="105">
        <v>43441</v>
      </c>
      <c r="AZ28" s="19">
        <v>907.6</v>
      </c>
      <c r="BA28" s="124" t="s">
        <v>520</v>
      </c>
      <c r="BB28" s="414">
        <v>38</v>
      </c>
      <c r="BC28" s="16"/>
      <c r="BD28" s="59"/>
      <c r="BE28" s="121"/>
      <c r="BF28" s="20">
        <v>21</v>
      </c>
      <c r="BG28" s="19">
        <v>935.8</v>
      </c>
      <c r="BH28" s="400">
        <v>43441</v>
      </c>
      <c r="BI28" s="19">
        <v>935.8</v>
      </c>
      <c r="BJ28" s="402" t="s">
        <v>511</v>
      </c>
      <c r="BK28" s="403">
        <v>38</v>
      </c>
      <c r="BL28" s="16"/>
      <c r="BM28" s="59"/>
      <c r="BN28" s="121"/>
      <c r="BO28" s="20">
        <v>21</v>
      </c>
      <c r="BP28" s="19">
        <v>905.5</v>
      </c>
      <c r="BQ28" s="400">
        <v>43438</v>
      </c>
      <c r="BR28" s="19">
        <v>905.5</v>
      </c>
      <c r="BS28" s="402" t="s">
        <v>484</v>
      </c>
      <c r="BT28" s="403">
        <v>37</v>
      </c>
      <c r="BU28" s="16"/>
      <c r="BV28" s="59"/>
      <c r="BW28" s="121"/>
      <c r="BX28" s="20">
        <v>21</v>
      </c>
      <c r="BY28" s="19">
        <v>901.5</v>
      </c>
      <c r="BZ28" s="400">
        <v>43438</v>
      </c>
      <c r="CA28" s="19">
        <v>901.5</v>
      </c>
      <c r="CB28" s="402" t="s">
        <v>463</v>
      </c>
      <c r="CC28" s="403">
        <v>37</v>
      </c>
      <c r="CD28" s="16"/>
      <c r="CE28" s="59"/>
      <c r="CF28" s="121"/>
      <c r="CG28" s="20">
        <v>21</v>
      </c>
      <c r="CH28" s="19"/>
      <c r="CI28" s="17"/>
      <c r="CJ28" s="19"/>
      <c r="CK28" s="70"/>
      <c r="CL28" s="24"/>
      <c r="CM28" s="16"/>
      <c r="CN28" s="128"/>
      <c r="CO28" s="121"/>
      <c r="CP28" s="20">
        <v>21</v>
      </c>
      <c r="CQ28" s="19"/>
      <c r="CR28" s="17"/>
      <c r="CS28" s="19"/>
      <c r="CT28" s="70"/>
      <c r="CU28" s="24"/>
      <c r="CV28" s="16"/>
      <c r="CW28" s="59"/>
      <c r="CX28" s="121"/>
      <c r="CY28" s="20">
        <v>21</v>
      </c>
      <c r="CZ28" s="19"/>
      <c r="DA28" s="400"/>
      <c r="DB28" s="19"/>
      <c r="DC28" s="402"/>
      <c r="DD28" s="403"/>
      <c r="DE28" s="16"/>
      <c r="DF28" s="59"/>
      <c r="DG28" s="121"/>
      <c r="DH28" s="20">
        <v>21</v>
      </c>
      <c r="DI28" s="19"/>
      <c r="DJ28" s="400"/>
      <c r="DK28" s="19"/>
      <c r="DL28" s="402"/>
      <c r="DM28" s="403"/>
      <c r="DN28" s="16"/>
      <c r="DO28" s="59"/>
      <c r="DP28" s="121"/>
      <c r="DQ28" s="20">
        <v>21</v>
      </c>
      <c r="DR28" s="30"/>
      <c r="DS28" s="58"/>
      <c r="DT28" s="30"/>
      <c r="DU28" s="76"/>
      <c r="DV28" s="24"/>
      <c r="DW28" s="16"/>
      <c r="DX28" s="59"/>
      <c r="DY28" s="121"/>
      <c r="DZ28" s="20">
        <v>21</v>
      </c>
      <c r="EA28" s="30">
        <v>894</v>
      </c>
      <c r="EB28" s="58">
        <v>43444</v>
      </c>
      <c r="EC28" s="30">
        <v>894</v>
      </c>
      <c r="ED28" s="76" t="s">
        <v>466</v>
      </c>
      <c r="EE28" s="24">
        <v>42</v>
      </c>
      <c r="EF28" s="16"/>
      <c r="EG28" s="59"/>
      <c r="EH28" s="121"/>
      <c r="EI28" s="20">
        <v>21</v>
      </c>
      <c r="EJ28" s="19">
        <v>949.4</v>
      </c>
      <c r="EK28" s="17">
        <v>43442</v>
      </c>
      <c r="EL28" s="19">
        <v>949.4</v>
      </c>
      <c r="EM28" s="43" t="s">
        <v>504</v>
      </c>
      <c r="EN28" s="24">
        <v>40</v>
      </c>
      <c r="EO28" s="16"/>
      <c r="EP28" s="59"/>
      <c r="EQ28" s="121"/>
      <c r="ER28" s="20">
        <v>21</v>
      </c>
      <c r="ES28" s="19"/>
      <c r="ET28" s="17"/>
      <c r="EU28" s="19"/>
      <c r="EV28" s="43"/>
      <c r="EW28" s="24"/>
      <c r="EX28" s="16"/>
      <c r="EY28" s="59"/>
      <c r="EZ28" s="121"/>
      <c r="FA28" s="20">
        <v>21</v>
      </c>
      <c r="FB28" s="167"/>
      <c r="FC28" s="150"/>
      <c r="FD28" s="167"/>
      <c r="FE28" s="110"/>
      <c r="FF28" s="111"/>
      <c r="FG28" s="128"/>
      <c r="FH28" s="59"/>
      <c r="FI28" s="121"/>
      <c r="FJ28" s="20">
        <v>21</v>
      </c>
      <c r="FK28" s="30">
        <v>895</v>
      </c>
      <c r="FL28" s="58">
        <v>43445</v>
      </c>
      <c r="FM28" s="30">
        <v>895</v>
      </c>
      <c r="FN28" s="76" t="s">
        <v>480</v>
      </c>
      <c r="FO28" s="24">
        <v>42</v>
      </c>
      <c r="FP28" s="16"/>
      <c r="FQ28" s="59"/>
      <c r="FR28" s="121"/>
      <c r="FS28" s="20">
        <v>21</v>
      </c>
      <c r="FT28" s="19"/>
      <c r="FU28" s="150"/>
      <c r="FV28" s="167"/>
      <c r="FW28" s="270"/>
      <c r="FX28" s="111"/>
      <c r="FY28" s="16"/>
      <c r="FZ28" s="59"/>
      <c r="GA28" s="121"/>
      <c r="GB28" s="20">
        <v>21</v>
      </c>
      <c r="GC28" s="19"/>
      <c r="GD28" s="17"/>
      <c r="GE28" s="19"/>
      <c r="GF28" s="70"/>
      <c r="GG28" s="24"/>
      <c r="GH28" s="16"/>
      <c r="GI28" s="59"/>
      <c r="GJ28" s="121"/>
      <c r="GK28" s="20"/>
      <c r="GL28" s="416"/>
      <c r="GM28" s="17"/>
      <c r="GN28" s="167"/>
      <c r="GO28" s="70"/>
      <c r="GP28" s="24"/>
      <c r="GQ28" s="16"/>
      <c r="GR28" s="59"/>
      <c r="GS28" s="121"/>
      <c r="GT28" s="20">
        <v>21</v>
      </c>
      <c r="GU28" s="19">
        <v>906.3</v>
      </c>
      <c r="GV28" s="17">
        <v>43448</v>
      </c>
      <c r="GW28" s="19">
        <v>906.3</v>
      </c>
      <c r="GX28" s="43" t="s">
        <v>548</v>
      </c>
      <c r="GY28" s="24">
        <v>42</v>
      </c>
      <c r="GZ28" s="16"/>
      <c r="HA28" s="59"/>
      <c r="HB28" s="121"/>
      <c r="HC28" s="20">
        <v>21</v>
      </c>
      <c r="HD28" s="30"/>
      <c r="HE28" s="58"/>
      <c r="HF28" s="30"/>
      <c r="HG28" s="76"/>
      <c r="HH28" s="24"/>
      <c r="HI28" s="16"/>
      <c r="HJ28" s="59"/>
      <c r="HK28" s="121"/>
      <c r="HL28" s="20">
        <v>21</v>
      </c>
      <c r="HM28" s="19"/>
      <c r="HN28" s="17"/>
      <c r="HO28" s="19"/>
      <c r="HP28" s="593"/>
      <c r="HQ28" s="24"/>
      <c r="HR28" s="16"/>
      <c r="HS28" s="30"/>
      <c r="HT28" s="121"/>
      <c r="HU28" s="20">
        <v>21</v>
      </c>
      <c r="HV28" s="30"/>
      <c r="HW28" s="58"/>
      <c r="HX28" s="109"/>
      <c r="HY28" s="76"/>
      <c r="HZ28" s="24"/>
      <c r="IA28" s="16"/>
      <c r="IB28" s="59"/>
      <c r="IC28" s="121"/>
      <c r="ID28" s="20"/>
      <c r="IE28" s="19"/>
      <c r="IF28" s="17"/>
      <c r="IG28" s="19"/>
      <c r="IH28" s="43"/>
      <c r="II28" s="24"/>
      <c r="IJ28" s="16"/>
      <c r="IK28" s="59"/>
      <c r="IL28" s="121"/>
      <c r="IM28" s="20">
        <v>21</v>
      </c>
      <c r="IN28" s="30"/>
      <c r="IO28" s="626"/>
      <c r="IP28" s="30"/>
      <c r="IQ28" s="76"/>
      <c r="IR28" s="24"/>
      <c r="IS28" s="16"/>
      <c r="IT28" s="59"/>
      <c r="IU28" s="121"/>
      <c r="IV28" s="20">
        <v>21</v>
      </c>
      <c r="IW28" s="19">
        <v>878.2</v>
      </c>
      <c r="IX28" s="17">
        <v>43451</v>
      </c>
      <c r="IY28" s="19">
        <v>878.2</v>
      </c>
      <c r="IZ28" s="70" t="s">
        <v>571</v>
      </c>
      <c r="JA28" s="24">
        <v>42</v>
      </c>
      <c r="JB28" s="16"/>
      <c r="JC28" s="59"/>
      <c r="JD28" s="121"/>
      <c r="JE28" s="20">
        <v>21</v>
      </c>
      <c r="JF28" s="416">
        <v>923.1</v>
      </c>
      <c r="JG28" s="17">
        <v>43452</v>
      </c>
      <c r="JH28" s="416">
        <v>923.1</v>
      </c>
      <c r="JI28" s="70" t="s">
        <v>560</v>
      </c>
      <c r="JJ28" s="24">
        <v>42</v>
      </c>
      <c r="JK28" s="16"/>
      <c r="JL28" s="59"/>
      <c r="JM28" s="121"/>
      <c r="JN28" s="20">
        <v>21</v>
      </c>
      <c r="JO28" s="19"/>
      <c r="JP28" s="17"/>
      <c r="JQ28" s="19"/>
      <c r="JR28" s="70"/>
      <c r="JS28" s="24"/>
      <c r="JT28" s="16"/>
      <c r="JU28" s="59"/>
      <c r="JV28" s="121"/>
      <c r="JW28" s="20">
        <v>21</v>
      </c>
      <c r="JX28" s="19"/>
      <c r="JY28" s="17"/>
      <c r="JZ28" s="19"/>
      <c r="KA28" s="70"/>
      <c r="KB28" s="24"/>
      <c r="KC28" s="16"/>
      <c r="KD28" s="59"/>
      <c r="KE28" s="121"/>
      <c r="KF28" s="20">
        <v>21</v>
      </c>
      <c r="KG28" s="19">
        <v>904.5</v>
      </c>
      <c r="KH28" s="17">
        <v>43452</v>
      </c>
      <c r="KI28" s="19">
        <v>904.5</v>
      </c>
      <c r="KJ28" s="70" t="s">
        <v>581</v>
      </c>
      <c r="KK28" s="24">
        <v>42</v>
      </c>
      <c r="KL28" s="16"/>
      <c r="KM28" s="59"/>
      <c r="KN28" s="121"/>
      <c r="KO28" s="20">
        <v>21</v>
      </c>
      <c r="KP28" s="190">
        <v>908.1</v>
      </c>
      <c r="KQ28" s="105">
        <v>43453</v>
      </c>
      <c r="KR28" s="190">
        <v>908.1</v>
      </c>
      <c r="KS28" s="124" t="s">
        <v>584</v>
      </c>
      <c r="KT28" s="103">
        <v>42</v>
      </c>
      <c r="KU28" s="16"/>
      <c r="KV28" s="59"/>
      <c r="KW28" s="121"/>
      <c r="KX28" s="20">
        <v>21</v>
      </c>
      <c r="KY28" s="190"/>
      <c r="KZ28" s="17"/>
      <c r="LA28" s="190"/>
      <c r="LB28" s="70"/>
      <c r="LC28" s="24"/>
      <c r="LD28" s="16"/>
      <c r="LE28" s="59"/>
      <c r="LF28" s="121"/>
      <c r="LG28" s="20">
        <v>21</v>
      </c>
      <c r="LH28" s="19"/>
      <c r="LI28" s="17"/>
      <c r="LJ28" s="19"/>
      <c r="LK28" s="70"/>
      <c r="LL28" s="24"/>
      <c r="LM28" s="16"/>
      <c r="LN28" s="59"/>
      <c r="LO28" s="121"/>
      <c r="LP28" s="20">
        <v>21</v>
      </c>
      <c r="LQ28" s="190"/>
      <c r="LR28" s="17"/>
      <c r="LS28" s="190"/>
      <c r="LT28" s="70"/>
      <c r="LU28" s="24"/>
      <c r="LV28" s="16"/>
      <c r="LW28" s="59"/>
      <c r="LX28" s="121"/>
      <c r="LY28" s="20">
        <v>21</v>
      </c>
      <c r="LZ28" s="19">
        <v>893.1</v>
      </c>
      <c r="MA28" s="17">
        <v>43455</v>
      </c>
      <c r="MB28" s="19">
        <v>893.1</v>
      </c>
      <c r="MC28" s="70" t="s">
        <v>603</v>
      </c>
      <c r="MD28" s="24">
        <v>42</v>
      </c>
      <c r="ME28" s="16"/>
      <c r="MF28" s="59"/>
      <c r="MG28" s="121"/>
      <c r="MH28" s="20">
        <v>21</v>
      </c>
      <c r="MI28" s="167">
        <v>900.8</v>
      </c>
      <c r="MJ28" s="150">
        <v>43455</v>
      </c>
      <c r="MK28" s="167">
        <v>900.8</v>
      </c>
      <c r="ML28" s="270" t="s">
        <v>608</v>
      </c>
      <c r="MM28" s="111">
        <v>42</v>
      </c>
      <c r="MN28" s="16"/>
      <c r="MO28" s="59"/>
      <c r="MP28" s="121"/>
      <c r="MQ28" s="20">
        <v>21</v>
      </c>
      <c r="MR28" s="19"/>
      <c r="MS28" s="17"/>
      <c r="MT28" s="19"/>
      <c r="MU28" s="70"/>
      <c r="MV28" s="24"/>
      <c r="MW28" s="16"/>
      <c r="MX28" s="59"/>
      <c r="MY28" s="121"/>
      <c r="MZ28" s="20">
        <v>21</v>
      </c>
      <c r="NA28" s="416">
        <v>910.8</v>
      </c>
      <c r="NB28" s="105">
        <v>43461</v>
      </c>
      <c r="NC28" s="416">
        <v>910.8</v>
      </c>
      <c r="ND28" s="124" t="s">
        <v>640</v>
      </c>
      <c r="NE28" s="103">
        <v>38</v>
      </c>
      <c r="NF28" s="16"/>
      <c r="NG28" s="59"/>
      <c r="NH28" s="121"/>
      <c r="NI28" s="20">
        <v>21</v>
      </c>
      <c r="NJ28" s="19">
        <v>880</v>
      </c>
      <c r="NK28" s="17">
        <v>43456</v>
      </c>
      <c r="NL28" s="19">
        <v>880</v>
      </c>
      <c r="NM28" s="70" t="s">
        <v>614</v>
      </c>
      <c r="NN28" s="24">
        <v>42</v>
      </c>
      <c r="NO28" s="16"/>
      <c r="NP28" s="59"/>
      <c r="NQ28" s="121"/>
      <c r="NR28" s="20">
        <v>21</v>
      </c>
      <c r="NS28" s="19">
        <v>919.4</v>
      </c>
      <c r="NT28" s="17">
        <v>43456</v>
      </c>
      <c r="NU28" s="19">
        <v>919.4</v>
      </c>
      <c r="NV28" s="70" t="s">
        <v>616</v>
      </c>
      <c r="NW28" s="24">
        <v>42</v>
      </c>
      <c r="NX28" s="16"/>
      <c r="NY28" s="59"/>
      <c r="NZ28" s="121"/>
      <c r="OA28" s="20">
        <v>21</v>
      </c>
      <c r="OB28" s="19"/>
      <c r="OC28" s="105"/>
      <c r="OD28" s="19"/>
      <c r="OE28" s="124"/>
      <c r="OF28" s="103"/>
      <c r="OG28" s="16"/>
      <c r="OH28" s="59"/>
      <c r="OI28" s="121"/>
      <c r="OJ28" s="20">
        <v>21</v>
      </c>
      <c r="OK28" s="19">
        <v>883.1</v>
      </c>
      <c r="OL28" s="17">
        <v>43457</v>
      </c>
      <c r="OM28" s="19">
        <v>883.1</v>
      </c>
      <c r="ON28" s="70" t="s">
        <v>627</v>
      </c>
      <c r="OO28" s="482">
        <v>42</v>
      </c>
      <c r="OP28" s="16"/>
      <c r="OQ28" s="59"/>
      <c r="OR28" s="121"/>
      <c r="OS28" s="20">
        <v>21</v>
      </c>
      <c r="OT28" s="19">
        <v>889.9</v>
      </c>
      <c r="OU28" s="17">
        <v>43457</v>
      </c>
      <c r="OV28" s="19">
        <v>889.9</v>
      </c>
      <c r="OW28" s="70" t="s">
        <v>627</v>
      </c>
      <c r="OX28" s="24">
        <v>42</v>
      </c>
      <c r="OY28" s="16"/>
      <c r="OZ28" s="59"/>
      <c r="PA28" s="121"/>
      <c r="PB28" s="20">
        <v>21</v>
      </c>
      <c r="PC28" s="19"/>
      <c r="PD28" s="17"/>
      <c r="PE28" s="19"/>
      <c r="PF28" s="70"/>
      <c r="PG28" s="24"/>
      <c r="PH28" s="16"/>
      <c r="PI28" s="59"/>
      <c r="PJ28" s="121"/>
      <c r="PK28" s="20">
        <v>21</v>
      </c>
      <c r="PL28" s="19">
        <v>900.5</v>
      </c>
      <c r="PM28" s="17">
        <v>43461</v>
      </c>
      <c r="PN28" s="19">
        <v>900.5</v>
      </c>
      <c r="PO28" s="70" t="s">
        <v>650</v>
      </c>
      <c r="PP28" s="24">
        <v>38</v>
      </c>
      <c r="PQ28" s="16"/>
      <c r="PR28" s="59"/>
      <c r="PS28" s="121"/>
      <c r="PT28" s="20"/>
      <c r="PU28" s="19"/>
      <c r="PV28" s="17"/>
      <c r="PW28" s="19"/>
      <c r="PX28" s="270"/>
      <c r="PY28" s="24"/>
      <c r="PZ28" s="16"/>
      <c r="QA28" s="59"/>
      <c r="QB28" s="121"/>
      <c r="QC28" s="20"/>
      <c r="QD28" s="19"/>
      <c r="QE28" s="105"/>
      <c r="QF28" s="19"/>
      <c r="QG28" s="124"/>
      <c r="QH28" s="414"/>
      <c r="QI28" s="16"/>
      <c r="QJ28" s="59"/>
      <c r="QK28" s="121"/>
      <c r="QL28" s="20">
        <v>21</v>
      </c>
      <c r="QM28" s="19">
        <v>912.2</v>
      </c>
      <c r="QN28" s="17">
        <v>43461</v>
      </c>
      <c r="QO28" s="19">
        <v>912.2</v>
      </c>
      <c r="QP28" s="70" t="s">
        <v>646</v>
      </c>
      <c r="QQ28" s="24">
        <v>38</v>
      </c>
      <c r="QR28" s="16"/>
      <c r="QS28" s="59"/>
      <c r="QT28" s="121"/>
      <c r="QU28" s="20">
        <v>21</v>
      </c>
      <c r="QV28" s="19"/>
      <c r="QW28" s="17"/>
      <c r="QX28" s="19"/>
      <c r="QY28" s="70"/>
      <c r="QZ28" s="24"/>
      <c r="RA28" s="16"/>
      <c r="RB28" s="59"/>
      <c r="RC28" s="121"/>
      <c r="RD28" s="20"/>
      <c r="RE28" s="19"/>
      <c r="RF28" s="17"/>
      <c r="RG28" s="19"/>
      <c r="RH28" s="70"/>
      <c r="RI28" s="24"/>
      <c r="RJ28" s="16"/>
      <c r="RK28" s="59"/>
      <c r="RL28" s="121"/>
      <c r="RM28" s="20"/>
      <c r="RN28" s="19"/>
      <c r="RO28" s="17"/>
      <c r="RP28" s="19"/>
      <c r="RQ28" s="70"/>
      <c r="RR28" s="24"/>
      <c r="RS28" s="16"/>
      <c r="RT28" s="59"/>
      <c r="RU28" s="121"/>
      <c r="RV28" s="20"/>
      <c r="RW28" s="19"/>
      <c r="RX28" s="17"/>
      <c r="RY28" s="19"/>
      <c r="RZ28" s="70"/>
      <c r="SA28" s="24"/>
      <c r="SB28" s="16"/>
      <c r="SC28" s="59"/>
      <c r="SD28" s="121"/>
      <c r="SE28" s="20">
        <v>21</v>
      </c>
      <c r="SF28" s="19"/>
      <c r="SG28" s="17"/>
      <c r="SH28" s="19"/>
      <c r="SI28" s="70"/>
      <c r="SJ28" s="24"/>
      <c r="SK28" s="16"/>
      <c r="SL28" s="59"/>
      <c r="SM28" s="121"/>
      <c r="SN28" s="20"/>
      <c r="SO28" s="19"/>
      <c r="SP28" s="17"/>
      <c r="SQ28" s="19"/>
      <c r="SR28" s="70"/>
      <c r="SS28" s="24"/>
      <c r="ST28" s="16"/>
      <c r="SU28" s="59"/>
      <c r="SV28" s="121"/>
      <c r="SW28" s="20">
        <v>21</v>
      </c>
      <c r="SX28" s="19">
        <v>937.1</v>
      </c>
      <c r="SY28" s="17">
        <v>43463</v>
      </c>
      <c r="SZ28" s="19">
        <v>937.1</v>
      </c>
      <c r="TA28" s="70" t="s">
        <v>666</v>
      </c>
      <c r="TB28" s="24">
        <v>38</v>
      </c>
      <c r="TC28" s="16"/>
      <c r="TD28" s="59"/>
      <c r="TE28" s="121"/>
      <c r="TF28" s="20"/>
      <c r="TG28" s="19"/>
      <c r="TH28" s="17"/>
      <c r="TI28" s="19"/>
      <c r="TJ28" s="70"/>
      <c r="TK28" s="24"/>
      <c r="TM28" s="7"/>
      <c r="TN28" s="2"/>
      <c r="TO28" s="20">
        <v>21</v>
      </c>
      <c r="TP28" s="19">
        <v>889</v>
      </c>
      <c r="TQ28" s="17">
        <v>43464</v>
      </c>
      <c r="TR28" s="19">
        <v>889</v>
      </c>
      <c r="TS28" s="70" t="s">
        <v>671</v>
      </c>
      <c r="TT28" s="24">
        <v>38</v>
      </c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32245334</v>
      </c>
      <c r="E29" s="155">
        <f t="shared" si="25"/>
        <v>43449</v>
      </c>
      <c r="F29" s="74">
        <f t="shared" si="25"/>
        <v>16315.02</v>
      </c>
      <c r="G29" s="15">
        <f t="shared" si="25"/>
        <v>18</v>
      </c>
      <c r="H29" s="64">
        <f t="shared" si="25"/>
        <v>16343.8</v>
      </c>
      <c r="I29" s="18">
        <f t="shared" si="25"/>
        <v>-28.779999999998836</v>
      </c>
      <c r="K29" s="59"/>
      <c r="L29" s="133"/>
      <c r="M29" s="20"/>
      <c r="N29" s="190"/>
      <c r="O29" s="105"/>
      <c r="P29" s="190"/>
      <c r="Q29" s="124"/>
      <c r="R29" s="103"/>
      <c r="S29" s="16"/>
      <c r="T29" s="59"/>
      <c r="U29" s="121"/>
      <c r="V29" s="20"/>
      <c r="W29" s="190"/>
      <c r="X29" s="17"/>
      <c r="Y29" s="190"/>
      <c r="Z29" s="70"/>
      <c r="AA29" s="24"/>
      <c r="AB29" s="16"/>
      <c r="AC29" s="59"/>
      <c r="AD29" s="121"/>
      <c r="AE29" s="20"/>
      <c r="AF29" s="190"/>
      <c r="AG29" s="17"/>
      <c r="AH29" s="190"/>
      <c r="AI29" s="70"/>
      <c r="AJ29" s="24"/>
      <c r="AK29" s="16"/>
      <c r="AL29" s="59"/>
      <c r="AM29" s="121"/>
      <c r="AN29" s="20"/>
      <c r="AO29" s="19"/>
      <c r="AP29" s="17"/>
      <c r="AQ29" s="19"/>
      <c r="AR29" s="70"/>
      <c r="AS29" s="24"/>
      <c r="AT29" s="16"/>
      <c r="AU29" s="59"/>
      <c r="AV29" s="121"/>
      <c r="AW29" s="20"/>
      <c r="AX29" s="19"/>
      <c r="AY29" s="433"/>
      <c r="AZ29" s="434"/>
      <c r="BA29" s="436"/>
      <c r="BB29" s="435"/>
      <c r="BC29" s="16"/>
      <c r="BD29" s="59"/>
      <c r="BE29" s="121"/>
      <c r="BF29" s="20"/>
      <c r="BG29" s="19"/>
      <c r="BH29" s="17"/>
      <c r="BI29" s="19"/>
      <c r="BJ29" s="70"/>
      <c r="BK29" s="24"/>
      <c r="BL29" s="16"/>
      <c r="BM29" s="59"/>
      <c r="BN29" s="121"/>
      <c r="BO29" s="20"/>
      <c r="BP29" s="19"/>
      <c r="BQ29" s="17"/>
      <c r="BR29" s="19"/>
      <c r="BS29" s="70"/>
      <c r="BT29" s="24"/>
      <c r="BU29" s="16"/>
      <c r="BV29" s="59"/>
      <c r="BW29" s="121"/>
      <c r="BX29" s="20"/>
      <c r="BY29" s="19"/>
      <c r="BZ29" s="17"/>
      <c r="CA29" s="19"/>
      <c r="CB29" s="70"/>
      <c r="CC29" s="24"/>
      <c r="CD29" s="16"/>
      <c r="CE29" s="59"/>
      <c r="CF29" s="121"/>
      <c r="CG29" s="20"/>
      <c r="CH29" s="19"/>
      <c r="CI29" s="17"/>
      <c r="CJ29" s="19"/>
      <c r="CK29" s="70"/>
      <c r="CL29" s="24"/>
      <c r="CM29" s="16"/>
      <c r="CN29" s="59"/>
      <c r="CO29" s="121"/>
      <c r="CP29" s="20"/>
      <c r="CQ29" s="19"/>
      <c r="CR29" s="17"/>
      <c r="CS29" s="19"/>
      <c r="CT29" s="70"/>
      <c r="CU29" s="24"/>
      <c r="CV29" s="16"/>
      <c r="CW29" s="59"/>
      <c r="CX29" s="121"/>
      <c r="CY29" s="20"/>
      <c r="CZ29" s="19"/>
      <c r="DA29" s="17"/>
      <c r="DB29" s="19"/>
      <c r="DC29" s="70"/>
      <c r="DD29" s="24"/>
      <c r="DE29" s="16"/>
      <c r="DF29" s="59"/>
      <c r="DG29" s="121"/>
      <c r="DH29" s="20"/>
      <c r="DI29" s="19"/>
      <c r="DJ29" s="17"/>
      <c r="DK29" s="19"/>
      <c r="DL29" s="70"/>
      <c r="DM29" s="24"/>
      <c r="DN29" s="16"/>
      <c r="DO29" s="59"/>
      <c r="DP29" s="121"/>
      <c r="DQ29" s="20"/>
      <c r="DR29" s="30"/>
      <c r="DS29" s="58"/>
      <c r="DT29" s="30"/>
      <c r="DU29" s="76"/>
      <c r="DV29" s="24"/>
      <c r="DW29" s="16"/>
      <c r="DX29" s="59"/>
      <c r="DY29" s="121"/>
      <c r="DZ29" s="20"/>
      <c r="EA29" s="30"/>
      <c r="EB29" s="58"/>
      <c r="EC29" s="30"/>
      <c r="ED29" s="76"/>
      <c r="EE29" s="24"/>
      <c r="EF29" s="16"/>
      <c r="EG29" s="59"/>
      <c r="EH29" s="121"/>
      <c r="EI29" s="20"/>
      <c r="EJ29" s="19"/>
      <c r="EK29" s="17"/>
      <c r="EL29" s="19"/>
      <c r="EM29" s="43"/>
      <c r="EN29" s="24"/>
      <c r="EO29" s="16"/>
      <c r="EP29" s="59"/>
      <c r="EQ29" s="121"/>
      <c r="ER29" s="20"/>
      <c r="ES29" s="19"/>
      <c r="ET29" s="17"/>
      <c r="EU29" s="19"/>
      <c r="EV29" s="76"/>
      <c r="EW29" s="24"/>
      <c r="EX29" s="16"/>
      <c r="EY29" s="59"/>
      <c r="EZ29" s="121"/>
      <c r="FA29" s="20"/>
      <c r="FB29" s="19"/>
      <c r="FC29" s="17"/>
      <c r="FD29" s="19"/>
      <c r="FE29" s="43"/>
      <c r="FF29" s="24"/>
      <c r="FG29" s="16"/>
      <c r="FH29" s="59"/>
      <c r="FI29" s="121"/>
      <c r="FJ29" s="20"/>
      <c r="FK29" s="30"/>
      <c r="FL29" s="58"/>
      <c r="FM29" s="30"/>
      <c r="FN29" s="76"/>
      <c r="FO29" s="24"/>
      <c r="FP29" s="16"/>
      <c r="FQ29" s="59"/>
      <c r="FR29" s="121"/>
      <c r="FS29" s="20"/>
      <c r="FT29" s="19"/>
      <c r="FU29" s="150"/>
      <c r="FV29" s="167"/>
      <c r="FW29" s="270"/>
      <c r="FX29" s="111"/>
      <c r="FY29" s="16"/>
      <c r="FZ29" s="129"/>
      <c r="GA29" s="121"/>
      <c r="GB29" s="20"/>
      <c r="GC29" s="19"/>
      <c r="GD29" s="17"/>
      <c r="GE29" s="19"/>
      <c r="GF29" s="70"/>
      <c r="GG29" s="24"/>
      <c r="GH29" s="16"/>
      <c r="GI29" s="129"/>
      <c r="GJ29" s="121"/>
      <c r="GK29" s="20"/>
      <c r="GL29" s="19"/>
      <c r="GM29" s="17"/>
      <c r="GN29" s="19"/>
      <c r="GO29" s="70"/>
      <c r="GP29" s="24"/>
      <c r="GQ29" s="16"/>
      <c r="GR29" s="59"/>
      <c r="GS29" s="121"/>
      <c r="GT29" s="20"/>
      <c r="GU29" s="19"/>
      <c r="GV29" s="17"/>
      <c r="GW29" s="19"/>
      <c r="GX29" s="43"/>
      <c r="GY29" s="24"/>
      <c r="GZ29" s="16"/>
      <c r="HA29" s="59"/>
      <c r="HB29" s="121"/>
      <c r="HC29" s="20"/>
      <c r="HD29" s="30"/>
      <c r="HE29" s="58"/>
      <c r="HF29" s="30"/>
      <c r="HG29" s="76"/>
      <c r="HH29" s="24"/>
      <c r="HI29" s="16"/>
      <c r="HJ29" s="59"/>
      <c r="HK29" s="121"/>
      <c r="HL29" s="20"/>
      <c r="HM29" s="19"/>
      <c r="HN29" s="17"/>
      <c r="HO29" s="19"/>
      <c r="HP29" s="70"/>
      <c r="HQ29" s="24"/>
      <c r="HR29" s="16"/>
      <c r="HS29" s="208"/>
      <c r="HT29" s="121"/>
      <c r="HU29" s="20"/>
      <c r="HV29" s="30"/>
      <c r="HW29" s="58"/>
      <c r="HX29" s="30"/>
      <c r="HY29" s="76"/>
      <c r="HZ29" s="24"/>
      <c r="IA29" s="16"/>
      <c r="IB29" s="59"/>
      <c r="IC29" s="121"/>
      <c r="ID29" s="20"/>
      <c r="IE29" s="19"/>
      <c r="IF29" s="17"/>
      <c r="IG29" s="19"/>
      <c r="IH29" s="43"/>
      <c r="II29" s="24"/>
      <c r="IJ29" s="16"/>
      <c r="IK29" s="59"/>
      <c r="IL29" s="121"/>
      <c r="IM29" s="20"/>
      <c r="IN29" s="30"/>
      <c r="IO29" s="58"/>
      <c r="IP29" s="30"/>
      <c r="IQ29" s="76"/>
      <c r="IR29" s="24"/>
      <c r="IS29" s="16"/>
      <c r="IT29" s="59"/>
      <c r="IU29" s="121"/>
      <c r="IV29" s="20"/>
      <c r="IW29" s="19"/>
      <c r="IX29" s="105"/>
      <c r="IY29" s="19"/>
      <c r="IZ29" s="124"/>
      <c r="JA29" s="103"/>
      <c r="JB29" s="16"/>
      <c r="JC29" s="129"/>
      <c r="JD29" s="121"/>
      <c r="JE29" s="20"/>
      <c r="JF29" s="19"/>
      <c r="JG29" s="17"/>
      <c r="JH29" s="19"/>
      <c r="JI29" s="70"/>
      <c r="JJ29" s="24"/>
      <c r="JK29" s="16"/>
      <c r="JL29" s="59"/>
      <c r="JM29" s="121"/>
      <c r="JN29" s="20"/>
      <c r="JO29" s="19"/>
      <c r="JP29" s="105"/>
      <c r="JQ29" s="19"/>
      <c r="JR29" s="124"/>
      <c r="JS29" s="103"/>
      <c r="JT29" s="16"/>
      <c r="JU29" s="59"/>
      <c r="JV29" s="194"/>
      <c r="JW29" s="20"/>
      <c r="JX29" s="19"/>
      <c r="JY29" s="17"/>
      <c r="JZ29" s="19"/>
      <c r="KA29" s="70"/>
      <c r="KB29" s="24"/>
      <c r="KC29" s="16"/>
      <c r="KD29" s="59"/>
      <c r="KE29" s="121"/>
      <c r="KF29" s="20"/>
      <c r="KG29" s="19"/>
      <c r="KH29" s="17"/>
      <c r="KI29" s="19"/>
      <c r="KJ29" s="70"/>
      <c r="KK29" s="24"/>
      <c r="KL29" s="16"/>
      <c r="KM29" s="59"/>
      <c r="KN29" s="133"/>
      <c r="KO29" s="20"/>
      <c r="KP29" s="190"/>
      <c r="KQ29" s="105"/>
      <c r="KR29" s="190"/>
      <c r="KS29" s="124"/>
      <c r="KT29" s="103"/>
      <c r="KU29" s="16"/>
      <c r="KV29" s="59"/>
      <c r="KW29" s="121"/>
      <c r="KX29" s="20"/>
      <c r="KY29" s="190"/>
      <c r="KZ29" s="17"/>
      <c r="LA29" s="190"/>
      <c r="LB29" s="70"/>
      <c r="LC29" s="24"/>
      <c r="LD29" s="16"/>
      <c r="LE29" s="59"/>
      <c r="LF29" s="171"/>
      <c r="LG29" s="20">
        <v>22</v>
      </c>
      <c r="LH29" s="19"/>
      <c r="LI29" s="17"/>
      <c r="LJ29" s="19"/>
      <c r="LK29" s="70"/>
      <c r="LL29" s="24"/>
      <c r="LM29" s="16"/>
      <c r="LN29" s="59"/>
      <c r="LO29" s="121"/>
      <c r="LP29" s="20"/>
      <c r="LQ29" s="190"/>
      <c r="LR29" s="17"/>
      <c r="LS29" s="190"/>
      <c r="LT29" s="70"/>
      <c r="LU29" s="24"/>
      <c r="LV29" s="16"/>
      <c r="LW29" s="59"/>
      <c r="LX29" s="121"/>
      <c r="LY29" s="20"/>
      <c r="LZ29" s="19"/>
      <c r="MA29" s="17"/>
      <c r="MB29" s="19"/>
      <c r="MC29" s="70"/>
      <c r="MD29" s="24"/>
      <c r="ME29" s="16"/>
      <c r="MF29" s="59"/>
      <c r="MG29" s="121"/>
      <c r="MH29" s="20"/>
      <c r="MI29" s="19"/>
      <c r="MJ29" s="150"/>
      <c r="MK29" s="167"/>
      <c r="ML29" s="270"/>
      <c r="MM29" s="111"/>
      <c r="MN29" s="16"/>
      <c r="MO29" s="59"/>
      <c r="MP29" s="121"/>
      <c r="MQ29" s="20"/>
      <c r="MR29" s="19"/>
      <c r="MS29" s="17"/>
      <c r="MT29" s="19"/>
      <c r="MU29" s="70"/>
      <c r="MV29" s="24"/>
      <c r="MW29" s="16"/>
      <c r="MX29" s="59"/>
      <c r="MY29" s="121"/>
      <c r="MZ29" s="20"/>
      <c r="NA29" s="19"/>
      <c r="NB29" s="17"/>
      <c r="NC29" s="19"/>
      <c r="ND29" s="70"/>
      <c r="NE29" s="24"/>
      <c r="NF29" s="16"/>
      <c r="NG29" s="59"/>
      <c r="NH29" s="121"/>
      <c r="NI29" s="20"/>
      <c r="NJ29" s="19"/>
      <c r="NK29" s="17"/>
      <c r="NL29" s="19"/>
      <c r="NM29" s="70"/>
      <c r="NN29" s="24"/>
      <c r="NO29" s="16"/>
      <c r="NP29" s="59"/>
      <c r="NQ29" s="121"/>
      <c r="NR29" s="20"/>
      <c r="NS29" s="19"/>
      <c r="NT29" s="17"/>
      <c r="NU29" s="19"/>
      <c r="NV29" s="70"/>
      <c r="NW29" s="24"/>
      <c r="NX29" s="16"/>
      <c r="NY29" s="59"/>
      <c r="NZ29" s="121"/>
      <c r="OA29" s="20"/>
      <c r="OB29" s="19"/>
      <c r="OC29" s="17"/>
      <c r="OD29" s="19"/>
      <c r="OE29" s="70"/>
      <c r="OF29" s="24"/>
      <c r="OG29" s="16"/>
      <c r="OH29" s="59"/>
      <c r="OI29" s="121"/>
      <c r="OJ29" s="20"/>
      <c r="OK29" s="19"/>
      <c r="OL29" s="17"/>
      <c r="OM29" s="19"/>
      <c r="ON29" s="70"/>
      <c r="OO29" s="24"/>
      <c r="OP29" s="16"/>
      <c r="OQ29" s="59"/>
      <c r="OR29" s="121"/>
      <c r="OS29" s="20"/>
      <c r="OT29" s="19"/>
      <c r="OU29" s="17"/>
      <c r="OV29" s="19"/>
      <c r="OW29" s="70"/>
      <c r="OX29" s="24"/>
      <c r="OY29" s="16"/>
      <c r="OZ29" s="59"/>
      <c r="PA29" s="121"/>
      <c r="PB29" s="20"/>
      <c r="PC29" s="19"/>
      <c r="PD29" s="17"/>
      <c r="PE29" s="19"/>
      <c r="PF29" s="70"/>
      <c r="PG29" s="24"/>
      <c r="PH29" s="16"/>
      <c r="PI29" s="59"/>
      <c r="PJ29" s="121"/>
      <c r="PK29" s="20"/>
      <c r="PL29" s="19"/>
      <c r="PM29" s="17"/>
      <c r="PN29" s="19"/>
      <c r="PO29" s="70"/>
      <c r="PP29" s="24"/>
      <c r="PQ29" s="16"/>
      <c r="PR29" s="59"/>
      <c r="PS29" s="121"/>
      <c r="PT29" s="20"/>
      <c r="PU29" s="19"/>
      <c r="PV29" s="17"/>
      <c r="PW29" s="19"/>
      <c r="PX29" s="70"/>
      <c r="PY29" s="24"/>
      <c r="PZ29" s="16"/>
      <c r="QA29" s="59"/>
      <c r="QB29" s="121"/>
      <c r="QC29" s="20"/>
      <c r="QD29" s="19"/>
      <c r="QE29" s="105"/>
      <c r="QF29" s="19"/>
      <c r="QG29" s="124"/>
      <c r="QH29" s="414"/>
      <c r="QI29" s="16"/>
      <c r="QJ29" s="59"/>
      <c r="QK29" s="121"/>
      <c r="QL29" s="20"/>
      <c r="QM29" s="19"/>
      <c r="QN29" s="17"/>
      <c r="QO29" s="19"/>
      <c r="QP29" s="70"/>
      <c r="QQ29" s="24"/>
      <c r="QR29" s="16"/>
      <c r="QS29" s="59"/>
      <c r="QT29" s="121"/>
      <c r="QU29" s="20"/>
      <c r="QV29" s="19"/>
      <c r="QW29" s="17"/>
      <c r="QX29" s="19"/>
      <c r="QY29" s="70"/>
      <c r="QZ29" s="24"/>
      <c r="RA29" s="16"/>
      <c r="RB29" s="59"/>
      <c r="RC29" s="121"/>
      <c r="RD29" s="20"/>
      <c r="RE29" s="19"/>
      <c r="RF29" s="17"/>
      <c r="RG29" s="19"/>
      <c r="RH29" s="70"/>
      <c r="RI29" s="24"/>
      <c r="RJ29" s="16"/>
      <c r="RK29" s="59"/>
      <c r="RL29" s="121"/>
      <c r="RM29" s="20"/>
      <c r="RN29" s="19"/>
      <c r="RO29" s="17"/>
      <c r="RP29" s="19"/>
      <c r="RQ29" s="70"/>
      <c r="RR29" s="24"/>
      <c r="RS29" s="16"/>
      <c r="RT29" s="59"/>
      <c r="RU29" s="121"/>
      <c r="RV29" s="20"/>
      <c r="RW29" s="19"/>
      <c r="RX29" s="17"/>
      <c r="RY29" s="19"/>
      <c r="RZ29" s="70"/>
      <c r="SA29" s="24"/>
      <c r="SB29" s="16"/>
      <c r="SC29" s="59"/>
      <c r="SD29" s="121"/>
      <c r="SE29" s="20"/>
      <c r="SF29" s="19"/>
      <c r="SG29" s="17"/>
      <c r="SH29" s="19"/>
      <c r="SI29" s="70"/>
      <c r="SJ29" s="24"/>
      <c r="SK29" s="16"/>
      <c r="SL29" s="59"/>
      <c r="SM29" s="121"/>
      <c r="SN29" s="20"/>
      <c r="SO29" s="19"/>
      <c r="SP29" s="17"/>
      <c r="SQ29" s="19"/>
      <c r="SR29" s="70"/>
      <c r="SS29" s="24"/>
      <c r="ST29" s="16"/>
      <c r="SU29" s="59"/>
      <c r="SV29" s="121"/>
      <c r="SW29" s="20"/>
      <c r="SX29" s="19"/>
      <c r="SY29" s="17"/>
      <c r="SZ29" s="19"/>
      <c r="TA29" s="70"/>
      <c r="TB29" s="24"/>
      <c r="TC29" s="16"/>
      <c r="TD29" s="59"/>
      <c r="TE29" s="121"/>
      <c r="TF29" s="20"/>
      <c r="TG29" s="19"/>
      <c r="TH29" s="17"/>
      <c r="TI29" s="19"/>
      <c r="TJ29" s="70"/>
      <c r="TK29" s="24"/>
      <c r="TM29" s="7"/>
      <c r="TN29" s="2"/>
      <c r="TO29" s="20">
        <v>22</v>
      </c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2" t="str">
        <f t="shared" si="26"/>
        <v>PED. 32303651</v>
      </c>
      <c r="E30" s="155">
        <f t="shared" si="26"/>
        <v>43449</v>
      </c>
      <c r="F30" s="74">
        <f t="shared" si="26"/>
        <v>19084.8</v>
      </c>
      <c r="G30" s="15">
        <f t="shared" si="26"/>
        <v>20</v>
      </c>
      <c r="H30" s="64">
        <f t="shared" si="26"/>
        <v>19247.63</v>
      </c>
      <c r="I30" s="18">
        <f>F30-H30</f>
        <v>-162.83000000000175</v>
      </c>
      <c r="K30" s="59"/>
      <c r="L30" s="133"/>
      <c r="M30" s="20"/>
      <c r="N30" s="190"/>
      <c r="O30" s="69"/>
      <c r="P30" s="30"/>
      <c r="Q30" s="78"/>
      <c r="R30" s="113"/>
      <c r="S30" s="16"/>
      <c r="T30" s="59"/>
      <c r="U30" s="121"/>
      <c r="V30" s="20"/>
      <c r="W30" s="190"/>
      <c r="X30" s="17"/>
      <c r="Y30" s="30"/>
      <c r="Z30" s="70"/>
      <c r="AA30" s="24"/>
      <c r="AB30" s="16"/>
      <c r="AC30" s="59"/>
      <c r="AD30" s="121"/>
      <c r="AE30" s="20"/>
      <c r="AF30" s="190"/>
      <c r="AG30" s="17"/>
      <c r="AH30" s="30"/>
      <c r="AI30" s="70"/>
      <c r="AJ30" s="24"/>
      <c r="AK30" s="16"/>
      <c r="AL30" s="59"/>
      <c r="AM30" s="121"/>
      <c r="AN30" s="20"/>
      <c r="AO30" s="30"/>
      <c r="AP30" s="17"/>
      <c r="AQ30" s="19"/>
      <c r="AR30" s="70"/>
      <c r="AS30" s="24"/>
      <c r="AT30" s="16"/>
      <c r="AU30" s="59"/>
      <c r="AV30" s="121"/>
      <c r="AW30" s="20"/>
      <c r="AX30" s="30"/>
      <c r="AY30" s="17"/>
      <c r="AZ30" s="30"/>
      <c r="BA30" s="70"/>
      <c r="BB30" s="24"/>
      <c r="BC30" s="16"/>
      <c r="BD30" s="59"/>
      <c r="BE30" s="121"/>
      <c r="BF30" s="20"/>
      <c r="BG30" s="30"/>
      <c r="BH30" s="17"/>
      <c r="BI30" s="30"/>
      <c r="BJ30" s="78"/>
      <c r="BK30" s="24"/>
      <c r="BL30" s="16"/>
      <c r="BM30" s="59"/>
      <c r="BN30" s="121"/>
      <c r="BO30" s="20"/>
      <c r="BP30" s="30"/>
      <c r="BQ30" s="17"/>
      <c r="BR30" s="30"/>
      <c r="BS30" s="78"/>
      <c r="BT30" s="24"/>
      <c r="BU30" s="16"/>
      <c r="BV30" s="59"/>
      <c r="BW30" s="121"/>
      <c r="BX30" s="20"/>
      <c r="BY30" s="30"/>
      <c r="BZ30" s="17"/>
      <c r="CA30" s="30"/>
      <c r="CB30" s="78"/>
      <c r="CC30" s="24"/>
      <c r="CD30" s="16"/>
      <c r="CE30" s="59"/>
      <c r="CF30" s="121"/>
      <c r="CG30" s="20"/>
      <c r="CH30" s="30"/>
      <c r="CI30" s="17"/>
      <c r="CJ30" s="30"/>
      <c r="CK30" s="78"/>
      <c r="CL30" s="24"/>
      <c r="CM30" s="16"/>
      <c r="CN30" s="59"/>
      <c r="CO30" s="121"/>
      <c r="CP30" s="20"/>
      <c r="CQ30" s="30"/>
      <c r="CR30" s="17"/>
      <c r="CS30" s="30"/>
      <c r="CT30" s="78"/>
      <c r="CU30" s="24"/>
      <c r="CV30" s="16"/>
      <c r="CW30" s="59"/>
      <c r="CX30" s="121"/>
      <c r="CY30" s="20"/>
      <c r="CZ30" s="30"/>
      <c r="DA30" s="17"/>
      <c r="DB30" s="30"/>
      <c r="DC30" s="78"/>
      <c r="DD30" s="24"/>
      <c r="DE30" s="16"/>
      <c r="DF30" s="59"/>
      <c r="DG30" s="121"/>
      <c r="DH30" s="20"/>
      <c r="DI30" s="30"/>
      <c r="DJ30" s="17"/>
      <c r="DK30" s="30"/>
      <c r="DL30" s="78"/>
      <c r="DM30" s="24"/>
      <c r="DN30" s="16"/>
      <c r="DO30" s="59"/>
      <c r="DP30" s="121"/>
      <c r="DQ30" s="20"/>
      <c r="DR30" s="30"/>
      <c r="DS30" s="58"/>
      <c r="DT30" s="208"/>
      <c r="DU30" s="76"/>
      <c r="DV30" s="24"/>
      <c r="DW30" s="16"/>
      <c r="DX30" s="59"/>
      <c r="DY30" s="121"/>
      <c r="DZ30" s="20"/>
      <c r="EA30" s="30"/>
      <c r="EB30" s="58"/>
      <c r="EC30" s="208"/>
      <c r="ED30" s="76"/>
      <c r="EE30" s="24"/>
      <c r="EF30" s="16"/>
      <c r="EG30" s="59"/>
      <c r="EH30" s="121"/>
      <c r="EI30" s="20"/>
      <c r="EJ30" s="19"/>
      <c r="EK30" s="17"/>
      <c r="EL30" s="18"/>
      <c r="EM30" s="43"/>
      <c r="EN30" s="24"/>
      <c r="EO30" s="16"/>
      <c r="EP30" s="59"/>
      <c r="EQ30" s="130"/>
      <c r="ER30" s="20"/>
      <c r="ES30" s="30"/>
      <c r="ET30" s="17"/>
      <c r="EU30" s="19"/>
      <c r="EV30" s="76"/>
      <c r="EW30" s="24"/>
      <c r="EX30" s="16"/>
      <c r="EY30" s="59"/>
      <c r="EZ30" s="121"/>
      <c r="FA30" s="20"/>
      <c r="FB30" s="19"/>
      <c r="FC30" s="17"/>
      <c r="FD30" s="19"/>
      <c r="FE30" s="43"/>
      <c r="FF30" s="24"/>
      <c r="FG30" s="16"/>
      <c r="FH30" s="59"/>
      <c r="FI30" s="121"/>
      <c r="FJ30" s="20"/>
      <c r="FK30" s="30"/>
      <c r="FL30" s="58"/>
      <c r="FM30" s="208"/>
      <c r="FN30" s="76"/>
      <c r="FO30" s="24"/>
      <c r="FP30" s="16"/>
      <c r="FQ30" s="59"/>
      <c r="FR30" s="121"/>
      <c r="FS30" s="20"/>
      <c r="FT30" s="30"/>
      <c r="FU30" s="69"/>
      <c r="FV30" s="30"/>
      <c r="FW30" s="78"/>
      <c r="FX30" s="24"/>
      <c r="FY30" s="16"/>
      <c r="FZ30" s="129"/>
      <c r="GA30" s="121"/>
      <c r="GB30" s="20"/>
      <c r="GC30" s="19"/>
      <c r="GD30" s="17"/>
      <c r="GE30" s="19"/>
      <c r="GF30" s="70"/>
      <c r="GG30" s="24"/>
      <c r="GH30" s="16"/>
      <c r="GI30" s="129"/>
      <c r="GJ30" s="121"/>
      <c r="GK30" s="20"/>
      <c r="GL30" s="30"/>
      <c r="GM30" s="293"/>
      <c r="GN30" s="209"/>
      <c r="GO30" s="294"/>
      <c r="GP30" s="295"/>
      <c r="GQ30" s="16"/>
      <c r="GR30" s="59"/>
      <c r="GS30" s="121"/>
      <c r="GT30" s="20"/>
      <c r="GU30" s="19"/>
      <c r="GV30" s="17"/>
      <c r="GW30" s="18"/>
      <c r="GX30" s="43"/>
      <c r="GY30" s="24"/>
      <c r="GZ30" s="16"/>
      <c r="HA30" s="59"/>
      <c r="HB30" s="121"/>
      <c r="HC30" s="20"/>
      <c r="HD30" s="30"/>
      <c r="HE30" s="58"/>
      <c r="HF30" s="208"/>
      <c r="HG30" s="76"/>
      <c r="HH30" s="24"/>
      <c r="HI30" s="16"/>
      <c r="HJ30" s="59"/>
      <c r="HK30" s="121"/>
      <c r="HL30" s="20"/>
      <c r="HM30" s="30"/>
      <c r="HN30" s="69"/>
      <c r="HO30" s="30"/>
      <c r="HP30" s="78"/>
      <c r="HQ30" s="24"/>
      <c r="HR30" s="16"/>
      <c r="HS30" s="59"/>
      <c r="HT30" s="121"/>
      <c r="HU30" s="20"/>
      <c r="HV30" s="30"/>
      <c r="HW30" s="58"/>
      <c r="HX30" s="208"/>
      <c r="HY30" s="76"/>
      <c r="HZ30" s="24"/>
      <c r="IA30" s="16"/>
      <c r="IB30" s="59"/>
      <c r="IC30" s="121"/>
      <c r="ID30" s="20"/>
      <c r="IE30" s="19"/>
      <c r="IF30" s="17"/>
      <c r="IG30" s="18"/>
      <c r="IH30" s="43"/>
      <c r="II30" s="24"/>
      <c r="IJ30" s="16"/>
      <c r="IK30" s="59"/>
      <c r="IL30" s="121"/>
      <c r="IM30" s="20"/>
      <c r="IN30" s="30"/>
      <c r="IO30" s="58"/>
      <c r="IP30" s="208"/>
      <c r="IQ30" s="76"/>
      <c r="IR30" s="24"/>
      <c r="IS30" s="16"/>
      <c r="IT30" s="59"/>
      <c r="IU30" s="121"/>
      <c r="IV30" s="20"/>
      <c r="IW30" s="19"/>
      <c r="IX30" s="17"/>
      <c r="IY30" s="30"/>
      <c r="IZ30" s="70"/>
      <c r="JA30" s="24"/>
      <c r="JB30" s="16"/>
      <c r="JC30" s="129"/>
      <c r="JD30" s="121"/>
      <c r="JE30" s="20"/>
      <c r="JF30" s="30"/>
      <c r="JG30" s="293"/>
      <c r="JH30" s="209"/>
      <c r="JI30" s="294"/>
      <c r="JJ30" s="295"/>
      <c r="JK30" s="16"/>
      <c r="JL30" s="59"/>
      <c r="JM30" s="121"/>
      <c r="JN30" s="20"/>
      <c r="JO30" s="19"/>
      <c r="JP30" s="17"/>
      <c r="JQ30" s="30"/>
      <c r="JR30" s="70"/>
      <c r="JS30" s="24"/>
      <c r="JT30" s="16"/>
      <c r="JU30" s="59"/>
      <c r="JV30" s="121"/>
      <c r="JW30" s="20"/>
      <c r="JX30" s="19"/>
      <c r="JY30" s="17"/>
      <c r="JZ30" s="19"/>
      <c r="KA30" s="70"/>
      <c r="KB30" s="24"/>
      <c r="KC30" s="16"/>
      <c r="KD30" s="59"/>
      <c r="KE30" s="121"/>
      <c r="KF30" s="20"/>
      <c r="KG30" s="30"/>
      <c r="KH30" s="17"/>
      <c r="KI30" s="30"/>
      <c r="KJ30" s="70"/>
      <c r="KK30" s="24"/>
      <c r="KL30" s="16"/>
      <c r="KM30" s="59"/>
      <c r="KN30" s="133"/>
      <c r="KO30" s="20"/>
      <c r="KP30" s="190"/>
      <c r="KQ30" s="69"/>
      <c r="KR30" s="30"/>
      <c r="KS30" s="78"/>
      <c r="KT30" s="113"/>
      <c r="KU30" s="16"/>
      <c r="KV30" s="59"/>
      <c r="KW30" s="121"/>
      <c r="KX30" s="20"/>
      <c r="KY30" s="190"/>
      <c r="KZ30" s="17"/>
      <c r="LA30" s="30"/>
      <c r="LB30" s="70"/>
      <c r="LC30" s="24"/>
      <c r="LD30" s="16"/>
      <c r="LE30" s="59"/>
      <c r="LF30" s="121"/>
      <c r="LG30" s="20"/>
      <c r="LH30" s="30"/>
      <c r="LI30" s="17"/>
      <c r="LJ30" s="30"/>
      <c r="LK30" s="70"/>
      <c r="LL30" s="24"/>
      <c r="LM30" s="16"/>
      <c r="LN30" s="59"/>
      <c r="LO30" s="121"/>
      <c r="LP30" s="20"/>
      <c r="LQ30" s="190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1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1"/>
      <c r="MZ30" s="20"/>
      <c r="NA30" s="30"/>
      <c r="NB30" s="69"/>
      <c r="NC30" s="30"/>
      <c r="ND30" s="78"/>
      <c r="NE30" s="24"/>
      <c r="NF30" s="16"/>
      <c r="NG30" s="59"/>
      <c r="NH30" s="121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1"/>
      <c r="OA30" s="20"/>
      <c r="OB30" s="30"/>
      <c r="OC30" s="17"/>
      <c r="OD30" s="30"/>
      <c r="OE30" s="78"/>
      <c r="OF30" s="24"/>
      <c r="OG30" s="16"/>
      <c r="OH30" s="59"/>
      <c r="OI30" s="121"/>
      <c r="OJ30" s="20"/>
      <c r="OK30" s="30"/>
      <c r="OL30" s="59"/>
      <c r="OM30" s="30"/>
      <c r="ON30" s="59"/>
      <c r="OO30" s="16"/>
      <c r="OP30" s="16"/>
      <c r="OQ30" s="59"/>
      <c r="OR30" s="121"/>
      <c r="OS30" s="20"/>
      <c r="OT30" s="30"/>
      <c r="OU30" s="17"/>
      <c r="OV30" s="19"/>
      <c r="OW30" s="70"/>
      <c r="OX30" s="24"/>
      <c r="OY30" s="16"/>
      <c r="OZ30" s="59"/>
      <c r="PA30" s="121"/>
      <c r="PB30" s="20"/>
      <c r="PC30" s="30"/>
      <c r="PD30" s="17"/>
      <c r="PE30" s="19"/>
      <c r="PF30" s="70"/>
      <c r="PG30" s="24"/>
      <c r="PH30" s="16"/>
      <c r="PI30" s="59"/>
      <c r="PJ30" s="121"/>
      <c r="PK30" s="20"/>
      <c r="PL30" s="30"/>
      <c r="PM30" s="17"/>
      <c r="PN30" s="19"/>
      <c r="PO30" s="70"/>
      <c r="PP30" s="24"/>
      <c r="PQ30" s="16"/>
      <c r="PR30" s="59"/>
      <c r="PS30" s="121"/>
      <c r="PT30" s="20"/>
      <c r="PU30" s="30"/>
      <c r="PV30" s="59"/>
      <c r="PW30" s="30"/>
      <c r="PX30" s="59"/>
      <c r="PY30" s="16"/>
      <c r="PZ30" s="16"/>
      <c r="QA30" s="59"/>
      <c r="QB30" s="121"/>
      <c r="QC30" s="20"/>
      <c r="QD30" s="30"/>
      <c r="QE30" s="17"/>
      <c r="QF30" s="30"/>
      <c r="QG30" s="70"/>
      <c r="QH30" s="24"/>
      <c r="QI30" s="16"/>
      <c r="QJ30" s="59"/>
      <c r="QK30" s="121"/>
      <c r="QL30" s="20"/>
      <c r="QM30" s="30"/>
      <c r="QN30" s="59"/>
      <c r="QO30" s="30"/>
      <c r="QP30" s="59"/>
      <c r="QQ30" s="16"/>
      <c r="QR30" s="16"/>
      <c r="QS30" s="59"/>
      <c r="QT30" s="121"/>
      <c r="QU30" s="20"/>
      <c r="QV30" s="30"/>
      <c r="QW30" s="59"/>
      <c r="QX30" s="30"/>
      <c r="QY30" s="59"/>
      <c r="QZ30" s="16"/>
      <c r="RA30" s="16"/>
      <c r="RB30" s="59"/>
      <c r="RC30" s="121"/>
      <c r="RD30" s="20"/>
      <c r="RE30" s="30"/>
      <c r="RF30" s="59"/>
      <c r="RG30" s="30"/>
      <c r="RH30" s="59"/>
      <c r="RI30" s="16"/>
      <c r="RJ30" s="16"/>
      <c r="RK30" s="59"/>
      <c r="RL30" s="121"/>
      <c r="RM30" s="20"/>
      <c r="RN30" s="30"/>
      <c r="RO30" s="59"/>
      <c r="RP30" s="30"/>
      <c r="RQ30" s="59"/>
      <c r="RR30" s="16"/>
      <c r="RS30" s="16"/>
      <c r="RT30" s="59"/>
      <c r="RU30" s="121"/>
      <c r="RV30" s="20"/>
      <c r="RW30" s="30"/>
      <c r="RX30" s="59"/>
      <c r="RY30" s="30"/>
      <c r="RZ30" s="59"/>
      <c r="SA30" s="16"/>
      <c r="SB30" s="16"/>
      <c r="SC30" s="59"/>
      <c r="SD30" s="121"/>
      <c r="SE30" s="20"/>
      <c r="SF30" s="30"/>
      <c r="SG30" s="59"/>
      <c r="SH30" s="30"/>
      <c r="SI30" s="59"/>
      <c r="SJ30" s="16"/>
      <c r="SK30" s="16"/>
      <c r="SL30" s="59"/>
      <c r="SM30" s="121"/>
      <c r="SN30" s="20"/>
      <c r="SO30" s="30"/>
      <c r="SP30" s="59"/>
      <c r="SQ30" s="30"/>
      <c r="SR30" s="59"/>
      <c r="SS30" s="16"/>
      <c r="ST30" s="16"/>
      <c r="SU30" s="59"/>
      <c r="SV30" s="121"/>
      <c r="SW30" s="20"/>
      <c r="SX30" s="30"/>
      <c r="SY30" s="59"/>
      <c r="SZ30" s="30"/>
      <c r="TA30" s="59"/>
      <c r="TB30" s="16"/>
      <c r="TC30" s="16"/>
      <c r="TD30" s="59"/>
      <c r="TE30" s="121"/>
      <c r="TF30" s="20"/>
      <c r="TG30" s="30"/>
      <c r="TH30" s="59"/>
      <c r="TI30" s="30"/>
      <c r="TJ30" s="59"/>
      <c r="TK30" s="16"/>
      <c r="TM30" s="7"/>
      <c r="TN30" s="2"/>
      <c r="TO30" s="20">
        <v>23</v>
      </c>
      <c r="TP30" s="30"/>
      <c r="TQ30" s="59"/>
      <c r="TR30" s="30"/>
      <c r="TS30" s="7"/>
      <c r="TV30" s="7"/>
      <c r="TW30" s="2"/>
      <c r="TX30" s="20">
        <v>23</v>
      </c>
      <c r="TY30" s="30"/>
      <c r="TZ30" s="17"/>
      <c r="UA30" s="30"/>
      <c r="UB30" s="78"/>
      <c r="UC30" s="24"/>
      <c r="UE30" s="7"/>
      <c r="UF30" s="2"/>
      <c r="UG30" s="20">
        <v>23</v>
      </c>
      <c r="UH30" s="30"/>
      <c r="UI30" s="17"/>
      <c r="UJ30" s="30"/>
      <c r="UK30" s="78"/>
      <c r="UL30" s="24"/>
      <c r="UN30" s="7"/>
      <c r="UO30" s="2"/>
      <c r="UP30" s="20">
        <v>23</v>
      </c>
      <c r="UQ30" s="30"/>
      <c r="UR30" s="17"/>
      <c r="US30" s="30"/>
      <c r="UT30" s="78"/>
      <c r="UU30" s="24"/>
      <c r="UW30" s="7"/>
      <c r="UX30" s="2"/>
      <c r="UY30" s="20">
        <v>23</v>
      </c>
      <c r="UZ30" s="30"/>
      <c r="VA30" s="17"/>
      <c r="VB30" s="30"/>
      <c r="VC30" s="78"/>
      <c r="VD30" s="24"/>
      <c r="VF30" s="7"/>
      <c r="VG30" s="2"/>
      <c r="VH30" s="20">
        <v>23</v>
      </c>
      <c r="VI30" s="30"/>
      <c r="VJ30" s="17"/>
      <c r="VK30" s="30"/>
      <c r="VL30" s="78"/>
      <c r="VM30" s="24"/>
      <c r="VO30" s="7"/>
      <c r="VP30" s="2"/>
      <c r="VQ30" s="20">
        <v>23</v>
      </c>
      <c r="VR30" s="30"/>
      <c r="VS30" s="17"/>
      <c r="VT30" s="30"/>
      <c r="VU30" s="78"/>
      <c r="VV30" s="24"/>
      <c r="VX30" s="7"/>
      <c r="VY30" s="2"/>
      <c r="VZ30" s="20">
        <v>23</v>
      </c>
      <c r="WA30" s="30"/>
      <c r="WB30" s="17"/>
      <c r="WC30" s="30"/>
      <c r="WD30" s="78"/>
      <c r="WE30" s="24"/>
      <c r="WG30" s="7"/>
      <c r="WH30" s="2"/>
      <c r="WI30" s="20">
        <v>23</v>
      </c>
      <c r="WJ30" s="30"/>
      <c r="WK30" s="17"/>
      <c r="WL30" s="30"/>
      <c r="WM30" s="78"/>
      <c r="WN30" s="24"/>
      <c r="WP30" s="7"/>
      <c r="WQ30" s="2"/>
      <c r="WR30" s="20">
        <v>23</v>
      </c>
      <c r="WS30" s="30"/>
      <c r="WT30" s="17"/>
      <c r="WU30" s="30"/>
      <c r="WV30" s="78"/>
      <c r="WW30" s="24"/>
      <c r="WY30" s="7"/>
      <c r="WZ30" s="2"/>
      <c r="XA30" s="20">
        <v>23</v>
      </c>
      <c r="XB30" s="30"/>
      <c r="XC30" s="17"/>
      <c r="XD30" s="30"/>
      <c r="XE30" s="78"/>
      <c r="XF30" s="24"/>
      <c r="XH30" s="7"/>
      <c r="XI30" s="2"/>
      <c r="XJ30" s="20">
        <v>23</v>
      </c>
      <c r="XK30" s="30"/>
      <c r="XL30" s="17"/>
      <c r="XM30" s="30"/>
      <c r="XN30" s="78"/>
      <c r="XO30" s="24"/>
      <c r="XQ30" s="7"/>
      <c r="XR30" s="2"/>
      <c r="XS30" s="20">
        <v>23</v>
      </c>
      <c r="XT30" s="30"/>
      <c r="XU30" s="17"/>
      <c r="XV30" s="30"/>
      <c r="XW30" s="78"/>
      <c r="XX30" s="24"/>
      <c r="XZ30" s="7"/>
      <c r="YA30" s="2"/>
      <c r="YB30" s="20">
        <v>23</v>
      </c>
      <c r="YC30" s="30"/>
      <c r="YD30" s="17"/>
      <c r="YE30" s="30"/>
      <c r="YF30" s="78"/>
      <c r="YG30" s="24"/>
      <c r="YI30" s="7"/>
      <c r="YJ30" s="2"/>
      <c r="YK30" s="20">
        <v>23</v>
      </c>
      <c r="YL30" s="30"/>
      <c r="YM30" s="17"/>
      <c r="YN30" s="30"/>
      <c r="YO30" s="78"/>
      <c r="YP30" s="24"/>
      <c r="YR30" s="7"/>
      <c r="YS30" s="2"/>
      <c r="YT30" s="20">
        <v>23</v>
      </c>
      <c r="YU30" s="30"/>
      <c r="YV30" s="17"/>
      <c r="YW30" s="30"/>
      <c r="YX30" s="78"/>
      <c r="YY30" s="24"/>
      <c r="ZA30" s="7"/>
      <c r="ZB30" s="2"/>
      <c r="ZC30" s="20">
        <v>23</v>
      </c>
      <c r="ZD30" s="30"/>
      <c r="ZE30" s="17"/>
      <c r="ZF30" s="30"/>
      <c r="ZG30" s="78"/>
      <c r="ZH30" s="24"/>
      <c r="ZJ30" s="7"/>
      <c r="ZK30" s="2"/>
      <c r="ZL30" s="20">
        <v>23</v>
      </c>
      <c r="ZM30" s="30"/>
      <c r="ZN30" s="17"/>
      <c r="ZO30" s="30"/>
      <c r="ZP30" s="78"/>
      <c r="ZQ30" s="24"/>
      <c r="ZS30" s="7"/>
      <c r="ZT30" s="2"/>
      <c r="ZU30" s="20">
        <v>23</v>
      </c>
      <c r="ZV30" s="30"/>
      <c r="ZW30" s="17"/>
      <c r="ZX30" s="30"/>
      <c r="ZY30" s="78"/>
      <c r="ZZ30" s="24"/>
      <c r="AAB30" s="7"/>
      <c r="AAC30" s="2"/>
      <c r="AAD30" s="20">
        <v>23</v>
      </c>
      <c r="AAE30" s="30"/>
      <c r="AAF30" s="17"/>
      <c r="AAG30" s="30"/>
      <c r="AAH30" s="78"/>
      <c r="AAI30" s="24"/>
      <c r="AAK30" s="7"/>
      <c r="AAL30" s="2"/>
      <c r="AAM30" s="20">
        <v>23</v>
      </c>
      <c r="AAN30" s="30"/>
      <c r="AAO30" s="17"/>
      <c r="AAP30" s="30"/>
      <c r="AAQ30" s="78"/>
      <c r="AAR30" s="24"/>
      <c r="AAT30" s="7"/>
      <c r="AAU30" s="2"/>
      <c r="AAV30" s="20">
        <v>23</v>
      </c>
      <c r="AAW30" s="30"/>
      <c r="AAX30" s="17"/>
      <c r="AAY30" s="30"/>
      <c r="AAZ30" s="78"/>
      <c r="ABA30" s="24"/>
      <c r="ABC30" s="7"/>
      <c r="ABD30" s="2"/>
      <c r="ABE30" s="20">
        <v>23</v>
      </c>
      <c r="ABF30" s="30"/>
      <c r="ABG30" s="17"/>
      <c r="ABH30" s="30"/>
      <c r="ABI30" s="78"/>
      <c r="ABJ30" s="24"/>
      <c r="ABL30" s="7"/>
      <c r="ABM30" s="2"/>
      <c r="ABN30" s="20">
        <v>23</v>
      </c>
      <c r="ABO30" s="30"/>
      <c r="ABP30" s="17"/>
      <c r="ABQ30" s="30"/>
      <c r="ABR30" s="78"/>
      <c r="ABS30" s="24"/>
      <c r="ABU30" s="7"/>
      <c r="ABV30" s="2"/>
      <c r="ABW30" s="20">
        <v>23</v>
      </c>
      <c r="ABX30" s="30"/>
      <c r="ABY30" s="17"/>
      <c r="ABZ30" s="30"/>
      <c r="ACA30" s="78"/>
      <c r="ACB30" s="24"/>
      <c r="ACD30" s="7"/>
      <c r="ACE30" s="2"/>
      <c r="ACF30" s="20">
        <v>23</v>
      </c>
      <c r="ACG30" s="30"/>
      <c r="ACH30" s="17"/>
      <c r="ACI30" s="30"/>
      <c r="ACJ30" s="78"/>
      <c r="ACK30" s="24"/>
      <c r="ACM30" s="7"/>
      <c r="ACN30" s="2"/>
      <c r="ACO30" s="20">
        <v>23</v>
      </c>
      <c r="ACP30" s="30"/>
      <c r="ACQ30" s="17"/>
      <c r="ACR30" s="30"/>
      <c r="ACS30" s="78"/>
      <c r="ACT30" s="24"/>
      <c r="ACV30" s="7"/>
      <c r="ACW30" s="2"/>
      <c r="ACX30" s="20">
        <v>23</v>
      </c>
      <c r="ACY30" s="30"/>
      <c r="ACZ30" s="17"/>
      <c r="ADA30" s="30"/>
      <c r="ADB30" s="78"/>
      <c r="ADC30" s="24"/>
    </row>
    <row r="31" spans="1:783" ht="16.5" thickBot="1" x14ac:dyDescent="0.3">
      <c r="A31" s="25">
        <v>28</v>
      </c>
      <c r="B31" s="16" t="str">
        <f t="shared" ref="B31:H31" si="27">IT5</f>
        <v>SEABOARD FOODS</v>
      </c>
      <c r="C31" s="16" t="str">
        <f t="shared" si="27"/>
        <v>Seaboard</v>
      </c>
      <c r="D31" s="72" t="str">
        <f t="shared" si="27"/>
        <v>PED. 32303653</v>
      </c>
      <c r="E31" s="155">
        <f t="shared" si="27"/>
        <v>43450</v>
      </c>
      <c r="F31" s="74">
        <f t="shared" si="27"/>
        <v>18675.97</v>
      </c>
      <c r="G31" s="15">
        <f t="shared" si="27"/>
        <v>21</v>
      </c>
      <c r="H31" s="64">
        <f t="shared" si="27"/>
        <v>18720.599999999999</v>
      </c>
      <c r="I31" s="18">
        <f t="shared" ref="I31:I92" si="28">F31-H31</f>
        <v>-44.629999999997381</v>
      </c>
      <c r="J31" s="16"/>
      <c r="K31" s="59"/>
      <c r="L31" s="140"/>
      <c r="M31" s="48"/>
      <c r="N31" s="241"/>
      <c r="O31" s="118"/>
      <c r="P31" s="131"/>
      <c r="Q31" s="132"/>
      <c r="R31" s="113"/>
      <c r="S31" s="16"/>
      <c r="T31" s="59"/>
      <c r="U31" s="123"/>
      <c r="V31" s="48"/>
      <c r="W31" s="191"/>
      <c r="X31" s="118"/>
      <c r="Y31" s="135"/>
      <c r="Z31" s="70"/>
      <c r="AA31" s="24"/>
      <c r="AB31" s="16"/>
      <c r="AC31" s="59"/>
      <c r="AD31" s="123"/>
      <c r="AE31" s="48"/>
      <c r="AF31" s="191"/>
      <c r="AG31" s="118"/>
      <c r="AH31" s="135"/>
      <c r="AI31" s="70"/>
      <c r="AJ31" s="24"/>
      <c r="AK31" s="16"/>
      <c r="AL31" s="59"/>
      <c r="AM31" s="123"/>
      <c r="AN31" s="162"/>
      <c r="AO31" s="219"/>
      <c r="AP31" s="221"/>
      <c r="AQ31" s="219"/>
      <c r="AR31" s="220"/>
      <c r="AS31" s="101"/>
      <c r="AT31" s="125"/>
      <c r="AU31" s="59"/>
      <c r="AV31" s="123"/>
      <c r="AW31" s="162"/>
      <c r="AX31" s="135"/>
      <c r="AY31" s="289"/>
      <c r="AZ31" s="135"/>
      <c r="BA31" s="131"/>
      <c r="BB31" s="16"/>
      <c r="BC31" s="16"/>
      <c r="BD31" s="59"/>
      <c r="BE31" s="123"/>
      <c r="BF31" s="48"/>
      <c r="BG31" s="135"/>
      <c r="BH31" s="118">
        <v>1</v>
      </c>
      <c r="BI31" s="135"/>
      <c r="BJ31" s="131"/>
      <c r="BK31" s="139"/>
      <c r="BL31" s="16"/>
      <c r="BM31" s="59"/>
      <c r="BN31" s="123"/>
      <c r="BO31" s="48"/>
      <c r="BP31" s="135"/>
      <c r="BQ31" s="118"/>
      <c r="BR31" s="135"/>
      <c r="BS31" s="131"/>
      <c r="BT31" s="24"/>
      <c r="BU31" s="16"/>
      <c r="BV31" s="59"/>
      <c r="BW31" s="123"/>
      <c r="BX31" s="48"/>
      <c r="BY31" s="135"/>
      <c r="BZ31" s="118"/>
      <c r="CA31" s="135"/>
      <c r="CB31" s="131"/>
      <c r="CC31" s="24"/>
      <c r="CD31" s="16"/>
      <c r="CE31" s="59"/>
      <c r="CF31" s="123"/>
      <c r="CG31" s="48"/>
      <c r="CH31" s="135"/>
      <c r="CI31" s="118"/>
      <c r="CJ31" s="135"/>
      <c r="CK31" s="131"/>
      <c r="CL31" s="24"/>
      <c r="CM31" s="16"/>
      <c r="CN31" s="59"/>
      <c r="CO31" s="123"/>
      <c r="CP31" s="48"/>
      <c r="CQ31" s="135"/>
      <c r="CR31" s="118"/>
      <c r="CS31" s="135"/>
      <c r="CT31" s="131"/>
      <c r="CU31" s="24"/>
      <c r="CV31" s="16"/>
      <c r="CW31" s="59"/>
      <c r="CX31" s="123"/>
      <c r="CY31" s="48"/>
      <c r="CZ31" s="135"/>
      <c r="DA31" s="118"/>
      <c r="DB31" s="135"/>
      <c r="DC31" s="131"/>
      <c r="DD31" s="24"/>
      <c r="DE31" s="16"/>
      <c r="DF31" s="59"/>
      <c r="DG31" s="123"/>
      <c r="DH31" s="48"/>
      <c r="DI31" s="135"/>
      <c r="DJ31" s="118"/>
      <c r="DK31" s="135"/>
      <c r="DL31" s="131"/>
      <c r="DM31" s="139"/>
      <c r="DN31" s="16"/>
      <c r="DO31" s="59"/>
      <c r="DP31" s="123"/>
      <c r="DQ31" s="48"/>
      <c r="DR31" s="135"/>
      <c r="DS31" s="112"/>
      <c r="DT31" s="136"/>
      <c r="DU31" s="231"/>
      <c r="DV31" s="139"/>
      <c r="DW31" s="16"/>
      <c r="DX31" s="59"/>
      <c r="DY31" s="123"/>
      <c r="DZ31" s="48"/>
      <c r="EA31" s="135"/>
      <c r="EB31" s="112"/>
      <c r="EC31" s="136"/>
      <c r="ED31" s="231"/>
      <c r="EE31" s="139"/>
      <c r="EF31" s="16"/>
      <c r="EG31" s="59"/>
      <c r="EH31" s="123"/>
      <c r="EI31" s="48"/>
      <c r="EJ31" s="137"/>
      <c r="EK31" s="112"/>
      <c r="EL31" s="136"/>
      <c r="EM31" s="75"/>
      <c r="EN31" s="139"/>
      <c r="EO31" s="16"/>
      <c r="EP31" s="59"/>
      <c r="EQ31" s="138"/>
      <c r="ER31" s="48"/>
      <c r="ES31" s="135"/>
      <c r="ET31" s="118"/>
      <c r="EU31" s="135"/>
      <c r="EV31" s="231"/>
      <c r="EW31" s="139"/>
      <c r="EX31" s="16"/>
      <c r="EY31" s="59"/>
      <c r="EZ31" s="123"/>
      <c r="FA31" s="48"/>
      <c r="FB31" s="137"/>
      <c r="FC31" s="112"/>
      <c r="FD31" s="137"/>
      <c r="FE31" s="75"/>
      <c r="FF31" s="139"/>
      <c r="FG31" s="16"/>
      <c r="FH31" s="59"/>
      <c r="FI31" s="123"/>
      <c r="FJ31" s="48"/>
      <c r="FK31" s="135"/>
      <c r="FL31" s="112"/>
      <c r="FM31" s="136"/>
      <c r="FN31" s="231"/>
      <c r="FO31" s="139"/>
      <c r="FP31" s="16"/>
      <c r="FQ31" s="59"/>
      <c r="FR31" s="123"/>
      <c r="FS31" s="162"/>
      <c r="FT31" s="135"/>
      <c r="FU31" s="289"/>
      <c r="FV31" s="135"/>
      <c r="FW31" s="131"/>
      <c r="FX31" s="16"/>
      <c r="FY31" s="16"/>
      <c r="FZ31" s="129"/>
      <c r="GA31" s="122"/>
      <c r="GB31" s="77"/>
      <c r="GC31" s="134"/>
      <c r="GD31" s="296"/>
      <c r="GE31" s="297"/>
      <c r="GF31" s="298"/>
      <c r="GG31" s="299"/>
      <c r="GH31" s="16"/>
      <c r="GI31" s="129"/>
      <c r="GJ31" s="122"/>
      <c r="GK31" s="77"/>
      <c r="GL31" s="134"/>
      <c r="GM31" s="296"/>
      <c r="GN31" s="297"/>
      <c r="GO31" s="298"/>
      <c r="GP31" s="299"/>
      <c r="GQ31" s="16"/>
      <c r="GR31" s="59"/>
      <c r="GS31" s="123"/>
      <c r="GT31" s="48"/>
      <c r="GU31" s="137"/>
      <c r="GV31" s="112"/>
      <c r="GW31" s="136"/>
      <c r="GX31" s="75"/>
      <c r="GY31" s="139"/>
      <c r="GZ31" s="16"/>
      <c r="HA31" s="59"/>
      <c r="HB31" s="123"/>
      <c r="HC31" s="48"/>
      <c r="HD31" s="135"/>
      <c r="HE31" s="112"/>
      <c r="HF31" s="136"/>
      <c r="HG31" s="231"/>
      <c r="HH31" s="139"/>
      <c r="HI31" s="16"/>
      <c r="HJ31" s="59"/>
      <c r="HK31" s="123"/>
      <c r="HL31" s="162"/>
      <c r="HM31" s="135"/>
      <c r="HN31" s="289"/>
      <c r="HO31" s="135"/>
      <c r="HP31" s="131"/>
      <c r="HQ31" s="16"/>
      <c r="HR31" s="16"/>
      <c r="HS31" s="59"/>
      <c r="HT31" s="123"/>
      <c r="HU31" s="48"/>
      <c r="HV31" s="135"/>
      <c r="HW31" s="112"/>
      <c r="HX31" s="136"/>
      <c r="HY31" s="231"/>
      <c r="HZ31" s="139"/>
      <c r="IA31" s="16"/>
      <c r="IB31" s="59"/>
      <c r="IC31" s="123"/>
      <c r="ID31" s="48"/>
      <c r="IE31" s="137"/>
      <c r="IF31" s="112"/>
      <c r="IG31" s="136"/>
      <c r="IH31" s="75"/>
      <c r="II31" s="139"/>
      <c r="IJ31" s="16"/>
      <c r="IK31" s="59"/>
      <c r="IL31" s="123"/>
      <c r="IM31" s="48"/>
      <c r="IN31" s="135"/>
      <c r="IO31" s="112"/>
      <c r="IP31" s="136"/>
      <c r="IQ31" s="231"/>
      <c r="IR31" s="139"/>
      <c r="IS31" s="16"/>
      <c r="IT31" s="59"/>
      <c r="IU31" s="123"/>
      <c r="IV31" s="162"/>
      <c r="IW31" s="135"/>
      <c r="IX31" s="118"/>
      <c r="IY31" s="135"/>
      <c r="IZ31" s="132"/>
      <c r="JA31" s="139"/>
      <c r="JB31" s="125"/>
      <c r="JC31" s="129"/>
      <c r="JD31" s="122"/>
      <c r="JE31" s="77"/>
      <c r="JF31" s="134"/>
      <c r="JG31" s="296"/>
      <c r="JH31" s="297"/>
      <c r="JI31" s="298"/>
      <c r="JJ31" s="299"/>
      <c r="JK31" s="16"/>
      <c r="JL31" s="59"/>
      <c r="JM31" s="123"/>
      <c r="JN31" s="162"/>
      <c r="JO31" s="135"/>
      <c r="JP31" s="118"/>
      <c r="JQ31" s="135"/>
      <c r="JR31" s="132"/>
      <c r="JS31" s="139"/>
      <c r="JT31" s="16"/>
      <c r="JU31" s="59"/>
      <c r="JV31" s="123"/>
      <c r="JW31" s="48"/>
      <c r="JX31" s="137"/>
      <c r="JY31" s="112"/>
      <c r="JZ31" s="137"/>
      <c r="KA31" s="132"/>
      <c r="KB31" s="139"/>
      <c r="KC31" s="16"/>
      <c r="KD31" s="59"/>
      <c r="KE31" s="123"/>
      <c r="KF31" s="48"/>
      <c r="KG31" s="136"/>
      <c r="KH31" s="118"/>
      <c r="KI31" s="135"/>
      <c r="KJ31" s="132"/>
      <c r="KK31" s="154"/>
      <c r="KL31" s="16"/>
      <c r="KM31" s="59"/>
      <c r="KN31" s="140"/>
      <c r="KO31" s="48"/>
      <c r="KP31" s="241"/>
      <c r="KQ31" s="118"/>
      <c r="KR31" s="131"/>
      <c r="KS31" s="132"/>
      <c r="KT31" s="113"/>
      <c r="KU31" s="16"/>
      <c r="KV31" s="59"/>
      <c r="KW31" s="123"/>
      <c r="KX31" s="48"/>
      <c r="KY31" s="191"/>
      <c r="KZ31" s="118"/>
      <c r="LA31" s="135"/>
      <c r="LB31" s="70"/>
      <c r="LC31" s="24"/>
      <c r="LD31" s="16"/>
      <c r="LE31" s="59"/>
      <c r="LF31" s="123"/>
      <c r="LG31" s="48"/>
      <c r="LH31" s="135"/>
      <c r="LI31" s="218"/>
      <c r="LJ31" s="252"/>
      <c r="LK31" s="253"/>
      <c r="LL31" s="295"/>
      <c r="LM31" s="16"/>
      <c r="LN31" s="59"/>
      <c r="LO31" s="123"/>
      <c r="LP31" s="48"/>
      <c r="LQ31" s="191"/>
      <c r="LR31" s="118"/>
      <c r="LS31" s="135"/>
      <c r="LT31" s="70"/>
      <c r="LU31" s="24"/>
      <c r="LV31" s="16"/>
      <c r="LW31" s="59"/>
      <c r="LX31" s="162"/>
      <c r="LY31" s="48"/>
      <c r="LZ31" s="131"/>
      <c r="MA31" s="118"/>
      <c r="MB31" s="131"/>
      <c r="MC31" s="132"/>
      <c r="MD31" s="139"/>
      <c r="ME31" s="16"/>
      <c r="MF31" s="59"/>
      <c r="MG31" s="123"/>
      <c r="MH31" s="48"/>
      <c r="MI31" s="135"/>
      <c r="MJ31" s="218"/>
      <c r="MK31" s="252"/>
      <c r="ML31" s="253"/>
      <c r="MM31" s="295"/>
      <c r="MN31" s="16"/>
      <c r="MO31" s="59"/>
      <c r="MP31" s="162"/>
      <c r="MQ31" s="48"/>
      <c r="MR31" s="131"/>
      <c r="MS31" s="118"/>
      <c r="MT31" s="131"/>
      <c r="MU31" s="132"/>
      <c r="MV31" s="139"/>
      <c r="MW31" s="16"/>
      <c r="MX31" s="59"/>
      <c r="MY31" s="123"/>
      <c r="MZ31" s="48"/>
      <c r="NA31" s="135"/>
      <c r="NB31" s="118"/>
      <c r="NC31" s="135"/>
      <c r="ND31" s="132"/>
      <c r="NE31" s="24"/>
      <c r="NF31" s="16"/>
      <c r="NG31" s="59"/>
      <c r="NH31" s="123"/>
      <c r="NI31" s="162"/>
      <c r="NJ31" s="219"/>
      <c r="NK31" s="221"/>
      <c r="NL31" s="219"/>
      <c r="NM31" s="220"/>
      <c r="NN31" s="101"/>
      <c r="NO31" s="125"/>
      <c r="NP31" s="59"/>
      <c r="NQ31" s="162"/>
      <c r="NR31" s="48"/>
      <c r="NS31" s="131"/>
      <c r="NT31" s="118"/>
      <c r="NU31" s="131"/>
      <c r="NV31" s="132"/>
      <c r="NW31" s="139"/>
      <c r="NX31" s="16"/>
      <c r="NY31" s="59"/>
      <c r="NZ31" s="123"/>
      <c r="OA31" s="162"/>
      <c r="OB31" s="135"/>
      <c r="OC31" s="289"/>
      <c r="OD31" s="135"/>
      <c r="OE31" s="131"/>
      <c r="OF31" s="16"/>
      <c r="OG31" s="16"/>
      <c r="OH31" s="59"/>
      <c r="OI31" s="123"/>
      <c r="OJ31" s="162"/>
      <c r="OK31" s="135"/>
      <c r="OL31" s="289"/>
      <c r="OM31" s="135"/>
      <c r="ON31" s="131"/>
      <c r="OO31" s="16"/>
      <c r="OP31" s="16"/>
      <c r="OQ31" s="59"/>
      <c r="OR31" s="123"/>
      <c r="OS31" s="162"/>
      <c r="OT31" s="219"/>
      <c r="OU31" s="221"/>
      <c r="OV31" s="219"/>
      <c r="OW31" s="220"/>
      <c r="OX31" s="101"/>
      <c r="OY31" s="125"/>
      <c r="OZ31" s="59"/>
      <c r="PA31" s="123"/>
      <c r="PB31" s="162"/>
      <c r="PC31" s="219"/>
      <c r="PD31" s="221"/>
      <c r="PE31" s="219"/>
      <c r="PF31" s="220"/>
      <c r="PG31" s="101"/>
      <c r="PH31" s="125"/>
      <c r="PI31" s="59"/>
      <c r="PJ31" s="123"/>
      <c r="PK31" s="162"/>
      <c r="PL31" s="219"/>
      <c r="PM31" s="221"/>
      <c r="PN31" s="219"/>
      <c r="PO31" s="220"/>
      <c r="PP31" s="101"/>
      <c r="PQ31" s="125"/>
      <c r="PR31" s="59"/>
      <c r="PS31" s="123"/>
      <c r="PT31" s="162"/>
      <c r="PU31" s="135"/>
      <c r="PV31" s="289"/>
      <c r="PW31" s="135"/>
      <c r="PX31" s="131"/>
      <c r="PY31" s="16"/>
      <c r="PZ31" s="16"/>
      <c r="QA31" s="59"/>
      <c r="QB31" s="123"/>
      <c r="QC31" s="162"/>
      <c r="QD31" s="135"/>
      <c r="QE31" s="289"/>
      <c r="QF31" s="135"/>
      <c r="QG31" s="131"/>
      <c r="QH31" s="16"/>
      <c r="QJ31" s="7"/>
      <c r="QK31" s="143"/>
      <c r="QL31" s="217"/>
      <c r="QM31" s="142"/>
      <c r="QN31" s="222"/>
      <c r="QO31" s="142"/>
      <c r="QP31" s="32"/>
      <c r="QS31" s="7"/>
      <c r="QT31" s="143"/>
      <c r="QU31" s="217"/>
      <c r="QV31" s="142"/>
      <c r="QW31" s="222"/>
      <c r="QX31" s="142"/>
      <c r="QY31" s="32"/>
      <c r="RB31" s="7"/>
      <c r="RC31" s="143"/>
      <c r="RD31" s="217"/>
      <c r="RE31" s="142"/>
      <c r="RF31" s="222"/>
      <c r="RG31" s="142"/>
      <c r="RH31" s="32"/>
      <c r="RK31" s="7"/>
      <c r="RL31" s="143"/>
      <c r="RM31" s="217"/>
      <c r="RN31" s="142"/>
      <c r="RO31" s="222"/>
      <c r="RP31" s="142"/>
      <c r="RQ31" s="32"/>
      <c r="RT31" s="7"/>
      <c r="RU31" s="143"/>
      <c r="RV31" s="217"/>
      <c r="RW31" s="142"/>
      <c r="RX31" s="222"/>
      <c r="RY31" s="142"/>
      <c r="RZ31" s="32"/>
      <c r="SC31" s="7"/>
      <c r="SD31" s="143"/>
      <c r="SE31" s="217"/>
      <c r="SF31" s="142"/>
      <c r="SG31" s="222"/>
      <c r="SH31" s="142"/>
      <c r="SI31" s="32"/>
      <c r="SL31" s="7"/>
      <c r="SM31" s="143"/>
      <c r="SN31" s="217"/>
      <c r="SO31" s="142"/>
      <c r="SP31" s="222"/>
      <c r="SQ31" s="142"/>
      <c r="SR31" s="32"/>
      <c r="SU31" s="7"/>
      <c r="SV31" s="143"/>
      <c r="SW31" s="217"/>
      <c r="SX31" s="142"/>
      <c r="SY31" s="222"/>
      <c r="SZ31" s="142"/>
      <c r="TA31" s="32"/>
      <c r="TD31" s="7"/>
      <c r="TE31" s="143"/>
      <c r="TF31" s="217"/>
      <c r="TG31" s="142"/>
      <c r="TH31" s="222"/>
      <c r="TI31" s="142"/>
      <c r="TJ31" s="32"/>
      <c r="TM31" s="7"/>
      <c r="TN31" s="143"/>
      <c r="TO31" s="264">
        <v>24</v>
      </c>
      <c r="TP31" s="142"/>
      <c r="TQ31" s="222"/>
      <c r="TR31" s="142"/>
      <c r="TS31" s="32"/>
      <c r="TV31" s="7"/>
      <c r="TW31" s="143"/>
      <c r="TX31" s="264">
        <v>24</v>
      </c>
      <c r="TY31" s="142"/>
      <c r="TZ31" s="17"/>
      <c r="UA31" s="142"/>
      <c r="UB31" s="32"/>
      <c r="UC31" s="24"/>
      <c r="UE31" s="7"/>
      <c r="UF31" s="143"/>
      <c r="UG31" s="264">
        <v>24</v>
      </c>
      <c r="UH31" s="142"/>
      <c r="UI31" s="17"/>
      <c r="UJ31" s="142"/>
      <c r="UK31" s="32"/>
      <c r="UL31" s="24"/>
      <c r="UN31" s="7"/>
      <c r="UO31" s="143"/>
      <c r="UP31" s="264">
        <v>24</v>
      </c>
      <c r="UQ31" s="142"/>
      <c r="UR31" s="17"/>
      <c r="US31" s="142"/>
      <c r="UT31" s="32"/>
      <c r="UU31" s="24"/>
      <c r="UW31" s="7"/>
      <c r="UX31" s="143"/>
      <c r="UY31" s="264">
        <v>24</v>
      </c>
      <c r="UZ31" s="142"/>
      <c r="VA31" s="17"/>
      <c r="VB31" s="142"/>
      <c r="VC31" s="32"/>
      <c r="VD31" s="24"/>
      <c r="VF31" s="7"/>
      <c r="VG31" s="143"/>
      <c r="VH31" s="264">
        <v>24</v>
      </c>
      <c r="VI31" s="142"/>
      <c r="VJ31" s="17"/>
      <c r="VK31" s="142"/>
      <c r="VL31" s="32"/>
      <c r="VM31" s="24"/>
      <c r="VO31" s="7"/>
      <c r="VP31" s="143"/>
      <c r="VQ31" s="264">
        <v>24</v>
      </c>
      <c r="VR31" s="142"/>
      <c r="VS31" s="17"/>
      <c r="VT31" s="142"/>
      <c r="VU31" s="32"/>
      <c r="VV31" s="24"/>
      <c r="VX31" s="7"/>
      <c r="VY31" s="143"/>
      <c r="VZ31" s="264">
        <v>24</v>
      </c>
      <c r="WA31" s="142"/>
      <c r="WB31" s="17"/>
      <c r="WC31" s="142"/>
      <c r="WD31" s="32"/>
      <c r="WE31" s="24"/>
      <c r="WG31" s="7"/>
      <c r="WH31" s="143"/>
      <c r="WI31" s="264">
        <v>24</v>
      </c>
      <c r="WJ31" s="142"/>
      <c r="WK31" s="17"/>
      <c r="WL31" s="142"/>
      <c r="WM31" s="32"/>
      <c r="WN31" s="24"/>
      <c r="WP31" s="7"/>
      <c r="WQ31" s="143"/>
      <c r="WR31" s="264">
        <v>24</v>
      </c>
      <c r="WS31" s="142"/>
      <c r="WT31" s="17"/>
      <c r="WU31" s="142"/>
      <c r="WV31" s="32"/>
      <c r="WW31" s="24"/>
      <c r="WY31" s="7"/>
      <c r="WZ31" s="143"/>
      <c r="XA31" s="264"/>
      <c r="XB31" s="142"/>
      <c r="XC31" s="17"/>
      <c r="XD31" s="142"/>
      <c r="XE31" s="32"/>
      <c r="XF31" s="24"/>
      <c r="XH31" s="7"/>
      <c r="XI31" s="143"/>
      <c r="XJ31" s="264">
        <v>24</v>
      </c>
      <c r="XK31" s="142"/>
      <c r="XL31" s="17"/>
      <c r="XM31" s="142"/>
      <c r="XN31" s="32"/>
      <c r="XO31" s="24"/>
      <c r="XQ31" s="7"/>
      <c r="XR31" s="143"/>
      <c r="XS31" s="264">
        <v>24</v>
      </c>
      <c r="XT31" s="142"/>
      <c r="XU31" s="17"/>
      <c r="XV31" s="142"/>
      <c r="XW31" s="32"/>
      <c r="XX31" s="24"/>
      <c r="XZ31" s="7"/>
      <c r="YA31" s="143"/>
      <c r="YB31" s="264">
        <v>24</v>
      </c>
      <c r="YC31" s="142"/>
      <c r="YD31" s="17"/>
      <c r="YE31" s="142"/>
      <c r="YF31" s="32"/>
      <c r="YG31" s="24"/>
      <c r="YI31" s="7"/>
      <c r="YJ31" s="143"/>
      <c r="YK31" s="264">
        <v>24</v>
      </c>
      <c r="YL31" s="142"/>
      <c r="YM31" s="17"/>
      <c r="YN31" s="142"/>
      <c r="YO31" s="32"/>
      <c r="YP31" s="24"/>
      <c r="YR31" s="7"/>
      <c r="YS31" s="143"/>
      <c r="YT31" s="264">
        <v>24</v>
      </c>
      <c r="YU31" s="142"/>
      <c r="YV31" s="17"/>
      <c r="YW31" s="142"/>
      <c r="YX31" s="32"/>
      <c r="YY31" s="24"/>
      <c r="ZA31" s="7"/>
      <c r="ZB31" s="143"/>
      <c r="ZC31" s="264">
        <v>24</v>
      </c>
      <c r="ZD31" s="142"/>
      <c r="ZE31" s="17"/>
      <c r="ZF31" s="142"/>
      <c r="ZG31" s="32"/>
      <c r="ZH31" s="24"/>
      <c r="ZJ31" s="7"/>
      <c r="ZK31" s="143"/>
      <c r="ZL31" s="264">
        <v>24</v>
      </c>
      <c r="ZM31" s="142"/>
      <c r="ZN31" s="17"/>
      <c r="ZO31" s="142"/>
      <c r="ZP31" s="32"/>
      <c r="ZQ31" s="24"/>
      <c r="ZS31" s="7"/>
      <c r="ZT31" s="143"/>
      <c r="ZU31" s="264">
        <v>24</v>
      </c>
      <c r="ZV31" s="142"/>
      <c r="ZW31" s="17"/>
      <c r="ZX31" s="142"/>
      <c r="ZY31" s="32"/>
      <c r="ZZ31" s="24"/>
      <c r="AAB31" s="7"/>
      <c r="AAC31" s="143"/>
      <c r="AAD31" s="264">
        <v>24</v>
      </c>
      <c r="AAE31" s="142"/>
      <c r="AAF31" s="17"/>
      <c r="AAG31" s="142"/>
      <c r="AAH31" s="32"/>
      <c r="AAI31" s="24"/>
      <c r="AAK31" s="7"/>
      <c r="AAL31" s="143"/>
      <c r="AAM31" s="264">
        <v>24</v>
      </c>
      <c r="AAN31" s="142"/>
      <c r="AAO31" s="17"/>
      <c r="AAP31" s="142"/>
      <c r="AAQ31" s="32"/>
      <c r="AAR31" s="24"/>
      <c r="AAT31" s="7"/>
      <c r="AAU31" s="143"/>
      <c r="AAV31" s="264">
        <v>24</v>
      </c>
      <c r="AAW31" s="142"/>
      <c r="AAX31" s="17"/>
      <c r="AAY31" s="142"/>
      <c r="AAZ31" s="32"/>
      <c r="ABA31" s="24"/>
      <c r="ABC31" s="7"/>
      <c r="ABD31" s="143"/>
      <c r="ABE31" s="264">
        <v>24</v>
      </c>
      <c r="ABF31" s="142"/>
      <c r="ABG31" s="17"/>
      <c r="ABH31" s="142"/>
      <c r="ABI31" s="32"/>
      <c r="ABJ31" s="24"/>
      <c r="ABL31" s="7"/>
      <c r="ABM31" s="143"/>
      <c r="ABN31" s="264">
        <v>24</v>
      </c>
      <c r="ABO31" s="142"/>
      <c r="ABP31" s="17"/>
      <c r="ABQ31" s="142"/>
      <c r="ABR31" s="32"/>
      <c r="ABS31" s="24"/>
      <c r="ABU31" s="7"/>
      <c r="ABV31" s="143"/>
      <c r="ABW31" s="264">
        <v>24</v>
      </c>
      <c r="ABX31" s="142"/>
      <c r="ABY31" s="17"/>
      <c r="ABZ31" s="142"/>
      <c r="ACA31" s="32"/>
      <c r="ACB31" s="24"/>
      <c r="ACD31" s="7"/>
      <c r="ACE31" s="143"/>
      <c r="ACF31" s="264">
        <v>24</v>
      </c>
      <c r="ACG31" s="142"/>
      <c r="ACH31" s="17"/>
      <c r="ACI31" s="142"/>
      <c r="ACJ31" s="32"/>
      <c r="ACK31" s="24"/>
      <c r="ACM31" s="7"/>
      <c r="ACN31" s="143"/>
      <c r="ACO31" s="264">
        <v>24</v>
      </c>
      <c r="ACP31" s="142"/>
      <c r="ACQ31" s="17"/>
      <c r="ACR31" s="142"/>
      <c r="ACS31" s="32"/>
      <c r="ACT31" s="24"/>
      <c r="ACV31" s="7"/>
      <c r="ACW31" s="143"/>
      <c r="ACX31" s="264">
        <v>24</v>
      </c>
      <c r="ACY31" s="142"/>
      <c r="ACZ31" s="17"/>
      <c r="ADA31" s="142"/>
      <c r="ADB31" s="32"/>
      <c r="ADC31" s="24"/>
    </row>
    <row r="32" spans="1:783" s="126" customFormat="1" ht="18.75" customHeight="1" thickTop="1" thickBot="1" x14ac:dyDescent="0.3">
      <c r="A32" s="25">
        <v>29</v>
      </c>
      <c r="B32" s="309" t="str">
        <f t="shared" ref="B32:H32" si="29">JC5</f>
        <v>SEABOARD FOODS</v>
      </c>
      <c r="C32" s="309" t="str">
        <f t="shared" si="29"/>
        <v>Seaboard</v>
      </c>
      <c r="D32" s="185" t="str">
        <f t="shared" si="29"/>
        <v>PED. 32303269</v>
      </c>
      <c r="E32" s="263">
        <f t="shared" si="29"/>
        <v>43450</v>
      </c>
      <c r="F32" s="161">
        <f t="shared" si="29"/>
        <v>18682.89</v>
      </c>
      <c r="G32" s="119">
        <f t="shared" si="29"/>
        <v>21</v>
      </c>
      <c r="H32" s="64">
        <f t="shared" si="29"/>
        <v>18771.099999999999</v>
      </c>
      <c r="I32" s="192">
        <f t="shared" si="28"/>
        <v>-88.209999999999127</v>
      </c>
      <c r="N32" s="259">
        <f>SUM(N8:N31)</f>
        <v>19201.400000000001</v>
      </c>
      <c r="P32" s="259">
        <f>SUM(P8:P31)</f>
        <v>19201.400000000001</v>
      </c>
      <c r="W32" s="259">
        <f>SUM(W8:W31)</f>
        <v>18890.2</v>
      </c>
      <c r="Y32" s="259">
        <f>SUM(Y8:Y31)</f>
        <v>18890.2</v>
      </c>
      <c r="AF32" s="259">
        <f>SUM(AF8:AF31)</f>
        <v>18967.339999999997</v>
      </c>
      <c r="AH32" s="259">
        <f>SUM(AH8:AH31)</f>
        <v>18967.339999999997</v>
      </c>
      <c r="AO32" s="259">
        <f>SUM(AO8:AO31)</f>
        <v>17775.05</v>
      </c>
      <c r="AQ32" s="259">
        <f>SUM(AQ8:AQ31)</f>
        <v>17775.05</v>
      </c>
      <c r="AX32" s="259">
        <f>SUM(AX8:AX31)</f>
        <v>18940.099999999995</v>
      </c>
      <c r="AZ32" s="259">
        <f>SUM(AZ8:AZ31)</f>
        <v>18940.099999999995</v>
      </c>
      <c r="BG32" s="259">
        <f>SUM(BG8:BG31)</f>
        <v>19133.899999999994</v>
      </c>
      <c r="BI32" s="259">
        <f>SUM(BI8:BI31)</f>
        <v>19133.899999999994</v>
      </c>
      <c r="BP32" s="259">
        <f>SUM(BP8:BP31)</f>
        <v>18878</v>
      </c>
      <c r="BR32" s="259">
        <f>SUM(BR8:BR31)</f>
        <v>18878</v>
      </c>
      <c r="BY32" s="259">
        <f>SUM(BY8:BY31)</f>
        <v>18931</v>
      </c>
      <c r="CA32" s="259">
        <f>SUM(CA8:CA31)</f>
        <v>18931</v>
      </c>
      <c r="CD32" s="128"/>
      <c r="CH32" s="259">
        <f>SUM(CH8:CH31)</f>
        <v>19116.079999999998</v>
      </c>
      <c r="CJ32" s="259">
        <f>SUM(CJ8:CJ31)</f>
        <v>19116.079999999998</v>
      </c>
      <c r="CM32" s="128"/>
      <c r="CQ32" s="259">
        <f>SUM(CQ8:CQ31)</f>
        <v>18333.649999999998</v>
      </c>
      <c r="CS32" s="259">
        <f>SUM(CS8:CS31)</f>
        <v>18333.649999999998</v>
      </c>
      <c r="CV32" s="128"/>
      <c r="CZ32" s="259">
        <f>SUM(CZ8:CZ31)</f>
        <v>18517.46</v>
      </c>
      <c r="DB32" s="259">
        <f>SUM(DB8:DB31)</f>
        <v>18517.46</v>
      </c>
      <c r="DE32" s="128"/>
      <c r="DI32" s="259">
        <f>SUM(DI8:DI31)</f>
        <v>18992.71</v>
      </c>
      <c r="DK32" s="259">
        <f>SUM(DK8:DK31)</f>
        <v>18992.71</v>
      </c>
      <c r="DN32" s="128"/>
      <c r="DO32" s="128"/>
      <c r="DP32" s="128"/>
      <c r="DQ32" s="128"/>
      <c r="DR32" s="192">
        <f>SUM(DR8:DR31)</f>
        <v>18146.939999999999</v>
      </c>
      <c r="DS32" s="128"/>
      <c r="DT32" s="192">
        <f>SUM(DT8:DT31)</f>
        <v>18146.939999999999</v>
      </c>
      <c r="DU32" s="128"/>
      <c r="DV32" s="128"/>
      <c r="DW32" s="128"/>
      <c r="DX32" s="128"/>
      <c r="DY32" s="128"/>
      <c r="DZ32" s="128"/>
      <c r="EA32" s="192">
        <f>SUM(EA8:EA31)</f>
        <v>19061.099999999999</v>
      </c>
      <c r="EB32" s="128"/>
      <c r="EC32" s="192">
        <f>SUM(EC8:EC31)</f>
        <v>19061.099999999999</v>
      </c>
      <c r="ED32" s="128"/>
      <c r="EE32" s="128"/>
      <c r="EF32" s="128"/>
      <c r="EG32" s="128"/>
      <c r="EH32" s="128"/>
      <c r="EI32" s="128"/>
      <c r="EJ32" s="192">
        <f>SUM(EJ8:EJ31)</f>
        <v>19024.100000000002</v>
      </c>
      <c r="EK32" s="128"/>
      <c r="EL32" s="192">
        <f>SUM(EL8:EL31)</f>
        <v>19024.100000000002</v>
      </c>
      <c r="EM32" s="128"/>
      <c r="EN32" s="128"/>
      <c r="EO32" s="128"/>
      <c r="EP32" s="128"/>
      <c r="EQ32" s="128"/>
      <c r="ER32" s="128"/>
      <c r="ES32" s="246">
        <f>SUM(ES8:ES31)</f>
        <v>19337.440000000002</v>
      </c>
      <c r="ET32" s="128"/>
      <c r="EU32" s="192">
        <f>SUM(EU8:EU31)</f>
        <v>19337.440000000002</v>
      </c>
      <c r="EV32" s="128"/>
      <c r="EW32" s="128"/>
      <c r="EX32" s="128"/>
      <c r="EY32" s="128"/>
      <c r="EZ32" s="128"/>
      <c r="FA32" s="128"/>
      <c r="FB32" s="192">
        <f>SUM(FB8:FB31)</f>
        <v>19231.299999999996</v>
      </c>
      <c r="FC32" s="192"/>
      <c r="FD32" s="192">
        <f>SUM(FD8:FD31)</f>
        <v>19231.299999999996</v>
      </c>
      <c r="FE32" s="128" t="s">
        <v>36</v>
      </c>
      <c r="FF32" s="128"/>
      <c r="FG32" s="128"/>
      <c r="FH32" s="128"/>
      <c r="FI32" s="128"/>
      <c r="FJ32" s="128"/>
      <c r="FK32" s="192">
        <f>SUM(FK8:FK31)</f>
        <v>18761</v>
      </c>
      <c r="FL32" s="128"/>
      <c r="FM32" s="192">
        <f>SUM(FM8:FM31)</f>
        <v>18761</v>
      </c>
      <c r="FN32" s="128"/>
      <c r="FO32" s="128"/>
      <c r="FP32" s="128"/>
      <c r="FQ32" s="128"/>
      <c r="FR32" s="128"/>
      <c r="FS32" s="128"/>
      <c r="FT32" s="192">
        <f>SUM(FT8:FT31)</f>
        <v>19169.169999999998</v>
      </c>
      <c r="FU32" s="128"/>
      <c r="FV32" s="192">
        <f>SUM(FV8:FV31)</f>
        <v>19169.169999999998</v>
      </c>
      <c r="FW32" s="128"/>
      <c r="FX32" s="128"/>
      <c r="FY32" s="128"/>
      <c r="GC32" s="259">
        <f>SUM(GC8:GC31)</f>
        <v>18963.259999999998</v>
      </c>
      <c r="GE32" s="259">
        <f>SUM(GE8:GE31)</f>
        <v>18963.259999999998</v>
      </c>
      <c r="GH32" s="128"/>
      <c r="GL32" s="259">
        <f>SUM(GL8:GL31)</f>
        <v>18806.34</v>
      </c>
      <c r="GN32" s="259">
        <f>SUM(GN8:GN31)</f>
        <v>18806.34</v>
      </c>
      <c r="GQ32" s="128"/>
      <c r="GR32" s="128"/>
      <c r="GS32" s="128"/>
      <c r="GT32" s="128"/>
      <c r="GU32" s="192">
        <f>SUM(GU8:GU31)</f>
        <v>19170.599999999999</v>
      </c>
      <c r="GV32" s="128"/>
      <c r="GW32" s="192">
        <f>SUM(GW8:GW31)</f>
        <v>19170.599999999999</v>
      </c>
      <c r="GX32" s="128"/>
      <c r="GY32" s="128"/>
      <c r="GZ32" s="128"/>
      <c r="HA32" s="128"/>
      <c r="HB32" s="128"/>
      <c r="HC32" s="128"/>
      <c r="HD32" s="192">
        <f>SUM(HD8:HD31)</f>
        <v>16247.599999999999</v>
      </c>
      <c r="HE32" s="128"/>
      <c r="HF32" s="192">
        <f>SUM(HF8:HF31)</f>
        <v>16247.599999999999</v>
      </c>
      <c r="HG32" s="128"/>
      <c r="HH32" s="128"/>
      <c r="HI32" s="128"/>
      <c r="HJ32" s="128"/>
      <c r="HK32" s="128"/>
      <c r="HL32" s="128"/>
      <c r="HM32" s="192">
        <f>SUM(HM8:HM31)</f>
        <v>18953.21</v>
      </c>
      <c r="HN32" s="128"/>
      <c r="HO32" s="192">
        <f>SUM(HO8:HO31)</f>
        <v>18953.21</v>
      </c>
      <c r="HP32" s="128"/>
      <c r="HQ32" s="128"/>
      <c r="HR32" s="128"/>
      <c r="HS32" s="128"/>
      <c r="HT32" s="128"/>
      <c r="HU32" s="128"/>
      <c r="HV32" s="192">
        <f>SUM(HV8:HV31)</f>
        <v>19332.899999999994</v>
      </c>
      <c r="HW32" s="128"/>
      <c r="HX32" s="192">
        <f>SUM(HX8:HX31)</f>
        <v>19332.899999999994</v>
      </c>
      <c r="HY32" s="128"/>
      <c r="HZ32" s="128"/>
      <c r="IA32" s="128"/>
      <c r="IB32" s="128"/>
      <c r="IC32" s="128"/>
      <c r="ID32" s="128"/>
      <c r="IE32" s="192">
        <f>SUM(IE8:IE31)</f>
        <v>16343.800000000001</v>
      </c>
      <c r="IF32" s="128"/>
      <c r="IG32" s="192">
        <f>SUM(IG8:IG31)</f>
        <v>16343.800000000001</v>
      </c>
      <c r="IH32" s="128"/>
      <c r="II32" s="128"/>
      <c r="IJ32" s="128"/>
      <c r="IK32" s="128"/>
      <c r="IL32" s="128"/>
      <c r="IM32" s="128"/>
      <c r="IN32" s="192">
        <f>SUM(IN8:IN31)</f>
        <v>19247.629999999997</v>
      </c>
      <c r="IO32" s="128"/>
      <c r="IP32" s="192">
        <f>SUM(IP8:IP31)</f>
        <v>19247.629999999997</v>
      </c>
      <c r="IQ32" s="128"/>
      <c r="IR32" s="128"/>
      <c r="IW32" s="259">
        <f>SUM(IW8:IW31)</f>
        <v>18720.600000000006</v>
      </c>
      <c r="IY32" s="259">
        <f>SUM(IY8:IY31)</f>
        <v>18720.600000000006</v>
      </c>
      <c r="JF32" s="259">
        <f>SUM(JF8:JF31)</f>
        <v>18771.099999999999</v>
      </c>
      <c r="JH32" s="259">
        <f>SUM(JH8:JH31)</f>
        <v>18771.099999999999</v>
      </c>
      <c r="JO32" s="259">
        <f>SUM(JO8:JO31)</f>
        <v>18931.53</v>
      </c>
      <c r="JQ32" s="259">
        <f>SUM(JQ8:JQ31)</f>
        <v>18931.53</v>
      </c>
      <c r="JX32" s="260">
        <f>SUM(JX8:JX31)</f>
        <v>18638.900000000001</v>
      </c>
      <c r="JZ32" s="259">
        <f>SUM(JZ8:JZ31)</f>
        <v>18638.900000000001</v>
      </c>
      <c r="KF32" s="271"/>
      <c r="KG32" s="260">
        <f>SUM(KG8:KG31)</f>
        <v>18871</v>
      </c>
      <c r="KH32" s="260"/>
      <c r="KI32" s="260">
        <f>SUM(KI8:KI31)</f>
        <v>18871</v>
      </c>
      <c r="KP32" s="259">
        <f>SUM(KP8:KP31)</f>
        <v>19191.300000000003</v>
      </c>
      <c r="KR32" s="259">
        <f>SUM(KR8:KR31)</f>
        <v>19191.300000000003</v>
      </c>
      <c r="KY32" s="259">
        <f>SUM(KY8:KY31)</f>
        <v>18872.100000000002</v>
      </c>
      <c r="LA32" s="259">
        <f>SUM(LA8:LA31)</f>
        <v>18872.100000000002</v>
      </c>
      <c r="LH32" s="260">
        <f>SUM(LH8:LH31)</f>
        <v>18644.43</v>
      </c>
      <c r="LJ32" s="260">
        <f>SUM(LJ8:LJ31)</f>
        <v>18644.43</v>
      </c>
      <c r="LQ32" s="259">
        <f>SUM(LQ8:LQ31)</f>
        <v>18606.359999999997</v>
      </c>
      <c r="LS32" s="259">
        <f>SUM(LS8:LS31)</f>
        <v>18606.359999999997</v>
      </c>
      <c r="LZ32" s="259">
        <f>SUM(LZ8:LZ31)</f>
        <v>19114.799999999996</v>
      </c>
      <c r="MB32" s="259">
        <f>SUM(MB8:MB31)</f>
        <v>19114.799999999996</v>
      </c>
      <c r="MI32" s="260">
        <f>SUM(MI8:MI31)</f>
        <v>18699.900000000001</v>
      </c>
      <c r="MK32" s="260">
        <f>SUM(MK8:MK31)</f>
        <v>18699.900000000001</v>
      </c>
      <c r="MR32" s="259">
        <f>SUM(MR8:MR31)</f>
        <v>17995.45</v>
      </c>
      <c r="MT32" s="259">
        <f>SUM(MT8:MT31)</f>
        <v>17995.45</v>
      </c>
      <c r="NA32" s="259">
        <f>SUM(NA8:NA31)</f>
        <v>19239.5</v>
      </c>
      <c r="NB32" s="259"/>
      <c r="NC32" s="259">
        <f>SUM(NC8:NC31)</f>
        <v>19239.5</v>
      </c>
      <c r="NJ32" s="259">
        <f>SUM(NJ8:NJ31)</f>
        <v>18676.3</v>
      </c>
      <c r="NL32" s="259">
        <f>SUM(NL8:NL31)</f>
        <v>18676.3</v>
      </c>
      <c r="NS32" s="259">
        <f>SUM(NS8:NS31)</f>
        <v>19533.7</v>
      </c>
      <c r="NU32" s="259">
        <f>SUM(NU8:NU31)</f>
        <v>19533.7</v>
      </c>
      <c r="OB32" s="259">
        <f>SUM(OB8:OB31)</f>
        <v>17983.210000000003</v>
      </c>
      <c r="OC32" s="259"/>
      <c r="OD32" s="259">
        <f>SUM(OD8:OD31)</f>
        <v>17983.210000000003</v>
      </c>
      <c r="OK32" s="259">
        <f>SUM(OK8:OK31)</f>
        <v>18844.8</v>
      </c>
      <c r="OM32" s="259">
        <f>SUM(OM8:OM31)</f>
        <v>18844.8</v>
      </c>
      <c r="OT32" s="259">
        <f>SUM(OT8:OT31)</f>
        <v>18904.8</v>
      </c>
      <c r="OV32" s="259">
        <f>SUM(OV8:OV31)</f>
        <v>18904.8</v>
      </c>
      <c r="PC32" s="259">
        <f>SUM(PC8:PC31)</f>
        <v>17607.699999999997</v>
      </c>
      <c r="PE32" s="259">
        <f>SUM(PE8:PE31)</f>
        <v>17607.700999999997</v>
      </c>
      <c r="PL32" s="259">
        <f>SUM(PL8:PL31)</f>
        <v>18884.5</v>
      </c>
      <c r="PN32" s="259">
        <f>SUM(PN8:PN31)</f>
        <v>18884.5</v>
      </c>
      <c r="PU32" s="259">
        <f>SUM(PU8:PU31)</f>
        <v>18509.169999999998</v>
      </c>
      <c r="PW32" s="259">
        <f>SUM(PW8:PW31)</f>
        <v>18508.269999999997</v>
      </c>
      <c r="QD32" s="259">
        <f>SUM(QD8:QD31)</f>
        <v>18874.730000000003</v>
      </c>
      <c r="QF32" s="259">
        <f>SUM(QF8:QF31)</f>
        <v>18874.780000000002</v>
      </c>
      <c r="QM32" s="259">
        <f>SUM(QM8:QM31)</f>
        <v>18964.8</v>
      </c>
      <c r="QO32" s="259">
        <f>SUM(QO8:QO31)</f>
        <v>18964.8</v>
      </c>
      <c r="QV32" s="259">
        <f>SUM(QV8:QV31)</f>
        <v>18782.680000000004</v>
      </c>
      <c r="QX32" s="259">
        <f>SUM(QX8:QX31)</f>
        <v>18782.780000000002</v>
      </c>
      <c r="RE32" s="259">
        <f>SUM(RE8:RE31)</f>
        <v>0</v>
      </c>
      <c r="RG32" s="259">
        <f>SUM(RG8:RG31)</f>
        <v>0</v>
      </c>
      <c r="RN32" s="259">
        <f>SUM(RN8:RN31)</f>
        <v>18692.5</v>
      </c>
      <c r="RP32" s="259">
        <f>SUM(RP8:RP31)</f>
        <v>18692.5</v>
      </c>
      <c r="RW32" s="259">
        <f>SUM(RW8:RW31)</f>
        <v>0</v>
      </c>
      <c r="RY32" s="259">
        <f>SUM(RY8:RY31)</f>
        <v>0</v>
      </c>
      <c r="SF32" s="259">
        <f>SUM(SF8:SF31)</f>
        <v>17897.510000000002</v>
      </c>
      <c r="SH32" s="259">
        <f>SUM(SH8:SH31)</f>
        <v>17897.510000000002</v>
      </c>
      <c r="SO32" s="259">
        <f>SUM(SO8:SO31)</f>
        <v>8425.61</v>
      </c>
      <c r="SQ32" s="259">
        <f>SUM(SQ8:SQ31)</f>
        <v>8425.61</v>
      </c>
      <c r="SX32" s="259">
        <f>SUM(SX8:SX31)</f>
        <v>19107.600000000002</v>
      </c>
      <c r="SZ32" s="259">
        <f>SUM(SZ8:SZ31)</f>
        <v>19107.600000000002</v>
      </c>
      <c r="TG32" s="259">
        <f>SUM(TG8:TG31)</f>
        <v>18941.939999999999</v>
      </c>
      <c r="TI32" s="259">
        <f>SUM(TI8:TI31)</f>
        <v>18941.939999999999</v>
      </c>
      <c r="TP32" s="259">
        <f>SUM(TP8:TP31)</f>
        <v>19119.900000000001</v>
      </c>
      <c r="TR32" s="259">
        <f>SUM(TR8:TR31)</f>
        <v>19119.900000000001</v>
      </c>
      <c r="TY32" s="259">
        <f>SUM(TY8:TY31)</f>
        <v>0</v>
      </c>
      <c r="UA32" s="259">
        <f>SUM(UA8:UA31)</f>
        <v>0</v>
      </c>
      <c r="UH32" s="259">
        <f>SUM(UH8:UH31)</f>
        <v>0</v>
      </c>
      <c r="UJ32" s="259">
        <f>SUM(UJ8:UJ31)</f>
        <v>0</v>
      </c>
      <c r="UQ32" s="259">
        <f>SUM(UQ8:UQ31)</f>
        <v>0</v>
      </c>
      <c r="US32" s="259">
        <f>SUM(US8:US31)</f>
        <v>0</v>
      </c>
      <c r="UZ32" s="259">
        <f>SUM(UZ8:UZ31)</f>
        <v>0</v>
      </c>
      <c r="VB32" s="259">
        <f>SUM(VB8:VB31)</f>
        <v>0</v>
      </c>
      <c r="VI32" s="259">
        <f>SUM(VI8:VI31)</f>
        <v>0</v>
      </c>
      <c r="VK32" s="259">
        <f>SUM(VK8:VK31)</f>
        <v>0</v>
      </c>
      <c r="VR32" s="259">
        <f>SUM(VR8:VR31)</f>
        <v>0</v>
      </c>
      <c r="VT32" s="259">
        <f>SUM(VT8:VT31)</f>
        <v>0</v>
      </c>
      <c r="WA32" s="259">
        <f>SUM(WA8:WA31)</f>
        <v>0</v>
      </c>
      <c r="WC32" s="259">
        <f>SUM(WC8:WC31)</f>
        <v>0</v>
      </c>
      <c r="WJ32" s="259">
        <f>SUM(WJ8:WJ31)</f>
        <v>0</v>
      </c>
      <c r="WL32" s="259">
        <f>SUM(WL8:WL31)</f>
        <v>0</v>
      </c>
      <c r="WS32" s="259">
        <f>SUM(WS8:WS31)</f>
        <v>0</v>
      </c>
      <c r="WU32" s="259">
        <f>SUM(WU8:WU31)</f>
        <v>0</v>
      </c>
      <c r="XB32" s="259">
        <f>SUM(XB8:XB31)</f>
        <v>0</v>
      </c>
      <c r="XD32" s="259">
        <f>SUM(XD8:XD31)</f>
        <v>0</v>
      </c>
      <c r="XK32" s="259">
        <f>SUM(XK8:XK31)</f>
        <v>0</v>
      </c>
      <c r="XM32" s="259">
        <f>SUM(XM8:XM31)</f>
        <v>0</v>
      </c>
      <c r="XT32" s="259">
        <f>SUM(XT8:XT31)</f>
        <v>0</v>
      </c>
      <c r="XV32" s="259">
        <f>SUM(XV8:XV31)</f>
        <v>0</v>
      </c>
      <c r="YC32" s="259">
        <f>SUM(YC8:YC31)</f>
        <v>0</v>
      </c>
      <c r="YE32" s="259">
        <f>SUM(YE8:YE31)</f>
        <v>0</v>
      </c>
      <c r="YL32" s="259">
        <f>SUM(YL8:YL31)</f>
        <v>0</v>
      </c>
      <c r="YN32" s="259">
        <f>SUM(YN8:YN31)</f>
        <v>0</v>
      </c>
      <c r="YU32" s="259">
        <f>SUM(YU8:YU31)</f>
        <v>0</v>
      </c>
      <c r="YW32" s="259">
        <f>SUM(YW8:YW31)</f>
        <v>0</v>
      </c>
      <c r="ZD32" s="259">
        <f>SUM(ZD8:ZD31)</f>
        <v>0</v>
      </c>
      <c r="ZF32" s="259">
        <f>SUM(ZF8:ZF31)</f>
        <v>0</v>
      </c>
      <c r="ZM32" s="259">
        <f>SUM(ZM8:ZM31)</f>
        <v>0</v>
      </c>
      <c r="ZO32" s="259">
        <f>SUM(ZO8:ZO31)</f>
        <v>0</v>
      </c>
      <c r="ZV32" s="259">
        <f>SUM(ZV8:ZV31)</f>
        <v>0</v>
      </c>
      <c r="ZX32" s="259">
        <f>SUM(ZX8:ZX31)</f>
        <v>0</v>
      </c>
      <c r="AAE32" s="259">
        <f>SUM(AAE8:AAE31)</f>
        <v>0</v>
      </c>
      <c r="AAG32" s="259">
        <f>SUM(AAG8:AAG31)</f>
        <v>0</v>
      </c>
      <c r="AAN32" s="259">
        <f>SUM(AAN8:AAN31)</f>
        <v>0</v>
      </c>
      <c r="AAP32" s="259">
        <f>SUM(AAP8:AAP31)</f>
        <v>0</v>
      </c>
      <c r="AAW32" s="259">
        <f>SUM(AAW8:AAW31)</f>
        <v>0</v>
      </c>
      <c r="AAY32" s="259">
        <f>SUM(AAY8:AAY31)</f>
        <v>0</v>
      </c>
      <c r="ABF32" s="259">
        <f>SUM(ABF8:ABF31)</f>
        <v>0</v>
      </c>
      <c r="ABH32" s="259">
        <f>SUM(ABH8:ABH31)</f>
        <v>0</v>
      </c>
      <c r="ABO32" s="259">
        <f>SUM(ABO8:ABO31)</f>
        <v>0</v>
      </c>
      <c r="ABQ32" s="259">
        <f>SUM(ABQ8:ABQ31)</f>
        <v>0</v>
      </c>
      <c r="ABX32" s="259">
        <f>SUM(ABX8:ABX31)</f>
        <v>0</v>
      </c>
      <c r="ABZ32" s="259">
        <f>SUM(ABZ8:ABZ31)</f>
        <v>0</v>
      </c>
      <c r="ACG32" s="259">
        <f>SUM(ACG8:ACG31)</f>
        <v>0</v>
      </c>
      <c r="ACI32" s="259">
        <f>SUM(ACI8:ACI31)</f>
        <v>0</v>
      </c>
      <c r="ACP32" s="259">
        <f>SUM(ACP8:ACP31)</f>
        <v>0</v>
      </c>
      <c r="ACR32" s="259">
        <f>SUM(ACR8:ACR31)</f>
        <v>0</v>
      </c>
      <c r="ACY32" s="259">
        <f>SUM(ACY8:ACY31)</f>
        <v>0</v>
      </c>
      <c r="ADA32" s="259">
        <f>SUM(ADA8:ADA31)</f>
        <v>0</v>
      </c>
    </row>
    <row r="33" spans="1:781" s="126" customFormat="1" ht="18.75" customHeight="1" thickBot="1" x14ac:dyDescent="0.3">
      <c r="A33" s="25">
        <v>30</v>
      </c>
      <c r="B33" s="128" t="str">
        <f t="shared" ref="B33:H33" si="30">JL5</f>
        <v>SMITHFIELD FARMALND</v>
      </c>
      <c r="C33" s="128" t="str">
        <f t="shared" si="30"/>
        <v>Smithfield</v>
      </c>
      <c r="D33" s="185" t="str">
        <f t="shared" si="30"/>
        <v>PED. 32357668</v>
      </c>
      <c r="E33" s="263">
        <f t="shared" si="30"/>
        <v>43452</v>
      </c>
      <c r="F33" s="161">
        <f t="shared" si="30"/>
        <v>18764.29</v>
      </c>
      <c r="G33" s="119">
        <f t="shared" si="30"/>
        <v>20</v>
      </c>
      <c r="H33" s="64">
        <f t="shared" si="30"/>
        <v>18931.53</v>
      </c>
      <c r="I33" s="192">
        <f t="shared" si="28"/>
        <v>-167.23999999999796</v>
      </c>
      <c r="N33" s="712" t="s">
        <v>21</v>
      </c>
      <c r="O33" s="713"/>
      <c r="P33" s="272">
        <f>Q5-P32</f>
        <v>0</v>
      </c>
      <c r="W33" s="712" t="s">
        <v>21</v>
      </c>
      <c r="X33" s="713"/>
      <c r="Y33" s="272">
        <f>Z5-Y32</f>
        <v>0</v>
      </c>
      <c r="AF33" s="672" t="s">
        <v>21</v>
      </c>
      <c r="AG33" s="673"/>
      <c r="AH33" s="272">
        <f>AI5-AH32</f>
        <v>0</v>
      </c>
      <c r="AO33" s="491" t="s">
        <v>21</v>
      </c>
      <c r="AP33" s="492"/>
      <c r="AQ33" s="272">
        <f>AR5-AQ32</f>
        <v>0</v>
      </c>
      <c r="AX33" s="417" t="s">
        <v>21</v>
      </c>
      <c r="AY33" s="418"/>
      <c r="AZ33" s="272">
        <f>AX32-AZ32</f>
        <v>0</v>
      </c>
      <c r="BG33" s="417" t="s">
        <v>21</v>
      </c>
      <c r="BH33" s="418"/>
      <c r="BI33" s="272">
        <f>BG32-BI32</f>
        <v>0</v>
      </c>
      <c r="BP33" s="424" t="s">
        <v>21</v>
      </c>
      <c r="BQ33" s="425"/>
      <c r="BR33" s="272">
        <f>BP32-BR32</f>
        <v>0</v>
      </c>
      <c r="BY33" s="424" t="s">
        <v>21</v>
      </c>
      <c r="BZ33" s="425"/>
      <c r="CA33" s="272">
        <f>BY32-CA32</f>
        <v>0</v>
      </c>
      <c r="CH33" s="424" t="s">
        <v>21</v>
      </c>
      <c r="CI33" s="425"/>
      <c r="CJ33" s="272">
        <f>CJ32-CJ32</f>
        <v>0</v>
      </c>
      <c r="CQ33" s="424" t="s">
        <v>21</v>
      </c>
      <c r="CR33" s="425"/>
      <c r="CS33" s="272">
        <f>CQ32-CS32</f>
        <v>0</v>
      </c>
      <c r="CZ33" s="577" t="s">
        <v>21</v>
      </c>
      <c r="DA33" s="578"/>
      <c r="DB33" s="272">
        <f>CZ32-DB32</f>
        <v>0</v>
      </c>
      <c r="DI33" s="577" t="s">
        <v>21</v>
      </c>
      <c r="DJ33" s="578"/>
      <c r="DK33" s="272">
        <f>DI32-DK32</f>
        <v>0</v>
      </c>
      <c r="DR33" s="577" t="s">
        <v>21</v>
      </c>
      <c r="DS33" s="578"/>
      <c r="DT33" s="272">
        <f>DR32-DT32</f>
        <v>0</v>
      </c>
      <c r="EA33" s="577" t="s">
        <v>21</v>
      </c>
      <c r="EB33" s="578"/>
      <c r="EC33" s="272">
        <f>EA32-EC32</f>
        <v>0</v>
      </c>
      <c r="EJ33" s="577" t="s">
        <v>21</v>
      </c>
      <c r="EK33" s="578"/>
      <c r="EL33" s="272">
        <f>EJ32-EL32</f>
        <v>0</v>
      </c>
      <c r="ES33" s="577" t="s">
        <v>21</v>
      </c>
      <c r="ET33" s="578"/>
      <c r="EU33" s="272">
        <f>ES32-EU32</f>
        <v>0</v>
      </c>
      <c r="FB33" s="577" t="s">
        <v>21</v>
      </c>
      <c r="FC33" s="578"/>
      <c r="FD33" s="272">
        <f>FB32-FD32</f>
        <v>0</v>
      </c>
      <c r="FK33" s="577" t="s">
        <v>21</v>
      </c>
      <c r="FL33" s="578"/>
      <c r="FM33" s="272">
        <f>FN5-FM32</f>
        <v>0</v>
      </c>
      <c r="FQ33" s="128"/>
      <c r="FR33" s="128"/>
      <c r="FS33" s="128"/>
      <c r="FT33" s="428" t="s">
        <v>21</v>
      </c>
      <c r="FU33" s="429"/>
      <c r="FV33" s="273">
        <f>FT32-FV32</f>
        <v>0</v>
      </c>
      <c r="FW33" s="128"/>
      <c r="FX33" s="128"/>
      <c r="GC33" s="577" t="s">
        <v>21</v>
      </c>
      <c r="GD33" s="578"/>
      <c r="GE33" s="272">
        <f>GC32-GE32</f>
        <v>0</v>
      </c>
      <c r="GL33" s="577" t="s">
        <v>21</v>
      </c>
      <c r="GM33" s="578"/>
      <c r="GN33" s="272">
        <f>GL32-GN32</f>
        <v>0</v>
      </c>
      <c r="GU33" s="596" t="s">
        <v>21</v>
      </c>
      <c r="GV33" s="597"/>
      <c r="GW33" s="273">
        <f>GU32-GW32</f>
        <v>0</v>
      </c>
      <c r="HD33" s="596" t="s">
        <v>21</v>
      </c>
      <c r="HE33" s="597"/>
      <c r="HF33" s="272">
        <f>HD32-HF32</f>
        <v>0</v>
      </c>
      <c r="HJ33" s="128"/>
      <c r="HK33" s="128"/>
      <c r="HL33" s="128"/>
      <c r="HM33" s="428" t="s">
        <v>21</v>
      </c>
      <c r="HN33" s="429"/>
      <c r="HO33" s="273">
        <f>HM32-HO32</f>
        <v>0</v>
      </c>
      <c r="HP33" s="128"/>
      <c r="HQ33" s="128"/>
      <c r="HV33" s="596" t="s">
        <v>21</v>
      </c>
      <c r="HW33" s="597"/>
      <c r="HX33" s="272">
        <f>HV32-HX32</f>
        <v>0</v>
      </c>
      <c r="IE33" s="596" t="s">
        <v>21</v>
      </c>
      <c r="IF33" s="597"/>
      <c r="IG33" s="272">
        <f>IE32-IG32</f>
        <v>0</v>
      </c>
      <c r="IN33" s="544" t="s">
        <v>21</v>
      </c>
      <c r="IO33" s="545"/>
      <c r="IP33" s="272">
        <f>IQ5-IP32</f>
        <v>0</v>
      </c>
      <c r="IW33" s="565" t="s">
        <v>21</v>
      </c>
      <c r="IX33" s="566"/>
      <c r="IY33" s="272">
        <f>IZ5-IY32</f>
        <v>0</v>
      </c>
      <c r="JF33" s="565" t="s">
        <v>21</v>
      </c>
      <c r="JG33" s="566"/>
      <c r="JH33" s="272">
        <f>JF32-JH32</f>
        <v>0</v>
      </c>
      <c r="JO33" s="565" t="s">
        <v>21</v>
      </c>
      <c r="JP33" s="566"/>
      <c r="JQ33" s="272">
        <f>JR5-JQ32</f>
        <v>0</v>
      </c>
      <c r="JX33" s="424" t="s">
        <v>21</v>
      </c>
      <c r="JY33" s="425"/>
      <c r="JZ33" s="272">
        <f>KA5-JZ32</f>
        <v>0</v>
      </c>
      <c r="KP33" s="424" t="s">
        <v>21</v>
      </c>
      <c r="KQ33" s="425"/>
      <c r="KR33" s="272">
        <f>KS5-KR32</f>
        <v>0</v>
      </c>
      <c r="KY33" s="424" t="s">
        <v>21</v>
      </c>
      <c r="KZ33" s="425"/>
      <c r="LA33" s="272">
        <f>LB5-LA32</f>
        <v>0</v>
      </c>
      <c r="LH33" s="424" t="s">
        <v>21</v>
      </c>
      <c r="LI33" s="425"/>
      <c r="LJ33" s="272">
        <f>LK5-LJ32</f>
        <v>0</v>
      </c>
      <c r="LQ33" s="424" t="s">
        <v>21</v>
      </c>
      <c r="LR33" s="425"/>
      <c r="LS33" s="272">
        <f>LT5-LS32</f>
        <v>0</v>
      </c>
      <c r="LZ33" s="424" t="s">
        <v>21</v>
      </c>
      <c r="MA33" s="425"/>
      <c r="MB33" s="272">
        <f>MC5-MB32</f>
        <v>0</v>
      </c>
      <c r="MI33" s="424" t="s">
        <v>21</v>
      </c>
      <c r="MJ33" s="425"/>
      <c r="MK33" s="272">
        <f>ML5-MK32</f>
        <v>0</v>
      </c>
      <c r="MR33" s="424" t="s">
        <v>21</v>
      </c>
      <c r="MS33" s="425"/>
      <c r="MT33" s="272">
        <f>MU5-MT32</f>
        <v>0</v>
      </c>
      <c r="NA33" s="424" t="s">
        <v>21</v>
      </c>
      <c r="NB33" s="425"/>
      <c r="NC33" s="272">
        <f>ND5-NC32</f>
        <v>0</v>
      </c>
      <c r="NJ33" s="424" t="s">
        <v>21</v>
      </c>
      <c r="NK33" s="425"/>
      <c r="NL33" s="272">
        <f>NM5-NL32</f>
        <v>0</v>
      </c>
      <c r="NS33" s="424" t="s">
        <v>21</v>
      </c>
      <c r="NT33" s="425"/>
      <c r="NU33" s="272">
        <f>NU32-NS32</f>
        <v>0</v>
      </c>
      <c r="OB33" s="424" t="s">
        <v>21</v>
      </c>
      <c r="OC33" s="425"/>
      <c r="OD33" s="272">
        <f>OE5-OD32</f>
        <v>0</v>
      </c>
      <c r="OK33" s="424" t="s">
        <v>21</v>
      </c>
      <c r="OL33" s="425"/>
      <c r="OM33" s="272">
        <f>ON5-OM32</f>
        <v>0</v>
      </c>
      <c r="ON33" s="380"/>
      <c r="OO33" s="128"/>
      <c r="OP33" s="128"/>
      <c r="OT33" s="424" t="s">
        <v>21</v>
      </c>
      <c r="OU33" s="425"/>
      <c r="OV33" s="272">
        <f>OW5-OV32</f>
        <v>0</v>
      </c>
      <c r="PC33" s="763" t="s">
        <v>21</v>
      </c>
      <c r="PD33" s="764"/>
      <c r="PE33" s="272">
        <f>PF5-PE32</f>
        <v>-9.9999999656574801E-4</v>
      </c>
      <c r="PL33" s="763" t="s">
        <v>21</v>
      </c>
      <c r="PM33" s="764"/>
      <c r="PN33" s="272">
        <f>PO5-PN32</f>
        <v>0</v>
      </c>
      <c r="PU33" s="763" t="s">
        <v>21</v>
      </c>
      <c r="PV33" s="764"/>
      <c r="PW33" s="272">
        <f>PX5-PW32</f>
        <v>0.90000000000145519</v>
      </c>
      <c r="QD33" s="763" t="s">
        <v>21</v>
      </c>
      <c r="QE33" s="764"/>
      <c r="QF33" s="272">
        <f>SUM(QG5-QF32)</f>
        <v>-5.0000000002910383E-2</v>
      </c>
      <c r="QM33" s="849" t="s">
        <v>21</v>
      </c>
      <c r="QN33" s="850"/>
      <c r="QO33" s="272">
        <f>SUM(QP5-QO32)</f>
        <v>0</v>
      </c>
      <c r="QV33" s="849" t="s">
        <v>21</v>
      </c>
      <c r="QW33" s="850"/>
      <c r="QX33" s="801">
        <f>SUM(QY5-QX32)</f>
        <v>-0.10000000000218279</v>
      </c>
      <c r="RE33" s="849" t="s">
        <v>21</v>
      </c>
      <c r="RF33" s="850"/>
      <c r="RG33" s="272">
        <f>SUM(RH5-RG32)</f>
        <v>0</v>
      </c>
      <c r="RN33" s="849" t="s">
        <v>21</v>
      </c>
      <c r="RO33" s="850"/>
      <c r="RP33" s="272">
        <f>SUM(RQ5-RP32)</f>
        <v>0</v>
      </c>
      <c r="RW33" s="849" t="s">
        <v>21</v>
      </c>
      <c r="RX33" s="850"/>
      <c r="RY33" s="272">
        <f>SUM(RZ5-RY32)</f>
        <v>19067</v>
      </c>
      <c r="SF33" s="849" t="s">
        <v>21</v>
      </c>
      <c r="SG33" s="850"/>
      <c r="SH33" s="272">
        <f>SUM(SI5-SH32)</f>
        <v>-3.637978807091713E-12</v>
      </c>
      <c r="SO33" s="849" t="s">
        <v>21</v>
      </c>
      <c r="SP33" s="850"/>
      <c r="SQ33" s="272">
        <f>SUM(SR5-SQ32)</f>
        <v>0</v>
      </c>
      <c r="SX33" s="849" t="s">
        <v>21</v>
      </c>
      <c r="SY33" s="850"/>
      <c r="SZ33" s="272">
        <f>SUM(TA5-SZ32)</f>
        <v>-3.637978807091713E-12</v>
      </c>
      <c r="TG33" s="772" t="s">
        <v>21</v>
      </c>
      <c r="TH33" s="773"/>
      <c r="TI33" s="272">
        <f>SUM(TJ5-TI32)</f>
        <v>0</v>
      </c>
      <c r="TP33" s="772" t="s">
        <v>21</v>
      </c>
      <c r="TQ33" s="773"/>
      <c r="TR33" s="272">
        <f>SUM(TS5-TR32)</f>
        <v>0</v>
      </c>
      <c r="TY33" s="849" t="s">
        <v>21</v>
      </c>
      <c r="TZ33" s="850"/>
      <c r="UA33" s="272">
        <f>UB5-UA32</f>
        <v>0</v>
      </c>
      <c r="UH33" s="849" t="s">
        <v>21</v>
      </c>
      <c r="UI33" s="850"/>
      <c r="UJ33" s="272">
        <f>UK5-UJ32</f>
        <v>0</v>
      </c>
      <c r="UQ33" s="849" t="s">
        <v>21</v>
      </c>
      <c r="UR33" s="850"/>
      <c r="US33" s="272">
        <f>UT5-US32</f>
        <v>0</v>
      </c>
      <c r="UZ33" s="849" t="s">
        <v>21</v>
      </c>
      <c r="VA33" s="850"/>
      <c r="VB33" s="272">
        <f>VC5-VB32</f>
        <v>0</v>
      </c>
      <c r="VI33" s="849" t="s">
        <v>21</v>
      </c>
      <c r="VJ33" s="850"/>
      <c r="VK33" s="272">
        <f>VL5-VK32</f>
        <v>0</v>
      </c>
      <c r="VR33" s="849" t="s">
        <v>21</v>
      </c>
      <c r="VS33" s="850"/>
      <c r="VT33" s="272">
        <f>VU5-VT32</f>
        <v>0</v>
      </c>
      <c r="WA33" s="849" t="s">
        <v>21</v>
      </c>
      <c r="WB33" s="850"/>
      <c r="WC33" s="272">
        <f>WD5-WC32</f>
        <v>0</v>
      </c>
      <c r="WJ33" s="849" t="s">
        <v>21</v>
      </c>
      <c r="WK33" s="850"/>
      <c r="WL33" s="272">
        <f>WM5-WL32</f>
        <v>0</v>
      </c>
      <c r="WS33" s="849" t="s">
        <v>21</v>
      </c>
      <c r="WT33" s="850"/>
      <c r="WU33" s="272">
        <f>WV5-WU32</f>
        <v>0</v>
      </c>
      <c r="XB33" s="849" t="s">
        <v>21</v>
      </c>
      <c r="XC33" s="850"/>
      <c r="XD33" s="272">
        <f>XE5-XD32</f>
        <v>0</v>
      </c>
      <c r="XK33" s="849" t="s">
        <v>21</v>
      </c>
      <c r="XL33" s="850"/>
      <c r="XM33" s="272">
        <f>XN5-XM32</f>
        <v>0</v>
      </c>
      <c r="XT33" s="849" t="s">
        <v>21</v>
      </c>
      <c r="XU33" s="850"/>
      <c r="XV33" s="272">
        <f>XW5-XV32</f>
        <v>0</v>
      </c>
      <c r="YC33" s="849" t="s">
        <v>21</v>
      </c>
      <c r="YD33" s="850"/>
      <c r="YE33" s="272">
        <f>YF5-YE32</f>
        <v>0</v>
      </c>
      <c r="YL33" s="849" t="s">
        <v>21</v>
      </c>
      <c r="YM33" s="850"/>
      <c r="YN33" s="272">
        <f>YO5-YN32</f>
        <v>0</v>
      </c>
      <c r="YU33" s="849" t="s">
        <v>21</v>
      </c>
      <c r="YV33" s="850"/>
      <c r="YW33" s="272">
        <f>YX5-YW32</f>
        <v>0</v>
      </c>
      <c r="ZD33" s="849" t="s">
        <v>21</v>
      </c>
      <c r="ZE33" s="850"/>
      <c r="ZF33" s="272">
        <f>ZF32-ZD32</f>
        <v>0</v>
      </c>
      <c r="ZM33" s="849" t="s">
        <v>21</v>
      </c>
      <c r="ZN33" s="850"/>
      <c r="ZO33" s="272">
        <f>ZP5-ZO32</f>
        <v>0</v>
      </c>
      <c r="ZV33" s="849" t="s">
        <v>21</v>
      </c>
      <c r="ZW33" s="850"/>
      <c r="ZX33" s="272">
        <f>ZY5-ZX32</f>
        <v>0</v>
      </c>
      <c r="AAE33" s="849" t="s">
        <v>21</v>
      </c>
      <c r="AAF33" s="850"/>
      <c r="AAG33" s="272">
        <f>AAH5-AAG32</f>
        <v>0</v>
      </c>
      <c r="AAN33" s="849" t="s">
        <v>21</v>
      </c>
      <c r="AAO33" s="850"/>
      <c r="AAP33" s="272">
        <f>AAQ5-AAP32</f>
        <v>0</v>
      </c>
      <c r="AAW33" s="849" t="s">
        <v>21</v>
      </c>
      <c r="AAX33" s="850"/>
      <c r="AAY33" s="272">
        <f>AAZ5-AAY32</f>
        <v>0</v>
      </c>
      <c r="ABF33" s="849" t="s">
        <v>21</v>
      </c>
      <c r="ABG33" s="850"/>
      <c r="ABH33" s="272">
        <f>ABI5-ABH32</f>
        <v>0</v>
      </c>
      <c r="ABO33" s="849" t="s">
        <v>21</v>
      </c>
      <c r="ABP33" s="850"/>
      <c r="ABQ33" s="272">
        <f>ABR5-ABQ32</f>
        <v>0</v>
      </c>
      <c r="ABX33" s="849" t="s">
        <v>21</v>
      </c>
      <c r="ABY33" s="850"/>
      <c r="ABZ33" s="272">
        <f>ACA5-ABZ32</f>
        <v>0</v>
      </c>
      <c r="ACG33" s="849" t="s">
        <v>21</v>
      </c>
      <c r="ACH33" s="850"/>
      <c r="ACI33" s="272">
        <f>ACJ5-ACI32</f>
        <v>0</v>
      </c>
      <c r="ACP33" s="849" t="s">
        <v>21</v>
      </c>
      <c r="ACQ33" s="850"/>
      <c r="ACR33" s="272">
        <f>ACS5-ACR32</f>
        <v>0</v>
      </c>
      <c r="ACY33" s="849" t="s">
        <v>21</v>
      </c>
      <c r="ACZ33" s="850"/>
      <c r="ADA33" s="272">
        <f>ADB5-ADA32</f>
        <v>0</v>
      </c>
    </row>
    <row r="34" spans="1:781" s="126" customFormat="1" ht="16.5" thickBot="1" x14ac:dyDescent="0.3">
      <c r="A34" s="25">
        <v>31</v>
      </c>
      <c r="B34" s="128" t="str">
        <f t="shared" ref="B34:H34" si="31">JU5</f>
        <v>IDEAL TRADING</v>
      </c>
      <c r="C34" s="128" t="str">
        <f t="shared" si="31"/>
        <v xml:space="preserve">I B P </v>
      </c>
      <c r="D34" s="185" t="str">
        <f t="shared" si="31"/>
        <v>PED. 32357161</v>
      </c>
      <c r="E34" s="263">
        <f t="shared" si="31"/>
        <v>43452</v>
      </c>
      <c r="F34" s="161">
        <f t="shared" si="31"/>
        <v>18691.78</v>
      </c>
      <c r="G34" s="119">
        <f t="shared" si="31"/>
        <v>20</v>
      </c>
      <c r="H34" s="64">
        <f t="shared" si="31"/>
        <v>18638.900000000001</v>
      </c>
      <c r="I34" s="192">
        <f t="shared" si="28"/>
        <v>52.879999999997381</v>
      </c>
      <c r="N34" s="714" t="s">
        <v>4</v>
      </c>
      <c r="O34" s="715"/>
      <c r="P34" s="66"/>
      <c r="W34" s="714" t="s">
        <v>4</v>
      </c>
      <c r="X34" s="715"/>
      <c r="Y34" s="66"/>
      <c r="AF34" s="670" t="s">
        <v>4</v>
      </c>
      <c r="AG34" s="671"/>
      <c r="AH34" s="66"/>
      <c r="AO34" s="493" t="s">
        <v>4</v>
      </c>
      <c r="AP34" s="494"/>
      <c r="AQ34" s="66"/>
      <c r="AX34" s="419" t="s">
        <v>4</v>
      </c>
      <c r="AY34" s="420"/>
      <c r="AZ34" s="66"/>
      <c r="BG34" s="419" t="s">
        <v>4</v>
      </c>
      <c r="BH34" s="420"/>
      <c r="BI34" s="66"/>
      <c r="BP34" s="426" t="s">
        <v>4</v>
      </c>
      <c r="BQ34" s="427"/>
      <c r="BR34" s="66"/>
      <c r="BY34" s="426" t="s">
        <v>4</v>
      </c>
      <c r="BZ34" s="427"/>
      <c r="CA34" s="66"/>
      <c r="CH34" s="426" t="s">
        <v>4</v>
      </c>
      <c r="CI34" s="427"/>
      <c r="CJ34" s="66"/>
      <c r="CQ34" s="426" t="s">
        <v>4</v>
      </c>
      <c r="CR34" s="427"/>
      <c r="CS34" s="66"/>
      <c r="CZ34" s="579" t="s">
        <v>4</v>
      </c>
      <c r="DA34" s="580"/>
      <c r="DB34" s="66"/>
      <c r="DI34" s="579" t="s">
        <v>4</v>
      </c>
      <c r="DJ34" s="580"/>
      <c r="DK34" s="66"/>
      <c r="DR34" s="579" t="s">
        <v>4</v>
      </c>
      <c r="DS34" s="580"/>
      <c r="DT34" s="66"/>
      <c r="EA34" s="579" t="s">
        <v>4</v>
      </c>
      <c r="EB34" s="580"/>
      <c r="EC34" s="66"/>
      <c r="EJ34" s="579" t="s">
        <v>4</v>
      </c>
      <c r="EK34" s="580"/>
      <c r="EL34" s="66">
        <v>0</v>
      </c>
      <c r="ES34" s="579" t="s">
        <v>4</v>
      </c>
      <c r="ET34" s="580"/>
      <c r="EU34" s="66"/>
      <c r="FB34" s="579" t="s">
        <v>4</v>
      </c>
      <c r="FC34" s="580"/>
      <c r="FD34" s="66"/>
      <c r="FK34" s="579" t="s">
        <v>4</v>
      </c>
      <c r="FL34" s="580"/>
      <c r="FM34" s="66"/>
      <c r="FQ34" s="128"/>
      <c r="FR34" s="128"/>
      <c r="FS34" s="128"/>
      <c r="FT34" s="430" t="s">
        <v>4</v>
      </c>
      <c r="FU34" s="431"/>
      <c r="FV34" s="290"/>
      <c r="FW34" s="128"/>
      <c r="FX34" s="128"/>
      <c r="GC34" s="579" t="s">
        <v>4</v>
      </c>
      <c r="GD34" s="580"/>
      <c r="GE34" s="66"/>
      <c r="GL34" s="579" t="s">
        <v>4</v>
      </c>
      <c r="GM34" s="580"/>
      <c r="GN34" s="66"/>
      <c r="GU34" s="594" t="s">
        <v>4</v>
      </c>
      <c r="GV34" s="595"/>
      <c r="GW34" s="66">
        <v>0</v>
      </c>
      <c r="HD34" s="594" t="s">
        <v>4</v>
      </c>
      <c r="HE34" s="595"/>
      <c r="HF34" s="66"/>
      <c r="HJ34" s="128"/>
      <c r="HK34" s="128"/>
      <c r="HL34" s="128"/>
      <c r="HM34" s="430" t="s">
        <v>4</v>
      </c>
      <c r="HN34" s="431"/>
      <c r="HO34" s="290"/>
      <c r="HP34" s="128"/>
      <c r="HQ34" s="128"/>
      <c r="HV34" s="594" t="s">
        <v>4</v>
      </c>
      <c r="HW34" s="595"/>
      <c r="HX34" s="66"/>
      <c r="IE34" s="594" t="s">
        <v>4</v>
      </c>
      <c r="IF34" s="595"/>
      <c r="IG34" s="66">
        <v>0</v>
      </c>
      <c r="IN34" s="546" t="s">
        <v>4</v>
      </c>
      <c r="IO34" s="547"/>
      <c r="IP34" s="66"/>
      <c r="IW34" s="567" t="s">
        <v>4</v>
      </c>
      <c r="IX34" s="568"/>
      <c r="IY34" s="66"/>
      <c r="JF34" s="567" t="s">
        <v>4</v>
      </c>
      <c r="JG34" s="568"/>
      <c r="JH34" s="66"/>
      <c r="JO34" s="567" t="s">
        <v>4</v>
      </c>
      <c r="JP34" s="568"/>
      <c r="JQ34" s="66"/>
      <c r="JX34" s="426" t="s">
        <v>4</v>
      </c>
      <c r="JY34" s="427"/>
      <c r="JZ34" s="66"/>
      <c r="KG34" s="424" t="s">
        <v>21</v>
      </c>
      <c r="KH34" s="425"/>
      <c r="KI34" s="272">
        <f>KJ5-KI32</f>
        <v>0</v>
      </c>
      <c r="KP34" s="426" t="s">
        <v>4</v>
      </c>
      <c r="KQ34" s="427"/>
      <c r="KR34" s="66"/>
      <c r="KY34" s="426" t="s">
        <v>4</v>
      </c>
      <c r="KZ34" s="427"/>
      <c r="LA34" s="66"/>
      <c r="LH34" s="426" t="s">
        <v>4</v>
      </c>
      <c r="LI34" s="427"/>
      <c r="LJ34" s="66"/>
      <c r="LQ34" s="426" t="s">
        <v>4</v>
      </c>
      <c r="LR34" s="427"/>
      <c r="LS34" s="66"/>
      <c r="LZ34" s="426" t="s">
        <v>4</v>
      </c>
      <c r="MA34" s="427"/>
      <c r="MB34" s="66"/>
      <c r="MI34" s="426" t="s">
        <v>4</v>
      </c>
      <c r="MJ34" s="427"/>
      <c r="MK34" s="66"/>
      <c r="MR34" s="426" t="s">
        <v>4</v>
      </c>
      <c r="MS34" s="427"/>
      <c r="MT34" s="66"/>
      <c r="NA34" s="426" t="s">
        <v>4</v>
      </c>
      <c r="NB34" s="427"/>
      <c r="NC34" s="66"/>
      <c r="NJ34" s="426" t="s">
        <v>4</v>
      </c>
      <c r="NK34" s="427"/>
      <c r="NL34" s="66"/>
      <c r="NS34" s="426" t="s">
        <v>4</v>
      </c>
      <c r="NT34" s="427"/>
      <c r="NU34" s="66"/>
      <c r="OB34" s="426" t="s">
        <v>4</v>
      </c>
      <c r="OC34" s="427"/>
      <c r="OD34" s="66"/>
      <c r="OK34" s="426" t="s">
        <v>4</v>
      </c>
      <c r="OL34" s="427"/>
      <c r="OM34" s="66"/>
      <c r="OT34" s="426" t="s">
        <v>4</v>
      </c>
      <c r="OU34" s="427"/>
      <c r="OV34" s="66"/>
      <c r="PC34" s="765" t="s">
        <v>4</v>
      </c>
      <c r="PD34" s="766"/>
      <c r="PE34" s="66"/>
      <c r="PL34" s="765" t="s">
        <v>4</v>
      </c>
      <c r="PM34" s="766"/>
      <c r="PN34" s="66"/>
      <c r="PU34" s="765" t="s">
        <v>4</v>
      </c>
      <c r="PV34" s="766"/>
      <c r="PW34" s="66"/>
      <c r="QD34" s="765" t="s">
        <v>4</v>
      </c>
      <c r="QE34" s="766"/>
      <c r="QF34" s="66"/>
      <c r="QM34" s="851" t="s">
        <v>4</v>
      </c>
      <c r="QN34" s="852"/>
      <c r="QO34" s="66"/>
      <c r="QV34" s="851" t="s">
        <v>4</v>
      </c>
      <c r="QW34" s="852"/>
      <c r="QX34" s="66"/>
      <c r="RE34" s="851" t="s">
        <v>4</v>
      </c>
      <c r="RF34" s="852"/>
      <c r="RG34" s="66"/>
      <c r="RN34" s="851" t="s">
        <v>4</v>
      </c>
      <c r="RO34" s="852"/>
      <c r="RP34" s="66"/>
      <c r="RW34" s="851" t="s">
        <v>4</v>
      </c>
      <c r="RX34" s="852"/>
      <c r="RY34" s="66"/>
      <c r="SF34" s="851" t="s">
        <v>4</v>
      </c>
      <c r="SG34" s="852"/>
      <c r="SH34" s="66"/>
      <c r="SO34" s="851" t="s">
        <v>4</v>
      </c>
      <c r="SP34" s="852"/>
      <c r="SQ34" s="66"/>
      <c r="SX34" s="851" t="s">
        <v>4</v>
      </c>
      <c r="SY34" s="852"/>
      <c r="SZ34" s="66"/>
      <c r="TG34" s="774" t="s">
        <v>4</v>
      </c>
      <c r="TH34" s="775"/>
      <c r="TI34" s="66"/>
      <c r="TP34" s="774" t="s">
        <v>4</v>
      </c>
      <c r="TQ34" s="775"/>
      <c r="TR34" s="66"/>
      <c r="TY34" s="851" t="s">
        <v>4</v>
      </c>
      <c r="TZ34" s="852"/>
      <c r="UA34" s="66"/>
      <c r="UH34" s="851" t="s">
        <v>4</v>
      </c>
      <c r="UI34" s="852"/>
      <c r="UJ34" s="66"/>
      <c r="UQ34" s="851" t="s">
        <v>4</v>
      </c>
      <c r="UR34" s="852"/>
      <c r="US34" s="66"/>
      <c r="UZ34" s="851" t="s">
        <v>4</v>
      </c>
      <c r="VA34" s="852"/>
      <c r="VB34" s="66"/>
      <c r="VI34" s="851" t="s">
        <v>4</v>
      </c>
      <c r="VJ34" s="852"/>
      <c r="VK34" s="66"/>
      <c r="VR34" s="851" t="s">
        <v>4</v>
      </c>
      <c r="VS34" s="852"/>
      <c r="VT34" s="66"/>
      <c r="WA34" s="851" t="s">
        <v>4</v>
      </c>
      <c r="WB34" s="852"/>
      <c r="WC34" s="66"/>
      <c r="WJ34" s="851" t="s">
        <v>4</v>
      </c>
      <c r="WK34" s="852"/>
      <c r="WL34" s="66"/>
      <c r="WS34" s="851" t="s">
        <v>4</v>
      </c>
      <c r="WT34" s="852"/>
      <c r="WU34" s="66"/>
      <c r="XB34" s="851" t="s">
        <v>4</v>
      </c>
      <c r="XC34" s="852"/>
      <c r="XD34" s="66"/>
      <c r="XK34" s="851" t="s">
        <v>4</v>
      </c>
      <c r="XL34" s="852"/>
      <c r="XM34" s="66"/>
      <c r="XT34" s="851" t="s">
        <v>4</v>
      </c>
      <c r="XU34" s="852"/>
      <c r="XV34" s="66"/>
      <c r="YC34" s="851" t="s">
        <v>4</v>
      </c>
      <c r="YD34" s="852"/>
      <c r="YE34" s="66"/>
      <c r="YL34" s="851" t="s">
        <v>4</v>
      </c>
      <c r="YM34" s="852"/>
      <c r="YN34" s="66"/>
      <c r="YU34" s="851" t="s">
        <v>4</v>
      </c>
      <c r="YV34" s="852"/>
      <c r="YW34" s="66"/>
      <c r="ZD34" s="851" t="s">
        <v>4</v>
      </c>
      <c r="ZE34" s="852"/>
      <c r="ZF34" s="66"/>
      <c r="ZM34" s="851" t="s">
        <v>4</v>
      </c>
      <c r="ZN34" s="852"/>
      <c r="ZO34" s="66"/>
      <c r="ZV34" s="851" t="s">
        <v>4</v>
      </c>
      <c r="ZW34" s="852"/>
      <c r="ZX34" s="66"/>
      <c r="AAE34" s="851" t="s">
        <v>4</v>
      </c>
      <c r="AAF34" s="852"/>
      <c r="AAG34" s="66"/>
      <c r="AAN34" s="851" t="s">
        <v>4</v>
      </c>
      <c r="AAO34" s="852"/>
      <c r="AAP34" s="66"/>
      <c r="AAW34" s="851" t="s">
        <v>4</v>
      </c>
      <c r="AAX34" s="852"/>
      <c r="AAY34" s="66"/>
      <c r="ABF34" s="851" t="s">
        <v>4</v>
      </c>
      <c r="ABG34" s="852"/>
      <c r="ABH34" s="66"/>
      <c r="ABO34" s="851" t="s">
        <v>4</v>
      </c>
      <c r="ABP34" s="852"/>
      <c r="ABQ34" s="66"/>
      <c r="ABX34" s="851" t="s">
        <v>4</v>
      </c>
      <c r="ABY34" s="852"/>
      <c r="ABZ34" s="66"/>
      <c r="ACG34" s="851" t="s">
        <v>4</v>
      </c>
      <c r="ACH34" s="852"/>
      <c r="ACI34" s="66"/>
      <c r="ACP34" s="851" t="s">
        <v>4</v>
      </c>
      <c r="ACQ34" s="852"/>
      <c r="ACR34" s="66"/>
      <c r="ACY34" s="851" t="s">
        <v>4</v>
      </c>
      <c r="ACZ34" s="852"/>
      <c r="ADA34" s="66"/>
    </row>
    <row r="35" spans="1:781" s="126" customFormat="1" ht="16.5" thickBot="1" x14ac:dyDescent="0.3">
      <c r="A35" s="25">
        <v>32</v>
      </c>
      <c r="B35" s="128" t="str">
        <f t="shared" ref="B35:H35" si="32">KD5</f>
        <v>SIOUXPREME PACKING</v>
      </c>
      <c r="C35" s="128" t="str">
        <f t="shared" si="32"/>
        <v>SIOUX</v>
      </c>
      <c r="D35" s="185" t="str">
        <f t="shared" si="32"/>
        <v>PED, 32357670</v>
      </c>
      <c r="E35" s="263">
        <f t="shared" si="32"/>
        <v>43452</v>
      </c>
      <c r="F35" s="161">
        <f t="shared" si="32"/>
        <v>18716.27</v>
      </c>
      <c r="G35" s="119">
        <f t="shared" si="32"/>
        <v>21</v>
      </c>
      <c r="H35" s="64">
        <f t="shared" si="32"/>
        <v>18871</v>
      </c>
      <c r="I35" s="192">
        <f t="shared" si="28"/>
        <v>-154.72999999999956</v>
      </c>
      <c r="FQ35" s="128"/>
      <c r="FR35" s="128"/>
      <c r="FS35" s="128"/>
      <c r="FT35" s="128"/>
      <c r="FU35" s="128"/>
      <c r="FV35" s="128"/>
      <c r="FW35" s="128"/>
      <c r="FX35" s="128"/>
      <c r="HJ35" s="128"/>
      <c r="HK35" s="128"/>
      <c r="HL35" s="128"/>
      <c r="HM35" s="128"/>
      <c r="HN35" s="128"/>
      <c r="HO35" s="128"/>
      <c r="HP35" s="128"/>
      <c r="HQ35" s="128"/>
      <c r="KG35" s="426" t="s">
        <v>4</v>
      </c>
      <c r="KH35" s="427"/>
      <c r="KI35" s="66"/>
    </row>
    <row r="36" spans="1:781" s="126" customFormat="1" x14ac:dyDescent="0.25">
      <c r="A36" s="25">
        <v>33</v>
      </c>
      <c r="B36" s="128" t="str">
        <f t="shared" ref="B36:H36" si="33">KM5</f>
        <v>IDEAL TRADING</v>
      </c>
      <c r="C36" s="128" t="str">
        <f t="shared" si="33"/>
        <v>Seaboard</v>
      </c>
      <c r="D36" s="185" t="str">
        <f t="shared" si="33"/>
        <v>PED. 32396872</v>
      </c>
      <c r="E36" s="263">
        <f t="shared" si="33"/>
        <v>43453</v>
      </c>
      <c r="F36" s="161">
        <f t="shared" si="33"/>
        <v>19146.5</v>
      </c>
      <c r="G36" s="119">
        <f t="shared" si="33"/>
        <v>21</v>
      </c>
      <c r="H36" s="64">
        <f t="shared" si="33"/>
        <v>19191.3</v>
      </c>
      <c r="I36" s="192">
        <f t="shared" si="28"/>
        <v>-44.799999999999272</v>
      </c>
      <c r="R36" s="128"/>
      <c r="KT36" s="128"/>
      <c r="LL36" s="128"/>
    </row>
    <row r="37" spans="1:781" s="126" customFormat="1" x14ac:dyDescent="0.25">
      <c r="A37" s="25">
        <v>34</v>
      </c>
      <c r="B37" s="128" t="str">
        <f t="shared" ref="B37:H37" si="34">KV5</f>
        <v>SMITHFIELD FARMLAND</v>
      </c>
      <c r="C37" s="128" t="str">
        <f t="shared" si="34"/>
        <v>Smithfield</v>
      </c>
      <c r="D37" s="185" t="str">
        <f t="shared" si="34"/>
        <v>PED. 32423457</v>
      </c>
      <c r="E37" s="263">
        <f t="shared" si="34"/>
        <v>43453</v>
      </c>
      <c r="F37" s="161">
        <f t="shared" si="34"/>
        <v>18894.86</v>
      </c>
      <c r="G37" s="119">
        <f t="shared" si="34"/>
        <v>20</v>
      </c>
      <c r="H37" s="64">
        <f t="shared" si="34"/>
        <v>18872.099999999999</v>
      </c>
      <c r="I37" s="192">
        <f t="shared" si="28"/>
        <v>22.760000000002037</v>
      </c>
      <c r="FU37" s="126">
        <v>-5</v>
      </c>
    </row>
    <row r="38" spans="1:781" s="126" customFormat="1" x14ac:dyDescent="0.25">
      <c r="A38" s="25">
        <v>35</v>
      </c>
      <c r="B38" s="128" t="str">
        <f t="shared" ref="B38:H38" si="35">LE5</f>
        <v>SMITHFIELD FARMLAND</v>
      </c>
      <c r="C38" s="128" t="str">
        <f t="shared" si="35"/>
        <v>Smithfield</v>
      </c>
      <c r="D38" s="274" t="str">
        <f t="shared" si="35"/>
        <v>PED. 32422992</v>
      </c>
      <c r="E38" s="263">
        <f t="shared" si="35"/>
        <v>43453</v>
      </c>
      <c r="F38" s="246">
        <f t="shared" si="35"/>
        <v>18945.68</v>
      </c>
      <c r="G38" s="119">
        <f t="shared" si="35"/>
        <v>20</v>
      </c>
      <c r="H38" s="246">
        <f t="shared" si="35"/>
        <v>18644.43</v>
      </c>
      <c r="I38" s="192">
        <f t="shared" si="28"/>
        <v>301.25</v>
      </c>
      <c r="BH38" s="126">
        <v>-6</v>
      </c>
    </row>
    <row r="39" spans="1:781" s="126" customFormat="1" x14ac:dyDescent="0.25">
      <c r="A39" s="25">
        <v>36</v>
      </c>
      <c r="B39" s="126" t="str">
        <f t="shared" ref="B39:H39" si="36">LN5</f>
        <v>SMITHFIELD FARMLAND</v>
      </c>
      <c r="C39" s="126" t="str">
        <f t="shared" si="36"/>
        <v>Smithfield</v>
      </c>
      <c r="D39" s="275" t="str">
        <f t="shared" si="36"/>
        <v>PED. 32431056</v>
      </c>
      <c r="E39" s="276">
        <f t="shared" si="36"/>
        <v>43453</v>
      </c>
      <c r="F39" s="259">
        <f t="shared" si="36"/>
        <v>18561.97</v>
      </c>
      <c r="G39" s="277">
        <f t="shared" si="36"/>
        <v>20</v>
      </c>
      <c r="H39" s="278">
        <f t="shared" si="36"/>
        <v>18606.36</v>
      </c>
      <c r="I39" s="192">
        <f t="shared" si="28"/>
        <v>-44.389999999999418</v>
      </c>
    </row>
    <row r="40" spans="1:781" x14ac:dyDescent="0.25">
      <c r="A40" s="25">
        <v>37</v>
      </c>
      <c r="B40" t="str">
        <f t="shared" ref="B40:H40" si="37">LW5</f>
        <v>SEABOARD FOODS</v>
      </c>
      <c r="C40" t="str">
        <f t="shared" si="37"/>
        <v>Saaboard</v>
      </c>
      <c r="D40" s="181" t="str">
        <f t="shared" si="37"/>
        <v>PED. 32461677</v>
      </c>
      <c r="E40" s="226">
        <f t="shared" si="37"/>
        <v>43454</v>
      </c>
      <c r="F40" s="6">
        <f t="shared" si="37"/>
        <v>19010.29</v>
      </c>
      <c r="G40" s="65">
        <f t="shared" si="37"/>
        <v>21</v>
      </c>
      <c r="H40" s="160">
        <f t="shared" si="37"/>
        <v>19114.8</v>
      </c>
      <c r="I40" s="18">
        <f t="shared" si="28"/>
        <v>-104.5099999999984</v>
      </c>
      <c r="AV40"/>
      <c r="FZ40" s="126"/>
      <c r="GI40"/>
      <c r="GR40" s="126"/>
    </row>
    <row r="41" spans="1:781" x14ac:dyDescent="0.25">
      <c r="A41" s="25">
        <v>38</v>
      </c>
      <c r="B41" t="str">
        <f t="shared" ref="B41:H41" si="38">MF5</f>
        <v>SEABOARD FOODS</v>
      </c>
      <c r="C41" t="str">
        <f t="shared" si="38"/>
        <v>Seaboard</v>
      </c>
      <c r="D41" s="23" t="str">
        <f t="shared" si="38"/>
        <v>PED. 32522436</v>
      </c>
      <c r="E41" s="226">
        <f t="shared" si="38"/>
        <v>43455</v>
      </c>
      <c r="F41" s="6">
        <f t="shared" si="38"/>
        <v>18642.97</v>
      </c>
      <c r="G41" s="65">
        <f t="shared" si="38"/>
        <v>21</v>
      </c>
      <c r="H41" s="160">
        <f t="shared" si="38"/>
        <v>18699.900000000001</v>
      </c>
      <c r="I41" s="18">
        <f t="shared" si="28"/>
        <v>-56.930000000000291</v>
      </c>
      <c r="AV41"/>
      <c r="FZ41" s="126"/>
      <c r="GI41"/>
      <c r="GR41" s="126"/>
      <c r="IX41">
        <v>0</v>
      </c>
      <c r="KQ41">
        <v>1</v>
      </c>
    </row>
    <row r="42" spans="1:781" x14ac:dyDescent="0.25">
      <c r="A42" s="25">
        <v>39</v>
      </c>
      <c r="B42" t="str">
        <f t="shared" ref="B42:H42" si="39">MO5</f>
        <v>SMITHFIELF FARMLAND</v>
      </c>
      <c r="C42" t="str">
        <f t="shared" si="39"/>
        <v>Smithfield</v>
      </c>
      <c r="D42" s="23" t="str">
        <f t="shared" si="39"/>
        <v>PED. 32582510</v>
      </c>
      <c r="E42" s="226">
        <f t="shared" si="39"/>
        <v>43456</v>
      </c>
      <c r="F42" s="6">
        <f t="shared" si="39"/>
        <v>17895.66</v>
      </c>
      <c r="G42" s="65">
        <f t="shared" si="39"/>
        <v>19</v>
      </c>
      <c r="H42" s="160">
        <f t="shared" si="39"/>
        <v>17995.45</v>
      </c>
      <c r="I42" s="18">
        <f t="shared" si="28"/>
        <v>-99.790000000000873</v>
      </c>
      <c r="AM42" s="80"/>
      <c r="AV42"/>
      <c r="FZ42" s="126"/>
      <c r="GI42"/>
      <c r="GR42" s="126"/>
    </row>
    <row r="43" spans="1:781" x14ac:dyDescent="0.25">
      <c r="A43" s="25">
        <v>40</v>
      </c>
      <c r="B43" t="str">
        <f t="shared" ref="B43:H43" si="40">MX5</f>
        <v>SEABOARD FOODS</v>
      </c>
      <c r="C43" t="str">
        <f t="shared" si="40"/>
        <v>Seaboard</v>
      </c>
      <c r="D43" s="23" t="str">
        <f t="shared" si="40"/>
        <v>PED. 32582936</v>
      </c>
      <c r="E43" s="226">
        <f t="shared" si="40"/>
        <v>43456</v>
      </c>
      <c r="F43" s="6">
        <f t="shared" si="40"/>
        <v>19111.86</v>
      </c>
      <c r="G43" s="65">
        <f t="shared" si="40"/>
        <v>21</v>
      </c>
      <c r="H43" s="160">
        <f t="shared" si="40"/>
        <v>19239.5</v>
      </c>
      <c r="I43" s="18">
        <f t="shared" si="28"/>
        <v>-127.63999999999942</v>
      </c>
      <c r="AM43" s="80"/>
      <c r="AV43"/>
      <c r="FZ43" s="126"/>
      <c r="GI43"/>
      <c r="GR43" s="126"/>
    </row>
    <row r="44" spans="1:781" x14ac:dyDescent="0.25">
      <c r="A44" s="25">
        <v>41</v>
      </c>
      <c r="B44" t="str">
        <f t="shared" ref="B44:H44" si="41">NG5</f>
        <v>SEABOARD FOODS</v>
      </c>
      <c r="C44" t="str">
        <f t="shared" si="41"/>
        <v>Seaboard</v>
      </c>
      <c r="D44" s="23" t="str">
        <f t="shared" si="41"/>
        <v>PED.32462128</v>
      </c>
      <c r="E44" s="226">
        <f t="shared" si="41"/>
        <v>43456</v>
      </c>
      <c r="F44" s="6">
        <f t="shared" si="41"/>
        <v>18674.21</v>
      </c>
      <c r="G44" s="65">
        <f t="shared" si="41"/>
        <v>21</v>
      </c>
      <c r="H44" s="160">
        <f t="shared" si="41"/>
        <v>18676.3</v>
      </c>
      <c r="I44" s="18">
        <f t="shared" si="28"/>
        <v>-2.0900000000001455</v>
      </c>
      <c r="FZ44" s="126"/>
      <c r="GI44"/>
      <c r="GR44" s="126"/>
    </row>
    <row r="45" spans="1:781" x14ac:dyDescent="0.25">
      <c r="A45" s="25">
        <v>42</v>
      </c>
      <c r="B45" t="str">
        <f t="shared" ref="B45:H45" si="42">NP5</f>
        <v>SEABOARD FOODS</v>
      </c>
      <c r="C45" t="str">
        <f t="shared" si="42"/>
        <v>Seaboard</v>
      </c>
      <c r="D45" s="23" t="str">
        <f t="shared" si="42"/>
        <v>PED. 32432908</v>
      </c>
      <c r="E45" s="226">
        <f t="shared" si="42"/>
        <v>43456</v>
      </c>
      <c r="F45" s="6">
        <f t="shared" si="42"/>
        <v>19485.13</v>
      </c>
      <c r="G45" s="65">
        <f t="shared" si="42"/>
        <v>214</v>
      </c>
      <c r="H45" s="160">
        <f t="shared" si="42"/>
        <v>19533.7</v>
      </c>
      <c r="I45" s="18">
        <f t="shared" si="28"/>
        <v>-48.569999999999709</v>
      </c>
      <c r="HA45" s="126"/>
    </row>
    <row r="46" spans="1:781" x14ac:dyDescent="0.25">
      <c r="A46" s="25">
        <v>43</v>
      </c>
      <c r="B46" t="str">
        <f t="shared" ref="B46:H46" si="43">NY5</f>
        <v>SMHTFIELD FRESH MEATS</v>
      </c>
      <c r="C46" t="str">
        <f t="shared" si="43"/>
        <v>Smithfield</v>
      </c>
      <c r="D46" s="23" t="str">
        <f t="shared" si="43"/>
        <v>PED. 32582508</v>
      </c>
      <c r="E46" s="226">
        <f t="shared" si="43"/>
        <v>43456</v>
      </c>
      <c r="F46" s="6">
        <f t="shared" si="43"/>
        <v>17846.62</v>
      </c>
      <c r="G46" s="65">
        <f t="shared" si="43"/>
        <v>19</v>
      </c>
      <c r="H46" s="160">
        <f t="shared" si="43"/>
        <v>17983.21</v>
      </c>
      <c r="I46" s="18">
        <f t="shared" si="28"/>
        <v>-136.59000000000015</v>
      </c>
      <c r="HA46" s="126"/>
    </row>
    <row r="47" spans="1:781" x14ac:dyDescent="0.25">
      <c r="A47" s="25">
        <v>44</v>
      </c>
      <c r="B47" t="str">
        <f t="shared" ref="B47:H47" si="44">OH5</f>
        <v>IDEAL TRADING</v>
      </c>
      <c r="C47" t="str">
        <f t="shared" si="44"/>
        <v>Seaboard</v>
      </c>
      <c r="D47" s="23" t="str">
        <f t="shared" si="44"/>
        <v>PED. 32522435</v>
      </c>
      <c r="E47" s="226">
        <f t="shared" si="44"/>
        <v>43456</v>
      </c>
      <c r="F47" s="6">
        <f t="shared" si="44"/>
        <v>18710.03</v>
      </c>
      <c r="G47" s="65">
        <f t="shared" si="44"/>
        <v>21</v>
      </c>
      <c r="H47" s="160">
        <f t="shared" si="44"/>
        <v>18844.8</v>
      </c>
      <c r="I47" s="18">
        <f t="shared" si="28"/>
        <v>-134.77000000000044</v>
      </c>
      <c r="HA47" s="126"/>
    </row>
    <row r="48" spans="1:781" x14ac:dyDescent="0.25">
      <c r="A48" s="25">
        <v>45</v>
      </c>
      <c r="B48" s="265" t="str">
        <f t="shared" ref="B48:H48" si="45">OQ5</f>
        <v>SEABOARD FOODS</v>
      </c>
      <c r="C48" s="265" t="str">
        <f t="shared" si="45"/>
        <v>Seboard</v>
      </c>
      <c r="D48" s="23" t="str">
        <f t="shared" si="45"/>
        <v>PED. 32582934</v>
      </c>
      <c r="E48" s="226">
        <f t="shared" si="45"/>
        <v>43456</v>
      </c>
      <c r="F48" s="6">
        <f t="shared" si="45"/>
        <v>18844.64</v>
      </c>
      <c r="G48" s="65">
        <f t="shared" si="45"/>
        <v>21</v>
      </c>
      <c r="H48" s="160">
        <f t="shared" si="45"/>
        <v>18904.8</v>
      </c>
      <c r="I48" s="18">
        <f t="shared" si="28"/>
        <v>-60.159999999999854</v>
      </c>
    </row>
    <row r="49" spans="1:240" x14ac:dyDescent="0.25">
      <c r="A49" s="25">
        <v>46</v>
      </c>
      <c r="B49" s="265" t="str">
        <f t="shared" ref="B49:H49" si="46">OZ5</f>
        <v>SMITHFIELD FARMLAND</v>
      </c>
      <c r="C49" s="265" t="str">
        <f t="shared" si="46"/>
        <v>Smithfield</v>
      </c>
      <c r="D49" s="23" t="str">
        <f t="shared" si="46"/>
        <v>PED.32582934</v>
      </c>
      <c r="E49" s="226">
        <f t="shared" si="46"/>
        <v>43457</v>
      </c>
      <c r="F49" s="6">
        <f t="shared" si="46"/>
        <v>17511.400000000001</v>
      </c>
      <c r="G49" s="65">
        <f t="shared" si="46"/>
        <v>19</v>
      </c>
      <c r="H49" s="160">
        <f t="shared" si="46"/>
        <v>17607.7</v>
      </c>
      <c r="I49" s="18">
        <f t="shared" si="28"/>
        <v>-96.299999999999272</v>
      </c>
    </row>
    <row r="50" spans="1:240" x14ac:dyDescent="0.25">
      <c r="A50" s="25">
        <v>47</v>
      </c>
      <c r="B50" s="265" t="str">
        <f t="shared" ref="B50:H50" si="47">PI5</f>
        <v>IDEAL TRADING</v>
      </c>
      <c r="C50" s="265" t="str">
        <f t="shared" si="47"/>
        <v>SIOUX</v>
      </c>
      <c r="D50" s="23" t="str">
        <f t="shared" si="47"/>
        <v>PED. 32617670</v>
      </c>
      <c r="E50" s="226">
        <f t="shared" si="47"/>
        <v>43460</v>
      </c>
      <c r="F50" s="6">
        <f t="shared" si="47"/>
        <v>18708.07</v>
      </c>
      <c r="G50" s="65">
        <f t="shared" si="47"/>
        <v>21</v>
      </c>
      <c r="H50" s="160">
        <f t="shared" si="47"/>
        <v>18884.5</v>
      </c>
      <c r="I50" s="18">
        <f t="shared" si="28"/>
        <v>-176.43000000000029</v>
      </c>
    </row>
    <row r="51" spans="1:240" x14ac:dyDescent="0.25">
      <c r="A51" s="25">
        <v>48</v>
      </c>
      <c r="B51" s="265" t="str">
        <f t="shared" ref="B51:H51" si="48">PR5</f>
        <v>TYSON FRESH MEATS</v>
      </c>
      <c r="C51" s="265" t="str">
        <f t="shared" si="48"/>
        <v xml:space="preserve">I B P </v>
      </c>
      <c r="D51" s="23" t="str">
        <f t="shared" si="48"/>
        <v>PED. 32617977</v>
      </c>
      <c r="E51" s="226">
        <f t="shared" si="48"/>
        <v>43460</v>
      </c>
      <c r="F51" s="6">
        <f t="shared" si="48"/>
        <v>18433.55</v>
      </c>
      <c r="G51" s="65">
        <f t="shared" si="48"/>
        <v>20</v>
      </c>
      <c r="H51" s="160">
        <f t="shared" si="48"/>
        <v>18509.169999999998</v>
      </c>
      <c r="I51" s="18">
        <f t="shared" si="28"/>
        <v>-75.619999999998981</v>
      </c>
      <c r="IF51">
        <v>1</v>
      </c>
    </row>
    <row r="52" spans="1:240" x14ac:dyDescent="0.25">
      <c r="A52" s="25">
        <v>49</v>
      </c>
      <c r="B52" s="265" t="str">
        <f t="shared" ref="B52:H52" si="49">QA5</f>
        <v>IDEAL TRADING</v>
      </c>
      <c r="C52" s="265" t="str">
        <f t="shared" si="49"/>
        <v xml:space="preserve">I B P </v>
      </c>
      <c r="D52" s="23" t="str">
        <f t="shared" si="49"/>
        <v>PED. 32617669</v>
      </c>
      <c r="E52" s="226">
        <f t="shared" si="49"/>
        <v>43460</v>
      </c>
      <c r="F52" s="6">
        <f t="shared" si="49"/>
        <v>18799.52</v>
      </c>
      <c r="G52" s="65">
        <f t="shared" si="49"/>
        <v>20</v>
      </c>
      <c r="H52" s="160">
        <f t="shared" si="49"/>
        <v>18874.73</v>
      </c>
      <c r="I52" s="18">
        <f t="shared" si="28"/>
        <v>-75.209999999999127</v>
      </c>
    </row>
    <row r="53" spans="1:240" x14ac:dyDescent="0.25">
      <c r="A53" s="25">
        <v>50</v>
      </c>
      <c r="B53" s="265" t="str">
        <f t="shared" ref="B53:H53" si="50">QJ5</f>
        <v>SEBOARD FOODS</v>
      </c>
      <c r="C53" s="265" t="str">
        <f t="shared" si="50"/>
        <v>Seaboard</v>
      </c>
      <c r="D53" s="23" t="str">
        <f t="shared" si="50"/>
        <v>PED. 32638203</v>
      </c>
      <c r="E53" s="226">
        <f t="shared" si="50"/>
        <v>43461</v>
      </c>
      <c r="F53" s="6">
        <f t="shared" si="50"/>
        <v>18906.099999999999</v>
      </c>
      <c r="G53" s="65">
        <f t="shared" si="50"/>
        <v>21</v>
      </c>
      <c r="H53" s="160">
        <f t="shared" si="50"/>
        <v>18964.8</v>
      </c>
      <c r="I53" s="18">
        <f t="shared" si="28"/>
        <v>-58.700000000000728</v>
      </c>
    </row>
    <row r="54" spans="1:240" x14ac:dyDescent="0.25">
      <c r="A54" s="25">
        <v>51</v>
      </c>
      <c r="B54" t="str">
        <f t="shared" ref="B54:H54" si="51">QS5</f>
        <v>TYSON FRESH MEATS</v>
      </c>
      <c r="C54" t="str">
        <f t="shared" si="51"/>
        <v xml:space="preserve">I B P </v>
      </c>
      <c r="D54" s="23" t="str">
        <f t="shared" si="51"/>
        <v>PED. 32638887</v>
      </c>
      <c r="E54" s="226">
        <f t="shared" si="51"/>
        <v>43461</v>
      </c>
      <c r="F54" s="6">
        <f t="shared" si="51"/>
        <v>18713.64</v>
      </c>
      <c r="G54" s="65">
        <f t="shared" si="51"/>
        <v>20</v>
      </c>
      <c r="H54" s="160">
        <f t="shared" si="51"/>
        <v>18782.68</v>
      </c>
      <c r="I54" s="18">
        <f t="shared" si="28"/>
        <v>-69.040000000000873</v>
      </c>
    </row>
    <row r="55" spans="1:240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26">
        <f t="shared" si="52"/>
        <v>0</v>
      </c>
      <c r="F55" s="6">
        <f t="shared" si="52"/>
        <v>0</v>
      </c>
      <c r="G55" s="65">
        <f t="shared" si="52"/>
        <v>0</v>
      </c>
      <c r="H55" s="160">
        <f t="shared" si="52"/>
        <v>0</v>
      </c>
      <c r="I55" s="18">
        <f t="shared" si="28"/>
        <v>0</v>
      </c>
    </row>
    <row r="56" spans="1:240" x14ac:dyDescent="0.25">
      <c r="A56" s="25">
        <v>53</v>
      </c>
      <c r="B56" t="str">
        <f>RK5</f>
        <v>SMITHFIELD FARMLAND</v>
      </c>
      <c r="C56" t="str">
        <f>RL5</f>
        <v>Smithfield</v>
      </c>
      <c r="D56" s="23" t="str">
        <f>RM5</f>
        <v>PED. 32676185</v>
      </c>
      <c r="E56" s="226">
        <f>RE5</f>
        <v>0</v>
      </c>
      <c r="F56" s="6">
        <f>RO5</f>
        <v>19082.060000000001</v>
      </c>
      <c r="G56" s="65">
        <f>RP5</f>
        <v>20</v>
      </c>
      <c r="H56" s="160">
        <f>RQ5</f>
        <v>18692.5</v>
      </c>
      <c r="I56" s="18">
        <f t="shared" si="28"/>
        <v>389.56000000000131</v>
      </c>
    </row>
    <row r="57" spans="1:240" x14ac:dyDescent="0.25">
      <c r="A57" s="25">
        <v>54</v>
      </c>
      <c r="B57" t="str">
        <f t="shared" ref="B57:H57" si="53">RT5</f>
        <v>SMITHFIELD FARMLAND</v>
      </c>
      <c r="C57" t="str">
        <f t="shared" si="53"/>
        <v>Smithfield</v>
      </c>
      <c r="D57" s="23" t="str">
        <f t="shared" si="53"/>
        <v>PED. 326976184</v>
      </c>
      <c r="E57" s="226">
        <f t="shared" si="53"/>
        <v>43462</v>
      </c>
      <c r="F57" s="6">
        <f t="shared" si="53"/>
        <v>19067</v>
      </c>
      <c r="G57" s="266">
        <f t="shared" si="53"/>
        <v>20</v>
      </c>
      <c r="H57" s="160">
        <f t="shared" si="53"/>
        <v>19067</v>
      </c>
      <c r="I57" s="18">
        <f t="shared" si="28"/>
        <v>0</v>
      </c>
    </row>
    <row r="58" spans="1:240" x14ac:dyDescent="0.25">
      <c r="A58" s="25">
        <v>55</v>
      </c>
      <c r="B58" t="str">
        <f t="shared" ref="B58:H58" si="54">SC5</f>
        <v>SMITHFIELD FRESH MEATS</v>
      </c>
      <c r="C58" t="str">
        <f t="shared" si="54"/>
        <v>Smithfield</v>
      </c>
      <c r="D58" s="23" t="str">
        <f t="shared" si="54"/>
        <v>PED. 32731838</v>
      </c>
      <c r="E58" s="226">
        <f t="shared" si="54"/>
        <v>43463</v>
      </c>
      <c r="F58" s="6">
        <f t="shared" si="54"/>
        <v>18696.03</v>
      </c>
      <c r="G58" s="65">
        <f t="shared" si="54"/>
        <v>19</v>
      </c>
      <c r="H58" s="160">
        <f t="shared" si="54"/>
        <v>17897.509999999998</v>
      </c>
      <c r="I58" s="18">
        <f t="shared" si="28"/>
        <v>798.52000000000044</v>
      </c>
    </row>
    <row r="59" spans="1:240" x14ac:dyDescent="0.25">
      <c r="A59" s="25">
        <v>56</v>
      </c>
      <c r="B59" t="str">
        <f t="shared" ref="B59:H59" si="55">SL5</f>
        <v>ADAMS INT MORELIA</v>
      </c>
      <c r="C59" t="str">
        <f t="shared" si="55"/>
        <v>Hormel</v>
      </c>
      <c r="D59" s="23">
        <f t="shared" si="55"/>
        <v>35.5</v>
      </c>
      <c r="E59" s="226">
        <f t="shared" si="55"/>
        <v>43463</v>
      </c>
      <c r="F59" s="6">
        <f t="shared" si="55"/>
        <v>8422.99</v>
      </c>
      <c r="G59" s="65">
        <f t="shared" si="55"/>
        <v>10</v>
      </c>
      <c r="H59" s="160">
        <f t="shared" si="55"/>
        <v>8425.61</v>
      </c>
      <c r="I59" s="18">
        <f t="shared" si="28"/>
        <v>-2.6200000000008004</v>
      </c>
    </row>
    <row r="60" spans="1:240" x14ac:dyDescent="0.25">
      <c r="A60" s="25">
        <v>57</v>
      </c>
      <c r="B60" t="str">
        <f t="shared" ref="B60:H60" si="56">SU5</f>
        <v>SEABOARD FOODS</v>
      </c>
      <c r="C60" t="str">
        <f t="shared" si="56"/>
        <v>Seaboard</v>
      </c>
      <c r="D60" s="23" t="str">
        <f t="shared" si="56"/>
        <v>PED. 32725914</v>
      </c>
      <c r="E60" s="226">
        <f t="shared" si="56"/>
        <v>43463</v>
      </c>
      <c r="F60" s="6">
        <f t="shared" si="56"/>
        <v>19005.07</v>
      </c>
      <c r="G60" s="65">
        <f t="shared" si="56"/>
        <v>21</v>
      </c>
      <c r="H60" s="160">
        <f t="shared" si="56"/>
        <v>19107.599999999999</v>
      </c>
      <c r="I60" s="18">
        <f t="shared" si="28"/>
        <v>-102.52999999999884</v>
      </c>
    </row>
    <row r="61" spans="1:240" x14ac:dyDescent="0.25">
      <c r="A61" s="25">
        <v>58</v>
      </c>
      <c r="B61" t="str">
        <f>TD5</f>
        <v>SMITHFIELD FARMLAND</v>
      </c>
      <c r="C61" t="str">
        <f t="shared" ref="C61:H61" si="57">TE5</f>
        <v>Smithfield</v>
      </c>
      <c r="D61" s="23" t="str">
        <f t="shared" si="57"/>
        <v>PED. 32725159</v>
      </c>
      <c r="E61" s="226">
        <f t="shared" si="57"/>
        <v>43464</v>
      </c>
      <c r="F61" s="6">
        <f t="shared" si="57"/>
        <v>18948</v>
      </c>
      <c r="G61" s="65">
        <f t="shared" si="57"/>
        <v>20</v>
      </c>
      <c r="H61" s="384">
        <f t="shared" si="57"/>
        <v>18941.939999999999</v>
      </c>
      <c r="I61" s="18">
        <f t="shared" si="28"/>
        <v>6.0600000000013097</v>
      </c>
    </row>
    <row r="62" spans="1:240" x14ac:dyDescent="0.25">
      <c r="A62" s="25">
        <v>59</v>
      </c>
      <c r="B62" s="385" t="str">
        <f t="shared" ref="B62:H62" si="58">TM5</f>
        <v>SEABOARD FOODS</v>
      </c>
      <c r="C62" s="385" t="str">
        <f t="shared" si="58"/>
        <v>Seaboard</v>
      </c>
      <c r="D62" s="386" t="str">
        <f t="shared" si="58"/>
        <v>PED. 32731255</v>
      </c>
      <c r="E62" s="387">
        <f t="shared" si="58"/>
        <v>43464</v>
      </c>
      <c r="F62" s="388">
        <f t="shared" si="58"/>
        <v>19060.189999999999</v>
      </c>
      <c r="G62" s="389">
        <f t="shared" si="58"/>
        <v>21</v>
      </c>
      <c r="H62" s="384">
        <f t="shared" si="58"/>
        <v>19119.900000000001</v>
      </c>
      <c r="I62" s="18">
        <f t="shared" si="28"/>
        <v>-59.710000000002765</v>
      </c>
    </row>
    <row r="63" spans="1:240" x14ac:dyDescent="0.25">
      <c r="A63" s="25">
        <v>60</v>
      </c>
      <c r="B63" s="385">
        <f>TV5</f>
        <v>0</v>
      </c>
      <c r="C63" s="385">
        <f>TW5</f>
        <v>0</v>
      </c>
      <c r="D63" s="386">
        <f>TX5</f>
        <v>0</v>
      </c>
      <c r="E63" s="387">
        <f>TY5</f>
        <v>0</v>
      </c>
      <c r="F63" s="388">
        <f>TZ5</f>
        <v>0</v>
      </c>
      <c r="G63" s="390">
        <f>UJ5</f>
        <v>0</v>
      </c>
      <c r="H63" s="384">
        <f>UB5</f>
        <v>0</v>
      </c>
      <c r="I63" s="18">
        <f t="shared" si="28"/>
        <v>0</v>
      </c>
    </row>
    <row r="64" spans="1:240" x14ac:dyDescent="0.25">
      <c r="A64" s="25">
        <v>61</v>
      </c>
      <c r="B64" s="385">
        <f t="shared" ref="B64:H64" si="59">UE5</f>
        <v>0</v>
      </c>
      <c r="C64" s="386">
        <f t="shared" si="59"/>
        <v>0</v>
      </c>
      <c r="D64" s="386">
        <f t="shared" si="59"/>
        <v>0</v>
      </c>
      <c r="E64" s="387">
        <f t="shared" si="59"/>
        <v>0</v>
      </c>
      <c r="F64" s="388">
        <f t="shared" si="59"/>
        <v>0</v>
      </c>
      <c r="G64" s="390">
        <f t="shared" si="59"/>
        <v>0</v>
      </c>
      <c r="H64" s="384">
        <f t="shared" si="59"/>
        <v>0</v>
      </c>
      <c r="I64" s="18">
        <f t="shared" si="28"/>
        <v>0</v>
      </c>
    </row>
    <row r="65" spans="1:9" x14ac:dyDescent="0.25">
      <c r="A65" s="25">
        <v>62</v>
      </c>
      <c r="B65" s="385">
        <f t="shared" ref="B65:H65" si="60">UN5</f>
        <v>0</v>
      </c>
      <c r="C65" s="385">
        <f t="shared" si="60"/>
        <v>0</v>
      </c>
      <c r="D65" s="386">
        <f t="shared" si="60"/>
        <v>0</v>
      </c>
      <c r="E65" s="387">
        <f t="shared" si="60"/>
        <v>0</v>
      </c>
      <c r="F65" s="388">
        <f t="shared" si="60"/>
        <v>0</v>
      </c>
      <c r="G65" s="390">
        <f t="shared" si="60"/>
        <v>0</v>
      </c>
      <c r="H65" s="384">
        <f t="shared" si="60"/>
        <v>0</v>
      </c>
      <c r="I65" s="18">
        <f t="shared" si="28"/>
        <v>0</v>
      </c>
    </row>
    <row r="66" spans="1:9" x14ac:dyDescent="0.25">
      <c r="A66" s="25">
        <v>63</v>
      </c>
      <c r="B66" s="385">
        <f t="shared" ref="B66:H66" si="61">UW5</f>
        <v>0</v>
      </c>
      <c r="C66" s="385">
        <f t="shared" si="61"/>
        <v>0</v>
      </c>
      <c r="D66" s="386">
        <f t="shared" si="61"/>
        <v>0</v>
      </c>
      <c r="E66" s="387">
        <f t="shared" si="61"/>
        <v>0</v>
      </c>
      <c r="F66" s="388">
        <f t="shared" si="61"/>
        <v>0</v>
      </c>
      <c r="G66" s="390">
        <f t="shared" si="61"/>
        <v>0</v>
      </c>
      <c r="H66" s="384">
        <f t="shared" si="61"/>
        <v>0</v>
      </c>
      <c r="I66" s="18">
        <f t="shared" si="28"/>
        <v>0</v>
      </c>
    </row>
    <row r="67" spans="1:9" x14ac:dyDescent="0.25">
      <c r="A67" s="25">
        <v>64</v>
      </c>
      <c r="B67" s="385">
        <f t="shared" ref="B67:H67" si="62">VF5</f>
        <v>0</v>
      </c>
      <c r="C67" s="385">
        <f t="shared" si="62"/>
        <v>0</v>
      </c>
      <c r="D67" s="386">
        <f t="shared" si="62"/>
        <v>0</v>
      </c>
      <c r="E67" s="387">
        <f t="shared" si="62"/>
        <v>0</v>
      </c>
      <c r="F67" s="388">
        <f t="shared" si="62"/>
        <v>0</v>
      </c>
      <c r="G67" s="390">
        <f t="shared" si="62"/>
        <v>0</v>
      </c>
      <c r="H67" s="384">
        <f t="shared" si="62"/>
        <v>0</v>
      </c>
      <c r="I67" s="18">
        <f t="shared" si="28"/>
        <v>0</v>
      </c>
    </row>
    <row r="68" spans="1:9" x14ac:dyDescent="0.25">
      <c r="A68" s="25">
        <v>65</v>
      </c>
      <c r="B68" s="385">
        <f t="shared" ref="B68:H68" si="63">VO5</f>
        <v>0</v>
      </c>
      <c r="C68" s="385">
        <f t="shared" si="63"/>
        <v>0</v>
      </c>
      <c r="D68" s="386">
        <f t="shared" si="63"/>
        <v>0</v>
      </c>
      <c r="E68" s="387">
        <f t="shared" si="63"/>
        <v>0</v>
      </c>
      <c r="F68" s="388">
        <f t="shared" si="63"/>
        <v>0</v>
      </c>
      <c r="G68" s="390">
        <f t="shared" si="63"/>
        <v>0</v>
      </c>
      <c r="H68" s="384">
        <f t="shared" si="63"/>
        <v>0</v>
      </c>
      <c r="I68" s="18">
        <f t="shared" si="28"/>
        <v>0</v>
      </c>
    </row>
    <row r="69" spans="1:9" x14ac:dyDescent="0.25">
      <c r="A69" s="25">
        <v>66</v>
      </c>
      <c r="B69" s="385">
        <f t="shared" ref="B69:H69" si="64">VX5</f>
        <v>0</v>
      </c>
      <c r="C69" s="385">
        <f t="shared" si="64"/>
        <v>0</v>
      </c>
      <c r="D69" s="386">
        <f t="shared" si="64"/>
        <v>0</v>
      </c>
      <c r="E69" s="387">
        <f t="shared" si="64"/>
        <v>0</v>
      </c>
      <c r="F69" s="388">
        <f t="shared" si="64"/>
        <v>0</v>
      </c>
      <c r="G69" s="390">
        <f t="shared" si="64"/>
        <v>0</v>
      </c>
      <c r="H69" s="384">
        <f t="shared" si="64"/>
        <v>0</v>
      </c>
      <c r="I69" s="18">
        <f t="shared" si="28"/>
        <v>0</v>
      </c>
    </row>
    <row r="70" spans="1:9" x14ac:dyDescent="0.25">
      <c r="A70" s="25">
        <v>67</v>
      </c>
      <c r="B70" s="385">
        <f t="shared" ref="B70:H70" si="65">WG5</f>
        <v>0</v>
      </c>
      <c r="C70" s="385">
        <f t="shared" si="65"/>
        <v>0</v>
      </c>
      <c r="D70" s="386">
        <f t="shared" si="65"/>
        <v>0</v>
      </c>
      <c r="E70" s="387">
        <f t="shared" si="65"/>
        <v>0</v>
      </c>
      <c r="F70" s="388">
        <f t="shared" si="65"/>
        <v>0</v>
      </c>
      <c r="G70" s="390">
        <f t="shared" si="65"/>
        <v>0</v>
      </c>
      <c r="H70" s="384">
        <f t="shared" si="65"/>
        <v>0</v>
      </c>
      <c r="I70" s="18">
        <f t="shared" si="28"/>
        <v>0</v>
      </c>
    </row>
    <row r="71" spans="1:9" x14ac:dyDescent="0.25">
      <c r="A71" s="25">
        <v>68</v>
      </c>
      <c r="B71" s="392">
        <f t="shared" ref="B71:H71" si="66">WP5</f>
        <v>0</v>
      </c>
      <c r="C71" s="385">
        <f t="shared" si="66"/>
        <v>0</v>
      </c>
      <c r="D71" s="386">
        <f t="shared" si="66"/>
        <v>0</v>
      </c>
      <c r="E71" s="387">
        <f t="shared" si="66"/>
        <v>0</v>
      </c>
      <c r="F71" s="388">
        <f t="shared" si="66"/>
        <v>0</v>
      </c>
      <c r="G71" s="390">
        <f t="shared" si="66"/>
        <v>0</v>
      </c>
      <c r="H71" s="384">
        <f t="shared" si="66"/>
        <v>0</v>
      </c>
      <c r="I71" s="18">
        <f t="shared" si="28"/>
        <v>0</v>
      </c>
    </row>
    <row r="72" spans="1:9" x14ac:dyDescent="0.25">
      <c r="A72" s="25">
        <v>69</v>
      </c>
      <c r="B72" s="385">
        <f t="shared" ref="B72:H72" si="67">WY5</f>
        <v>0</v>
      </c>
      <c r="C72" s="385">
        <f t="shared" si="67"/>
        <v>0</v>
      </c>
      <c r="D72" s="386">
        <f t="shared" si="67"/>
        <v>0</v>
      </c>
      <c r="E72" s="387">
        <f t="shared" si="67"/>
        <v>0</v>
      </c>
      <c r="F72" s="388">
        <f t="shared" si="67"/>
        <v>0</v>
      </c>
      <c r="G72" s="390">
        <f t="shared" si="67"/>
        <v>0</v>
      </c>
      <c r="H72" s="384">
        <f t="shared" si="67"/>
        <v>0</v>
      </c>
      <c r="I72" s="18">
        <f t="shared" si="28"/>
        <v>0</v>
      </c>
    </row>
    <row r="73" spans="1:9" x14ac:dyDescent="0.25">
      <c r="A73" s="25">
        <v>70</v>
      </c>
      <c r="B73" s="385">
        <f t="shared" ref="B73:H73" si="68">XH5</f>
        <v>0</v>
      </c>
      <c r="C73" s="385">
        <f t="shared" si="68"/>
        <v>0</v>
      </c>
      <c r="D73" s="386">
        <f t="shared" si="68"/>
        <v>0</v>
      </c>
      <c r="E73" s="387">
        <f t="shared" si="68"/>
        <v>0</v>
      </c>
      <c r="F73" s="388">
        <f t="shared" si="68"/>
        <v>0</v>
      </c>
      <c r="G73" s="390">
        <f t="shared" si="68"/>
        <v>0</v>
      </c>
      <c r="H73" s="384">
        <f t="shared" si="68"/>
        <v>0</v>
      </c>
      <c r="I73" s="18">
        <f t="shared" si="28"/>
        <v>0</v>
      </c>
    </row>
    <row r="74" spans="1:9" x14ac:dyDescent="0.25">
      <c r="A74" s="267">
        <v>71</v>
      </c>
      <c r="B74" s="385">
        <f t="shared" ref="B74:H74" si="69">XQ5</f>
        <v>0</v>
      </c>
      <c r="C74" s="385">
        <f t="shared" si="69"/>
        <v>0</v>
      </c>
      <c r="D74" s="386">
        <f t="shared" si="69"/>
        <v>0</v>
      </c>
      <c r="E74" s="387">
        <f t="shared" si="69"/>
        <v>0</v>
      </c>
      <c r="F74" s="388">
        <f t="shared" si="69"/>
        <v>0</v>
      </c>
      <c r="G74" s="390">
        <f t="shared" si="69"/>
        <v>0</v>
      </c>
      <c r="H74" s="384">
        <f t="shared" si="69"/>
        <v>0</v>
      </c>
      <c r="I74" s="18">
        <f t="shared" si="28"/>
        <v>0</v>
      </c>
    </row>
    <row r="75" spans="1:9" x14ac:dyDescent="0.25">
      <c r="A75" s="25">
        <v>72</v>
      </c>
      <c r="B75" s="385">
        <f t="shared" ref="B75:H75" si="70">XZ5</f>
        <v>0</v>
      </c>
      <c r="C75" s="385">
        <f t="shared" si="70"/>
        <v>0</v>
      </c>
      <c r="D75" s="386">
        <f t="shared" si="70"/>
        <v>0</v>
      </c>
      <c r="E75" s="387">
        <f t="shared" si="70"/>
        <v>0</v>
      </c>
      <c r="F75" s="388">
        <f t="shared" si="70"/>
        <v>0</v>
      </c>
      <c r="G75" s="390">
        <f t="shared" si="70"/>
        <v>0</v>
      </c>
      <c r="H75" s="384">
        <f t="shared" si="70"/>
        <v>0</v>
      </c>
      <c r="I75" s="18">
        <f t="shared" si="28"/>
        <v>0</v>
      </c>
    </row>
    <row r="76" spans="1:9" x14ac:dyDescent="0.25">
      <c r="A76" s="267">
        <v>73</v>
      </c>
      <c r="B76" s="385">
        <f t="shared" ref="B76:G76" si="71">YI5</f>
        <v>0</v>
      </c>
      <c r="C76" s="385">
        <f t="shared" si="71"/>
        <v>0</v>
      </c>
      <c r="D76" s="386">
        <f t="shared" si="71"/>
        <v>0</v>
      </c>
      <c r="E76" s="387">
        <f t="shared" si="71"/>
        <v>0</v>
      </c>
      <c r="F76" s="388">
        <f t="shared" si="71"/>
        <v>0</v>
      </c>
      <c r="G76" s="390">
        <f t="shared" si="71"/>
        <v>0</v>
      </c>
      <c r="H76" s="384">
        <f>YX5</f>
        <v>0</v>
      </c>
      <c r="I76" s="18">
        <f t="shared" si="28"/>
        <v>0</v>
      </c>
    </row>
    <row r="77" spans="1:9" x14ac:dyDescent="0.25">
      <c r="A77" s="25">
        <v>74</v>
      </c>
      <c r="B77" s="385">
        <f t="shared" ref="B77:H77" si="72">YR5</f>
        <v>0</v>
      </c>
      <c r="C77" s="385">
        <f t="shared" si="72"/>
        <v>0</v>
      </c>
      <c r="D77" s="386">
        <f t="shared" si="72"/>
        <v>0</v>
      </c>
      <c r="E77" s="387">
        <f t="shared" si="72"/>
        <v>0</v>
      </c>
      <c r="F77" s="388">
        <f t="shared" si="72"/>
        <v>0</v>
      </c>
      <c r="G77" s="390">
        <f t="shared" si="72"/>
        <v>0</v>
      </c>
      <c r="H77" s="384">
        <f t="shared" si="72"/>
        <v>0</v>
      </c>
      <c r="I77" s="18">
        <f t="shared" si="28"/>
        <v>0</v>
      </c>
    </row>
    <row r="78" spans="1:9" x14ac:dyDescent="0.25">
      <c r="A78" s="267">
        <v>75</v>
      </c>
      <c r="B78" s="385">
        <f t="shared" ref="B78:H78" si="73">ZA5</f>
        <v>0</v>
      </c>
      <c r="C78" s="385">
        <f t="shared" si="73"/>
        <v>0</v>
      </c>
      <c r="D78" s="386">
        <f t="shared" si="73"/>
        <v>0</v>
      </c>
      <c r="E78" s="387">
        <f t="shared" si="73"/>
        <v>0</v>
      </c>
      <c r="F78" s="388">
        <f t="shared" si="73"/>
        <v>0</v>
      </c>
      <c r="G78" s="390">
        <f t="shared" si="73"/>
        <v>0</v>
      </c>
      <c r="H78" s="384">
        <f t="shared" si="73"/>
        <v>0</v>
      </c>
      <c r="I78" s="18">
        <f t="shared" si="28"/>
        <v>0</v>
      </c>
    </row>
    <row r="79" spans="1:9" x14ac:dyDescent="0.25">
      <c r="A79" s="25">
        <v>76</v>
      </c>
      <c r="B79" s="385">
        <f>ZJ5</f>
        <v>0</v>
      </c>
      <c r="C79" s="385">
        <f>ZK5</f>
        <v>0</v>
      </c>
      <c r="D79" s="386">
        <f>ZL5</f>
        <v>0</v>
      </c>
      <c r="E79" s="387">
        <f>ZM5</f>
        <v>0</v>
      </c>
      <c r="F79" s="388">
        <f>ZN5</f>
        <v>0</v>
      </c>
      <c r="G79" s="390">
        <f>ZX5</f>
        <v>0</v>
      </c>
      <c r="H79" s="384">
        <f>ZP5</f>
        <v>0</v>
      </c>
      <c r="I79" s="18">
        <f t="shared" si="28"/>
        <v>0</v>
      </c>
    </row>
    <row r="80" spans="1:9" x14ac:dyDescent="0.25">
      <c r="A80" s="267">
        <v>77</v>
      </c>
      <c r="B80" s="16">
        <f t="shared" ref="B80:H80" si="74">ZS5</f>
        <v>0</v>
      </c>
      <c r="C80" s="16">
        <f t="shared" si="74"/>
        <v>0</v>
      </c>
      <c r="D80" s="24">
        <f t="shared" si="74"/>
        <v>0</v>
      </c>
      <c r="E80" s="155">
        <f t="shared" si="74"/>
        <v>0</v>
      </c>
      <c r="F80" s="18">
        <f t="shared" si="74"/>
        <v>0</v>
      </c>
      <c r="G80" s="15">
        <f t="shared" si="74"/>
        <v>0</v>
      </c>
      <c r="H80" s="63">
        <f t="shared" si="74"/>
        <v>0</v>
      </c>
      <c r="I80" s="18">
        <f t="shared" si="28"/>
        <v>0</v>
      </c>
    </row>
    <row r="81" spans="1:9" x14ac:dyDescent="0.25">
      <c r="A81" s="25">
        <v>78</v>
      </c>
      <c r="B81" s="385">
        <f t="shared" ref="B81:H81" si="75">AAB5</f>
        <v>0</v>
      </c>
      <c r="C81" s="385">
        <f t="shared" si="75"/>
        <v>0</v>
      </c>
      <c r="D81" s="386">
        <f t="shared" si="75"/>
        <v>0</v>
      </c>
      <c r="E81" s="387">
        <f t="shared" si="75"/>
        <v>0</v>
      </c>
      <c r="F81" s="388">
        <f t="shared" si="75"/>
        <v>0</v>
      </c>
      <c r="G81" s="390">
        <f t="shared" si="75"/>
        <v>0</v>
      </c>
      <c r="H81" s="384">
        <f t="shared" si="75"/>
        <v>0</v>
      </c>
      <c r="I81" s="18">
        <f t="shared" si="28"/>
        <v>0</v>
      </c>
    </row>
    <row r="82" spans="1:9" x14ac:dyDescent="0.25">
      <c r="A82" s="267">
        <v>79</v>
      </c>
      <c r="B82" s="385">
        <f>AAK5</f>
        <v>0</v>
      </c>
      <c r="C82" s="385">
        <f>AAL5</f>
        <v>0</v>
      </c>
      <c r="D82" s="386">
        <f>AAM5</f>
        <v>0</v>
      </c>
      <c r="E82" s="387">
        <f>AAE5</f>
        <v>0</v>
      </c>
      <c r="F82" s="388">
        <f>AAO5</f>
        <v>0</v>
      </c>
      <c r="G82" s="393">
        <f>AAP5</f>
        <v>0</v>
      </c>
      <c r="H82" s="384">
        <f>AAQ5</f>
        <v>0</v>
      </c>
      <c r="I82" s="18">
        <f t="shared" si="28"/>
        <v>0</v>
      </c>
    </row>
    <row r="83" spans="1:9" x14ac:dyDescent="0.25">
      <c r="A83" s="25">
        <v>80</v>
      </c>
      <c r="B83" s="385">
        <f t="shared" ref="B83:H83" si="76">AAT5</f>
        <v>0</v>
      </c>
      <c r="C83" s="385">
        <f t="shared" si="76"/>
        <v>0</v>
      </c>
      <c r="D83" s="386">
        <f t="shared" si="76"/>
        <v>0</v>
      </c>
      <c r="E83" s="387">
        <f t="shared" si="76"/>
        <v>0</v>
      </c>
      <c r="F83" s="388">
        <f t="shared" si="76"/>
        <v>0</v>
      </c>
      <c r="G83" s="390">
        <f t="shared" si="76"/>
        <v>0</v>
      </c>
      <c r="H83" s="384">
        <f t="shared" si="76"/>
        <v>0</v>
      </c>
      <c r="I83" s="18">
        <f t="shared" si="28"/>
        <v>0</v>
      </c>
    </row>
    <row r="84" spans="1:9" x14ac:dyDescent="0.25">
      <c r="A84" s="267">
        <v>81</v>
      </c>
      <c r="B84" s="385">
        <f>ABC5</f>
        <v>0</v>
      </c>
      <c r="C84" s="385">
        <f>ABD5</f>
        <v>0</v>
      </c>
      <c r="D84" s="386">
        <f>ABE5</f>
        <v>0</v>
      </c>
      <c r="E84" s="387">
        <f>ABF5</f>
        <v>0</v>
      </c>
      <c r="F84" s="388">
        <f>ABG5</f>
        <v>0</v>
      </c>
      <c r="G84" s="393">
        <f>ABZ5</f>
        <v>0</v>
      </c>
      <c r="H84" s="384">
        <f>ABI5</f>
        <v>0</v>
      </c>
      <c r="I84" s="18">
        <f t="shared" si="28"/>
        <v>0</v>
      </c>
    </row>
    <row r="85" spans="1:9" x14ac:dyDescent="0.25">
      <c r="A85" s="25">
        <v>82</v>
      </c>
      <c r="B85" s="385">
        <f>ABL5</f>
        <v>0</v>
      </c>
      <c r="C85" s="385">
        <f>ABM5</f>
        <v>0</v>
      </c>
      <c r="D85" s="386">
        <f>ABN5</f>
        <v>0</v>
      </c>
      <c r="E85" s="387">
        <f>ABO5</f>
        <v>0</v>
      </c>
      <c r="F85" s="388">
        <f>ACH5</f>
        <v>0</v>
      </c>
      <c r="G85" s="393">
        <f>ABQ5</f>
        <v>0</v>
      </c>
      <c r="H85" s="384">
        <f>ABR5</f>
        <v>0</v>
      </c>
      <c r="I85" s="18">
        <f t="shared" si="28"/>
        <v>0</v>
      </c>
    </row>
    <row r="86" spans="1:9" x14ac:dyDescent="0.25">
      <c r="A86" s="267">
        <v>83</v>
      </c>
      <c r="B86" s="385">
        <f t="shared" ref="B86:H86" si="77">ABU5</f>
        <v>0</v>
      </c>
      <c r="C86" s="385">
        <f t="shared" si="77"/>
        <v>0</v>
      </c>
      <c r="D86" s="386">
        <f t="shared" si="77"/>
        <v>0</v>
      </c>
      <c r="E86" s="387">
        <f t="shared" si="77"/>
        <v>0</v>
      </c>
      <c r="F86" s="388">
        <f t="shared" si="77"/>
        <v>0</v>
      </c>
      <c r="G86" s="390">
        <f t="shared" si="77"/>
        <v>0</v>
      </c>
      <c r="H86" s="384">
        <f t="shared" si="77"/>
        <v>0</v>
      </c>
      <c r="I86" s="18">
        <f t="shared" si="28"/>
        <v>0</v>
      </c>
    </row>
    <row r="87" spans="1:9" x14ac:dyDescent="0.25">
      <c r="A87" s="25">
        <v>84</v>
      </c>
      <c r="B87" s="385">
        <f t="shared" ref="B87:H87" si="78">ACD5</f>
        <v>0</v>
      </c>
      <c r="C87" s="385">
        <f t="shared" si="78"/>
        <v>0</v>
      </c>
      <c r="D87" s="386">
        <f t="shared" si="78"/>
        <v>0</v>
      </c>
      <c r="E87" s="387">
        <f t="shared" si="78"/>
        <v>0</v>
      </c>
      <c r="F87" s="388">
        <f t="shared" si="78"/>
        <v>0</v>
      </c>
      <c r="G87" s="390">
        <f t="shared" si="78"/>
        <v>0</v>
      </c>
      <c r="H87" s="384">
        <f t="shared" si="78"/>
        <v>0</v>
      </c>
      <c r="I87" s="388">
        <f t="shared" si="28"/>
        <v>0</v>
      </c>
    </row>
    <row r="88" spans="1:9" x14ac:dyDescent="0.25">
      <c r="A88" s="267">
        <v>85</v>
      </c>
      <c r="B88">
        <f t="shared" ref="B88:H88" si="79">ACM5</f>
        <v>0</v>
      </c>
      <c r="C88">
        <f t="shared" si="79"/>
        <v>0</v>
      </c>
      <c r="D88" s="23">
        <f t="shared" si="79"/>
        <v>0</v>
      </c>
      <c r="E88" s="226">
        <f t="shared" si="79"/>
        <v>0</v>
      </c>
      <c r="F88" s="6">
        <f t="shared" si="79"/>
        <v>0</v>
      </c>
      <c r="G88" s="65">
        <f t="shared" si="79"/>
        <v>0</v>
      </c>
      <c r="H88" s="160">
        <f t="shared" si="79"/>
        <v>0</v>
      </c>
      <c r="I88" s="18">
        <f t="shared" si="28"/>
        <v>0</v>
      </c>
    </row>
    <row r="89" spans="1:9" x14ac:dyDescent="0.25"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</sheetData>
  <mergeCells count="157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JL5:JL6"/>
    <mergeCell ref="AU1:BA1"/>
    <mergeCell ref="DO1:DU1"/>
    <mergeCell ref="DX1:ED1"/>
    <mergeCell ref="CE1:CK1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69" t="s">
        <v>61</v>
      </c>
      <c r="B1" s="869"/>
      <c r="C1" s="869"/>
      <c r="D1" s="869"/>
      <c r="E1" s="869"/>
      <c r="F1" s="869"/>
      <c r="G1" s="86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230"/>
      <c r="D4" s="230"/>
      <c r="E4" s="363">
        <v>577.35</v>
      </c>
      <c r="F4" s="363">
        <v>200</v>
      </c>
      <c r="G4" s="449"/>
      <c r="H4" s="371"/>
    </row>
    <row r="5" spans="1:9" x14ac:dyDescent="0.25">
      <c r="B5" s="15"/>
      <c r="C5" s="126"/>
      <c r="D5" s="126"/>
      <c r="E5" s="450">
        <v>846.65</v>
      </c>
      <c r="F5" s="277">
        <v>35</v>
      </c>
      <c r="G5" s="325"/>
      <c r="H5" s="16"/>
    </row>
    <row r="6" spans="1:9" ht="15" customHeight="1" x14ac:dyDescent="0.25">
      <c r="A6" s="872" t="s">
        <v>45</v>
      </c>
      <c r="B6" s="119" t="s">
        <v>46</v>
      </c>
      <c r="C6" s="24">
        <v>62</v>
      </c>
      <c r="D6" s="323">
        <v>42318</v>
      </c>
      <c r="E6" s="279">
        <v>1946.5</v>
      </c>
      <c r="F6" s="240">
        <v>351</v>
      </c>
      <c r="G6" s="192">
        <f>F34</f>
        <v>2663.74</v>
      </c>
      <c r="H6" s="268">
        <f>E6-G6+E7+E5+E4</f>
        <v>2919.46</v>
      </c>
    </row>
    <row r="7" spans="1:9" ht="30" thickBot="1" x14ac:dyDescent="0.3">
      <c r="A7" s="872"/>
      <c r="B7" s="448" t="s">
        <v>47</v>
      </c>
      <c r="C7" s="24">
        <v>70</v>
      </c>
      <c r="D7" s="323">
        <v>42320</v>
      </c>
      <c r="E7" s="279">
        <v>2212.6999999999998</v>
      </c>
      <c r="F7" s="240">
        <v>301</v>
      </c>
      <c r="G7" s="16"/>
    </row>
    <row r="8" spans="1:9" ht="16.5" thickTop="1" thickBot="1" x14ac:dyDescent="0.3">
      <c r="A8" t="s">
        <v>22</v>
      </c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7">
        <v>96.16</v>
      </c>
      <c r="E9" s="168">
        <v>42320</v>
      </c>
      <c r="F9" s="109">
        <f t="shared" ref="F9:F20" si="0">D9</f>
        <v>96.16</v>
      </c>
      <c r="G9" s="110" t="s">
        <v>48</v>
      </c>
      <c r="H9" s="111">
        <v>62</v>
      </c>
    </row>
    <row r="10" spans="1:9" x14ac:dyDescent="0.25">
      <c r="B10" s="2"/>
      <c r="C10" s="20">
        <v>50</v>
      </c>
      <c r="D10" s="377">
        <v>301.77999999999997</v>
      </c>
      <c r="E10" s="168">
        <v>42325</v>
      </c>
      <c r="F10" s="109">
        <f t="shared" si="0"/>
        <v>301.77999999999997</v>
      </c>
      <c r="G10" s="110" t="s">
        <v>49</v>
      </c>
      <c r="H10" s="111">
        <v>70</v>
      </c>
    </row>
    <row r="11" spans="1:9" x14ac:dyDescent="0.25">
      <c r="A11" s="89" t="s">
        <v>32</v>
      </c>
      <c r="B11" s="2"/>
      <c r="C11" s="20">
        <v>1</v>
      </c>
      <c r="D11" s="377">
        <v>5.7</v>
      </c>
      <c r="E11" s="168">
        <v>42328</v>
      </c>
      <c r="F11" s="109">
        <f t="shared" si="0"/>
        <v>5.7</v>
      </c>
      <c r="G11" s="110" t="s">
        <v>50</v>
      </c>
      <c r="H11" s="111">
        <v>70</v>
      </c>
    </row>
    <row r="12" spans="1:9" x14ac:dyDescent="0.25">
      <c r="A12" s="159"/>
      <c r="B12" s="2"/>
      <c r="C12" s="20">
        <v>5</v>
      </c>
      <c r="D12" s="377">
        <v>71.08</v>
      </c>
      <c r="E12" s="168">
        <v>42328</v>
      </c>
      <c r="F12" s="109">
        <f t="shared" si="0"/>
        <v>71.08</v>
      </c>
      <c r="G12" s="110" t="s">
        <v>50</v>
      </c>
      <c r="H12" s="111">
        <v>70</v>
      </c>
      <c r="I12" t="s">
        <v>52</v>
      </c>
    </row>
    <row r="13" spans="1:9" x14ac:dyDescent="0.25">
      <c r="A13" s="16"/>
      <c r="B13" s="2"/>
      <c r="C13" s="20">
        <v>2</v>
      </c>
      <c r="D13" s="377">
        <v>24.73</v>
      </c>
      <c r="E13" s="168">
        <v>42334</v>
      </c>
      <c r="F13" s="109">
        <f t="shared" si="0"/>
        <v>24.73</v>
      </c>
      <c r="G13" s="110" t="s">
        <v>51</v>
      </c>
      <c r="H13" s="111">
        <v>70</v>
      </c>
    </row>
    <row r="14" spans="1:9" x14ac:dyDescent="0.25">
      <c r="A14" s="141" t="s">
        <v>33</v>
      </c>
      <c r="B14" s="2"/>
      <c r="C14" s="20">
        <v>5</v>
      </c>
      <c r="D14" s="377">
        <v>26.56</v>
      </c>
      <c r="E14" s="168">
        <v>42334</v>
      </c>
      <c r="F14" s="109">
        <f t="shared" si="0"/>
        <v>26.56</v>
      </c>
      <c r="G14" s="110" t="s">
        <v>51</v>
      </c>
      <c r="H14" s="111">
        <v>70</v>
      </c>
    </row>
    <row r="15" spans="1:9" x14ac:dyDescent="0.25">
      <c r="A15" s="59"/>
      <c r="B15" s="2"/>
      <c r="C15" s="20">
        <v>10</v>
      </c>
      <c r="D15" s="377">
        <v>54.44</v>
      </c>
      <c r="E15" s="168">
        <v>42338</v>
      </c>
      <c r="F15" s="109">
        <f t="shared" si="0"/>
        <v>54.44</v>
      </c>
      <c r="G15" s="110" t="s">
        <v>53</v>
      </c>
      <c r="H15" s="111">
        <v>70</v>
      </c>
    </row>
    <row r="16" spans="1:9" x14ac:dyDescent="0.25">
      <c r="A16" s="59"/>
      <c r="B16" s="2"/>
      <c r="C16" s="20">
        <v>116</v>
      </c>
      <c r="D16" s="327">
        <v>629.05999999999995</v>
      </c>
      <c r="E16" s="328">
        <v>42349</v>
      </c>
      <c r="F16" s="95">
        <f t="shared" si="0"/>
        <v>629.05999999999995</v>
      </c>
      <c r="G16" s="106" t="s">
        <v>54</v>
      </c>
      <c r="H16" s="96">
        <v>70</v>
      </c>
    </row>
    <row r="17" spans="1:8" x14ac:dyDescent="0.25">
      <c r="A17" s="7"/>
      <c r="B17" s="2"/>
      <c r="C17" s="20">
        <v>50</v>
      </c>
      <c r="D17" s="327">
        <v>267.66000000000003</v>
      </c>
      <c r="E17" s="328">
        <v>42352</v>
      </c>
      <c r="F17" s="95">
        <f t="shared" si="0"/>
        <v>267.66000000000003</v>
      </c>
      <c r="G17" s="106" t="s">
        <v>55</v>
      </c>
      <c r="H17" s="96">
        <v>70</v>
      </c>
    </row>
    <row r="18" spans="1:8" x14ac:dyDescent="0.25">
      <c r="A18" s="7"/>
      <c r="B18" s="2"/>
      <c r="C18" s="20">
        <v>10</v>
      </c>
      <c r="D18" s="327">
        <v>54.04</v>
      </c>
      <c r="E18" s="328">
        <v>42353</v>
      </c>
      <c r="F18" s="95">
        <f t="shared" si="0"/>
        <v>54.04</v>
      </c>
      <c r="G18" s="106" t="s">
        <v>56</v>
      </c>
      <c r="H18" s="96">
        <v>70</v>
      </c>
    </row>
    <row r="19" spans="1:8" x14ac:dyDescent="0.25">
      <c r="A19" s="7"/>
      <c r="B19" s="2"/>
      <c r="C19" s="20">
        <v>30</v>
      </c>
      <c r="D19" s="95">
        <v>164.86</v>
      </c>
      <c r="E19" s="328">
        <v>42355</v>
      </c>
      <c r="F19" s="95">
        <f t="shared" si="0"/>
        <v>164.86</v>
      </c>
      <c r="G19" s="106" t="s">
        <v>57</v>
      </c>
      <c r="H19" s="96">
        <v>70</v>
      </c>
    </row>
    <row r="20" spans="1:8" x14ac:dyDescent="0.25">
      <c r="A20" s="7"/>
      <c r="B20" s="2"/>
      <c r="C20" s="20">
        <v>10</v>
      </c>
      <c r="D20" s="95">
        <v>54.16</v>
      </c>
      <c r="E20" s="328">
        <v>42357</v>
      </c>
      <c r="F20" s="95">
        <f t="shared" si="0"/>
        <v>54.16</v>
      </c>
      <c r="G20" s="106" t="s">
        <v>58</v>
      </c>
      <c r="H20" s="96">
        <v>70</v>
      </c>
    </row>
    <row r="21" spans="1:8" x14ac:dyDescent="0.25">
      <c r="A21" s="7"/>
      <c r="B21" s="2"/>
      <c r="C21" s="20">
        <v>59</v>
      </c>
      <c r="D21" s="327">
        <v>322.2</v>
      </c>
      <c r="E21" s="328">
        <v>42360</v>
      </c>
      <c r="F21" s="95">
        <f t="shared" ref="F21:F32" si="1">D21</f>
        <v>322.2</v>
      </c>
      <c r="G21" s="106" t="s">
        <v>59</v>
      </c>
      <c r="H21" s="96">
        <v>70</v>
      </c>
    </row>
    <row r="22" spans="1:8" x14ac:dyDescent="0.25">
      <c r="A22" s="7"/>
      <c r="B22" s="2"/>
      <c r="C22" s="20"/>
      <c r="D22" s="327"/>
      <c r="E22" s="328"/>
      <c r="F22" s="95">
        <f t="shared" si="1"/>
        <v>0</v>
      </c>
      <c r="G22" s="106"/>
      <c r="H22" s="96"/>
    </row>
    <row r="23" spans="1:8" x14ac:dyDescent="0.25">
      <c r="A23" s="7"/>
      <c r="B23" s="2"/>
      <c r="C23" s="20">
        <v>100</v>
      </c>
      <c r="D23" s="327">
        <v>591.30999999999995</v>
      </c>
      <c r="E23" s="328" t="s">
        <v>62</v>
      </c>
      <c r="F23" s="95">
        <f t="shared" si="1"/>
        <v>591.30999999999995</v>
      </c>
      <c r="G23" s="106"/>
      <c r="H23" s="96"/>
    </row>
    <row r="24" spans="1:8" x14ac:dyDescent="0.25">
      <c r="A24" s="7"/>
      <c r="B24" s="2"/>
      <c r="C24" s="20"/>
      <c r="D24" s="327"/>
      <c r="E24" s="328"/>
      <c r="F24" s="95">
        <f t="shared" si="1"/>
        <v>0</v>
      </c>
      <c r="G24" s="106"/>
      <c r="H24" s="96"/>
    </row>
    <row r="25" spans="1:8" x14ac:dyDescent="0.25">
      <c r="A25" s="7"/>
      <c r="B25" s="2"/>
      <c r="C25" s="20"/>
      <c r="D25" s="95"/>
      <c r="E25" s="328"/>
      <c r="F25" s="95">
        <f t="shared" si="1"/>
        <v>0</v>
      </c>
      <c r="G25" s="106"/>
      <c r="H25" s="96"/>
    </row>
    <row r="26" spans="1:8" x14ac:dyDescent="0.25">
      <c r="A26" s="7"/>
      <c r="B26" s="2"/>
      <c r="C26" s="20"/>
      <c r="D26" s="95"/>
      <c r="E26" s="328"/>
      <c r="F26" s="95">
        <f t="shared" si="1"/>
        <v>0</v>
      </c>
      <c r="G26" s="106"/>
      <c r="H26" s="96"/>
    </row>
    <row r="27" spans="1:8" x14ac:dyDescent="0.25">
      <c r="A27" s="7"/>
      <c r="B27" s="2"/>
      <c r="C27" s="20"/>
      <c r="D27" s="95"/>
      <c r="E27" s="328"/>
      <c r="F27" s="95">
        <f t="shared" si="1"/>
        <v>0</v>
      </c>
      <c r="G27" s="106"/>
      <c r="H27" s="96"/>
    </row>
    <row r="28" spans="1:8" x14ac:dyDescent="0.25">
      <c r="A28" s="7"/>
      <c r="B28" s="2"/>
      <c r="C28" s="20"/>
      <c r="D28" s="95"/>
      <c r="E28" s="328"/>
      <c r="F28" s="95">
        <f t="shared" si="1"/>
        <v>0</v>
      </c>
      <c r="G28" s="106"/>
      <c r="H28" s="96"/>
    </row>
    <row r="29" spans="1:8" x14ac:dyDescent="0.25">
      <c r="A29" s="7"/>
      <c r="B29" s="2"/>
      <c r="C29" s="20"/>
      <c r="D29" s="95"/>
      <c r="E29" s="328"/>
      <c r="F29" s="95">
        <f t="shared" si="1"/>
        <v>0</v>
      </c>
      <c r="G29" s="106"/>
      <c r="H29" s="96"/>
    </row>
    <row r="30" spans="1:8" x14ac:dyDescent="0.25">
      <c r="A30" s="7"/>
      <c r="B30" s="2"/>
      <c r="C30" s="20"/>
      <c r="D30" s="95"/>
      <c r="E30" s="328"/>
      <c r="F30" s="95">
        <f t="shared" si="1"/>
        <v>0</v>
      </c>
      <c r="G30" s="106"/>
      <c r="H30" s="96"/>
    </row>
    <row r="31" spans="1:8" x14ac:dyDescent="0.25">
      <c r="A31" s="7"/>
      <c r="B31" s="2"/>
      <c r="C31" s="20"/>
      <c r="D31" s="95"/>
      <c r="E31" s="328"/>
      <c r="F31" s="95">
        <f t="shared" si="1"/>
        <v>0</v>
      </c>
      <c r="G31" s="106"/>
      <c r="H31" s="96"/>
    </row>
    <row r="32" spans="1:8" x14ac:dyDescent="0.25">
      <c r="A32" s="7"/>
      <c r="B32" s="2"/>
      <c r="C32" s="20"/>
      <c r="D32" s="95"/>
      <c r="E32" s="328"/>
      <c r="F32" s="95">
        <f t="shared" si="1"/>
        <v>0</v>
      </c>
      <c r="G32" s="106"/>
      <c r="H32" s="96"/>
    </row>
    <row r="33" spans="1:8" ht="15.75" thickBot="1" x14ac:dyDescent="0.3">
      <c r="A33" s="7"/>
      <c r="B33" s="4"/>
      <c r="C33" s="48"/>
      <c r="D33" s="187">
        <v>0</v>
      </c>
      <c r="E33" s="399"/>
      <c r="F33" s="187"/>
      <c r="G33" s="188"/>
      <c r="H33" s="381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67" t="s">
        <v>19</v>
      </c>
      <c r="D37" s="868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topLeftCell="B1"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0" customWidth="1"/>
  </cols>
  <sheetData>
    <row r="1" spans="1:9" ht="40.5" x14ac:dyDescent="0.55000000000000004">
      <c r="A1" s="864" t="s">
        <v>250</v>
      </c>
      <c r="B1" s="864"/>
      <c r="C1" s="864"/>
      <c r="D1" s="864"/>
      <c r="E1" s="864"/>
      <c r="F1" s="864"/>
      <c r="G1" s="86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563"/>
      <c r="D4" s="230"/>
      <c r="E4" s="363"/>
      <c r="F4" s="363"/>
      <c r="G4" s="449"/>
      <c r="H4" s="371"/>
    </row>
    <row r="5" spans="1:9" ht="15" customHeight="1" x14ac:dyDescent="0.25">
      <c r="A5" s="874" t="s">
        <v>254</v>
      </c>
      <c r="B5" s="875" t="s">
        <v>403</v>
      </c>
      <c r="C5" s="318">
        <v>19.5</v>
      </c>
      <c r="D5" s="150">
        <v>43456</v>
      </c>
      <c r="E5" s="646">
        <v>678.09</v>
      </c>
      <c r="F5" s="119">
        <v>34</v>
      </c>
      <c r="G5" s="802"/>
      <c r="H5" s="16"/>
    </row>
    <row r="6" spans="1:9" ht="15.75" x14ac:dyDescent="0.25">
      <c r="A6" s="874"/>
      <c r="B6" s="875"/>
      <c r="C6" s="374"/>
      <c r="D6" s="323"/>
      <c r="E6" s="279"/>
      <c r="F6" s="240"/>
      <c r="G6" s="803">
        <f>F63</f>
        <v>678.09</v>
      </c>
      <c r="H6" s="268">
        <f>E6-G6+E7+E5+E4</f>
        <v>0</v>
      </c>
    </row>
    <row r="7" spans="1:9" ht="15.75" customHeight="1" thickBot="1" x14ac:dyDescent="0.3">
      <c r="A7" s="452"/>
      <c r="B7" s="644"/>
      <c r="C7" s="24"/>
      <c r="D7" s="323"/>
      <c r="E7" s="279"/>
      <c r="F7" s="240"/>
      <c r="G7" s="792"/>
      <c r="I7" s="873" t="s">
        <v>19</v>
      </c>
    </row>
    <row r="8" spans="1:9" ht="16.5" thickTop="1" thickBot="1" x14ac:dyDescent="0.3">
      <c r="A8" t="s">
        <v>22</v>
      </c>
      <c r="B8" s="511" t="s">
        <v>63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73"/>
    </row>
    <row r="9" spans="1:9" ht="15.75" thickTop="1" x14ac:dyDescent="0.25">
      <c r="A9" s="7"/>
      <c r="B9" s="509">
        <f>F6-C9+F5</f>
        <v>0</v>
      </c>
      <c r="C9" s="20">
        <v>34</v>
      </c>
      <c r="D9" s="506">
        <v>678.09</v>
      </c>
      <c r="E9" s="168">
        <v>43462</v>
      </c>
      <c r="F9" s="506">
        <f t="shared" ref="F9" si="0">D9</f>
        <v>678.09</v>
      </c>
      <c r="G9" s="110" t="s">
        <v>643</v>
      </c>
      <c r="H9" s="111">
        <v>20.5</v>
      </c>
      <c r="I9" s="18">
        <f>E6+E5-F9</f>
        <v>0</v>
      </c>
    </row>
    <row r="10" spans="1:9" x14ac:dyDescent="0.25">
      <c r="B10" s="509">
        <f>B9-C10</f>
        <v>0</v>
      </c>
      <c r="C10" s="20"/>
      <c r="D10" s="506"/>
      <c r="E10" s="168"/>
      <c r="F10" s="506">
        <f t="shared" ref="F10:F55" si="1">D10</f>
        <v>0</v>
      </c>
      <c r="G10" s="110"/>
      <c r="H10" s="111"/>
      <c r="I10" s="18">
        <f>I9-F10</f>
        <v>0</v>
      </c>
    </row>
    <row r="11" spans="1:9" x14ac:dyDescent="0.25">
      <c r="A11" s="89" t="s">
        <v>32</v>
      </c>
      <c r="B11" s="509">
        <f t="shared" ref="B11:B60" si="2">B10-C11</f>
        <v>0</v>
      </c>
      <c r="C11" s="20"/>
      <c r="D11" s="506"/>
      <c r="E11" s="168"/>
      <c r="F11" s="506">
        <f t="shared" si="1"/>
        <v>0</v>
      </c>
      <c r="G11" s="110"/>
      <c r="H11" s="111"/>
      <c r="I11" s="18">
        <f t="shared" ref="I11:I60" si="3">I10-F11</f>
        <v>0</v>
      </c>
    </row>
    <row r="12" spans="1:9" x14ac:dyDescent="0.25">
      <c r="A12" s="159"/>
      <c r="B12" s="509">
        <f t="shared" si="2"/>
        <v>0</v>
      </c>
      <c r="C12" s="20"/>
      <c r="D12" s="506"/>
      <c r="E12" s="168"/>
      <c r="F12" s="506">
        <f t="shared" si="1"/>
        <v>0</v>
      </c>
      <c r="G12" s="110"/>
      <c r="H12" s="111"/>
      <c r="I12" s="18">
        <f t="shared" si="3"/>
        <v>0</v>
      </c>
    </row>
    <row r="13" spans="1:9" x14ac:dyDescent="0.25">
      <c r="A13" s="16"/>
      <c r="B13" s="509">
        <f t="shared" si="2"/>
        <v>0</v>
      </c>
      <c r="C13" s="20"/>
      <c r="D13" s="506"/>
      <c r="E13" s="168"/>
      <c r="F13" s="506">
        <f t="shared" si="1"/>
        <v>0</v>
      </c>
      <c r="G13" s="110"/>
      <c r="H13" s="111"/>
      <c r="I13" s="18">
        <f t="shared" si="3"/>
        <v>0</v>
      </c>
    </row>
    <row r="14" spans="1:9" x14ac:dyDescent="0.25">
      <c r="A14" s="141" t="s">
        <v>33</v>
      </c>
      <c r="B14" s="509">
        <f t="shared" si="2"/>
        <v>0</v>
      </c>
      <c r="C14" s="20"/>
      <c r="D14" s="583"/>
      <c r="E14" s="168"/>
      <c r="F14" s="506">
        <f t="shared" si="1"/>
        <v>0</v>
      </c>
      <c r="G14" s="110"/>
      <c r="H14" s="111"/>
      <c r="I14" s="18">
        <f t="shared" si="3"/>
        <v>0</v>
      </c>
    </row>
    <row r="15" spans="1:9" x14ac:dyDescent="0.25">
      <c r="A15" s="59"/>
      <c r="B15" s="509">
        <f t="shared" si="2"/>
        <v>0</v>
      </c>
      <c r="C15" s="20"/>
      <c r="D15" s="583"/>
      <c r="E15" s="168"/>
      <c r="F15" s="506">
        <f t="shared" si="1"/>
        <v>0</v>
      </c>
      <c r="G15" s="110"/>
      <c r="H15" s="111"/>
      <c r="I15" s="18">
        <f t="shared" si="3"/>
        <v>0</v>
      </c>
    </row>
    <row r="16" spans="1:9" x14ac:dyDescent="0.25">
      <c r="A16" s="59"/>
      <c r="B16" s="509">
        <f t="shared" si="2"/>
        <v>0</v>
      </c>
      <c r="C16" s="20"/>
      <c r="D16" s="583"/>
      <c r="E16" s="168"/>
      <c r="F16" s="506">
        <f t="shared" si="1"/>
        <v>0</v>
      </c>
      <c r="G16" s="110"/>
      <c r="H16" s="111"/>
      <c r="I16" s="6">
        <f t="shared" si="3"/>
        <v>0</v>
      </c>
    </row>
    <row r="17" spans="1:9" x14ac:dyDescent="0.25">
      <c r="A17" s="7"/>
      <c r="B17" s="509">
        <f t="shared" si="2"/>
        <v>0</v>
      </c>
      <c r="C17" s="20"/>
      <c r="D17" s="583"/>
      <c r="E17" s="168"/>
      <c r="F17" s="506">
        <f t="shared" si="1"/>
        <v>0</v>
      </c>
      <c r="G17" s="110"/>
      <c r="H17" s="111"/>
      <c r="I17" s="6">
        <f t="shared" si="3"/>
        <v>0</v>
      </c>
    </row>
    <row r="18" spans="1:9" x14ac:dyDescent="0.25">
      <c r="A18" s="7"/>
      <c r="B18" s="509">
        <f t="shared" si="2"/>
        <v>0</v>
      </c>
      <c r="C18" s="20"/>
      <c r="D18" s="583"/>
      <c r="E18" s="168"/>
      <c r="F18" s="506">
        <f t="shared" si="1"/>
        <v>0</v>
      </c>
      <c r="G18" s="110"/>
      <c r="H18" s="111"/>
      <c r="I18" s="6">
        <f t="shared" si="3"/>
        <v>0</v>
      </c>
    </row>
    <row r="19" spans="1:9" x14ac:dyDescent="0.25">
      <c r="A19" s="7"/>
      <c r="B19" s="509">
        <f t="shared" si="2"/>
        <v>0</v>
      </c>
      <c r="C19" s="20"/>
      <c r="D19" s="506"/>
      <c r="E19" s="168"/>
      <c r="F19" s="506">
        <f t="shared" si="1"/>
        <v>0</v>
      </c>
      <c r="G19" s="110"/>
      <c r="H19" s="111"/>
      <c r="I19" s="6">
        <f t="shared" si="3"/>
        <v>0</v>
      </c>
    </row>
    <row r="20" spans="1:9" x14ac:dyDescent="0.25">
      <c r="A20" s="7"/>
      <c r="B20" s="509">
        <f t="shared" si="2"/>
        <v>0</v>
      </c>
      <c r="C20" s="20"/>
      <c r="D20" s="506"/>
      <c r="E20" s="168"/>
      <c r="F20" s="506">
        <f t="shared" si="1"/>
        <v>0</v>
      </c>
      <c r="G20" s="110"/>
      <c r="H20" s="111"/>
      <c r="I20" s="6">
        <f t="shared" si="3"/>
        <v>0</v>
      </c>
    </row>
    <row r="21" spans="1:9" x14ac:dyDescent="0.25">
      <c r="A21" s="7"/>
      <c r="B21" s="509">
        <f t="shared" si="2"/>
        <v>0</v>
      </c>
      <c r="C21" s="20"/>
      <c r="D21" s="583"/>
      <c r="E21" s="168"/>
      <c r="F21" s="506">
        <f t="shared" si="1"/>
        <v>0</v>
      </c>
      <c r="G21" s="110"/>
      <c r="H21" s="111"/>
      <c r="I21" s="6">
        <f t="shared" si="3"/>
        <v>0</v>
      </c>
    </row>
    <row r="22" spans="1:9" x14ac:dyDescent="0.25">
      <c r="A22" s="7"/>
      <c r="B22" s="509">
        <f t="shared" si="2"/>
        <v>0</v>
      </c>
      <c r="C22" s="20"/>
      <c r="D22" s="583"/>
      <c r="E22" s="168"/>
      <c r="F22" s="506">
        <f t="shared" si="1"/>
        <v>0</v>
      </c>
      <c r="G22" s="110"/>
      <c r="H22" s="111"/>
      <c r="I22" s="6">
        <f t="shared" si="3"/>
        <v>0</v>
      </c>
    </row>
    <row r="23" spans="1:9" x14ac:dyDescent="0.25">
      <c r="A23" s="7"/>
      <c r="B23" s="509">
        <f t="shared" si="2"/>
        <v>0</v>
      </c>
      <c r="C23" s="20"/>
      <c r="D23" s="583"/>
      <c r="E23" s="168"/>
      <c r="F23" s="506">
        <f t="shared" si="1"/>
        <v>0</v>
      </c>
      <c r="G23" s="110"/>
      <c r="H23" s="111"/>
      <c r="I23" s="6">
        <f t="shared" si="3"/>
        <v>0</v>
      </c>
    </row>
    <row r="24" spans="1:9" x14ac:dyDescent="0.25">
      <c r="A24" s="7"/>
      <c r="B24" s="509">
        <f t="shared" si="2"/>
        <v>0</v>
      </c>
      <c r="C24" s="20"/>
      <c r="D24" s="583"/>
      <c r="E24" s="168"/>
      <c r="F24" s="506">
        <f t="shared" si="1"/>
        <v>0</v>
      </c>
      <c r="G24" s="110"/>
      <c r="H24" s="111"/>
      <c r="I24" s="6">
        <f t="shared" si="3"/>
        <v>0</v>
      </c>
    </row>
    <row r="25" spans="1:9" x14ac:dyDescent="0.25">
      <c r="A25" s="7"/>
      <c r="B25" s="509">
        <f t="shared" si="2"/>
        <v>0</v>
      </c>
      <c r="C25" s="20"/>
      <c r="D25" s="506"/>
      <c r="E25" s="168"/>
      <c r="F25" s="506">
        <f t="shared" si="1"/>
        <v>0</v>
      </c>
      <c r="G25" s="110"/>
      <c r="H25" s="111"/>
      <c r="I25" s="6">
        <f t="shared" si="3"/>
        <v>0</v>
      </c>
    </row>
    <row r="26" spans="1:9" x14ac:dyDescent="0.25">
      <c r="A26" s="7"/>
      <c r="B26" s="509">
        <f t="shared" si="2"/>
        <v>0</v>
      </c>
      <c r="C26" s="20"/>
      <c r="D26" s="506"/>
      <c r="E26" s="168"/>
      <c r="F26" s="506">
        <f t="shared" si="1"/>
        <v>0</v>
      </c>
      <c r="G26" s="110"/>
      <c r="H26" s="111"/>
      <c r="I26" s="6">
        <f t="shared" si="3"/>
        <v>0</v>
      </c>
    </row>
    <row r="27" spans="1:9" x14ac:dyDescent="0.25">
      <c r="A27" s="7"/>
      <c r="B27" s="509">
        <f t="shared" si="2"/>
        <v>0</v>
      </c>
      <c r="C27" s="20"/>
      <c r="D27" s="506"/>
      <c r="E27" s="168"/>
      <c r="F27" s="506">
        <f t="shared" si="1"/>
        <v>0</v>
      </c>
      <c r="G27" s="110"/>
      <c r="H27" s="111"/>
      <c r="I27" s="6">
        <f t="shared" si="3"/>
        <v>0</v>
      </c>
    </row>
    <row r="28" spans="1:9" x14ac:dyDescent="0.25">
      <c r="A28" s="7"/>
      <c r="B28" s="509">
        <f t="shared" si="2"/>
        <v>0</v>
      </c>
      <c r="C28" s="20"/>
      <c r="D28" s="506"/>
      <c r="E28" s="168"/>
      <c r="F28" s="506">
        <f t="shared" si="1"/>
        <v>0</v>
      </c>
      <c r="G28" s="110"/>
      <c r="H28" s="111"/>
      <c r="I28" s="6">
        <f t="shared" si="3"/>
        <v>0</v>
      </c>
    </row>
    <row r="29" spans="1:9" x14ac:dyDescent="0.25">
      <c r="A29" s="7"/>
      <c r="B29" s="509">
        <f t="shared" si="2"/>
        <v>0</v>
      </c>
      <c r="C29" s="20"/>
      <c r="D29" s="506"/>
      <c r="E29" s="168"/>
      <c r="F29" s="506">
        <f t="shared" si="1"/>
        <v>0</v>
      </c>
      <c r="G29" s="110"/>
      <c r="H29" s="111"/>
      <c r="I29" s="6">
        <f t="shared" si="3"/>
        <v>0</v>
      </c>
    </row>
    <row r="30" spans="1:9" x14ac:dyDescent="0.25">
      <c r="A30" s="7"/>
      <c r="B30" s="509">
        <f t="shared" si="2"/>
        <v>0</v>
      </c>
      <c r="C30" s="20"/>
      <c r="D30" s="506"/>
      <c r="E30" s="168"/>
      <c r="F30" s="506">
        <f t="shared" si="1"/>
        <v>0</v>
      </c>
      <c r="G30" s="110"/>
      <c r="H30" s="111"/>
      <c r="I30" s="6">
        <f t="shared" si="3"/>
        <v>0</v>
      </c>
    </row>
    <row r="31" spans="1:9" x14ac:dyDescent="0.25">
      <c r="A31" s="7"/>
      <c r="B31" s="509">
        <f t="shared" si="2"/>
        <v>0</v>
      </c>
      <c r="C31" s="20"/>
      <c r="D31" s="506"/>
      <c r="E31" s="168"/>
      <c r="F31" s="506">
        <f t="shared" si="1"/>
        <v>0</v>
      </c>
      <c r="G31" s="110"/>
      <c r="H31" s="111"/>
      <c r="I31" s="6">
        <f t="shared" si="3"/>
        <v>0</v>
      </c>
    </row>
    <row r="32" spans="1:9" x14ac:dyDescent="0.25">
      <c r="A32" s="7"/>
      <c r="B32" s="509">
        <f t="shared" si="2"/>
        <v>0</v>
      </c>
      <c r="C32" s="20"/>
      <c r="D32" s="506"/>
      <c r="E32" s="168"/>
      <c r="F32" s="506">
        <f t="shared" si="1"/>
        <v>0</v>
      </c>
      <c r="G32" s="110"/>
      <c r="H32" s="111"/>
      <c r="I32" s="6">
        <f t="shared" si="3"/>
        <v>0</v>
      </c>
    </row>
    <row r="33" spans="1:9" x14ac:dyDescent="0.25">
      <c r="A33" s="7"/>
      <c r="B33" s="509">
        <f t="shared" si="2"/>
        <v>0</v>
      </c>
      <c r="C33" s="20"/>
      <c r="D33" s="506"/>
      <c r="E33" s="168"/>
      <c r="F33" s="506">
        <f t="shared" si="1"/>
        <v>0</v>
      </c>
      <c r="G33" s="110"/>
      <c r="H33" s="111"/>
      <c r="I33" s="6">
        <f t="shared" si="3"/>
        <v>0</v>
      </c>
    </row>
    <row r="34" spans="1:9" x14ac:dyDescent="0.25">
      <c r="A34" s="7"/>
      <c r="B34" s="509">
        <f t="shared" si="2"/>
        <v>0</v>
      </c>
      <c r="C34" s="20"/>
      <c r="D34" s="506"/>
      <c r="E34" s="168"/>
      <c r="F34" s="506">
        <f t="shared" si="1"/>
        <v>0</v>
      </c>
      <c r="G34" s="110"/>
      <c r="H34" s="111"/>
      <c r="I34" s="6">
        <f t="shared" si="3"/>
        <v>0</v>
      </c>
    </row>
    <row r="35" spans="1:9" x14ac:dyDescent="0.25">
      <c r="A35" s="7"/>
      <c r="B35" s="509">
        <f t="shared" si="2"/>
        <v>0</v>
      </c>
      <c r="C35" s="20"/>
      <c r="D35" s="506"/>
      <c r="E35" s="168"/>
      <c r="F35" s="506">
        <f t="shared" si="1"/>
        <v>0</v>
      </c>
      <c r="G35" s="110"/>
      <c r="H35" s="111"/>
      <c r="I35" s="6">
        <f t="shared" si="3"/>
        <v>0</v>
      </c>
    </row>
    <row r="36" spans="1:9" x14ac:dyDescent="0.25">
      <c r="A36" s="7"/>
      <c r="B36" s="509">
        <f t="shared" si="2"/>
        <v>0</v>
      </c>
      <c r="C36" s="20"/>
      <c r="D36" s="506"/>
      <c r="E36" s="168"/>
      <c r="F36" s="506">
        <f t="shared" si="1"/>
        <v>0</v>
      </c>
      <c r="G36" s="110"/>
      <c r="H36" s="111"/>
      <c r="I36" s="6">
        <f t="shared" si="3"/>
        <v>0</v>
      </c>
    </row>
    <row r="37" spans="1:9" x14ac:dyDescent="0.25">
      <c r="A37" s="7"/>
      <c r="B37" s="509">
        <f t="shared" si="2"/>
        <v>0</v>
      </c>
      <c r="C37" s="20"/>
      <c r="D37" s="506"/>
      <c r="E37" s="168"/>
      <c r="F37" s="506">
        <f t="shared" si="1"/>
        <v>0</v>
      </c>
      <c r="G37" s="110"/>
      <c r="H37" s="111"/>
      <c r="I37" s="6">
        <f t="shared" si="3"/>
        <v>0</v>
      </c>
    </row>
    <row r="38" spans="1:9" x14ac:dyDescent="0.25">
      <c r="A38" s="7"/>
      <c r="B38" s="509">
        <f t="shared" si="2"/>
        <v>0</v>
      </c>
      <c r="C38" s="20"/>
      <c r="D38" s="506"/>
      <c r="E38" s="168"/>
      <c r="F38" s="506">
        <f t="shared" si="1"/>
        <v>0</v>
      </c>
      <c r="G38" s="110"/>
      <c r="H38" s="111"/>
      <c r="I38" s="6">
        <f t="shared" si="3"/>
        <v>0</v>
      </c>
    </row>
    <row r="39" spans="1:9" x14ac:dyDescent="0.25">
      <c r="A39" s="7"/>
      <c r="B39" s="509">
        <f t="shared" si="2"/>
        <v>0</v>
      </c>
      <c r="C39" s="20"/>
      <c r="D39" s="506"/>
      <c r="E39" s="168"/>
      <c r="F39" s="506">
        <f t="shared" si="1"/>
        <v>0</v>
      </c>
      <c r="G39" s="110"/>
      <c r="H39" s="111"/>
      <c r="I39" s="6">
        <f t="shared" si="3"/>
        <v>0</v>
      </c>
    </row>
    <row r="40" spans="1:9" x14ac:dyDescent="0.25">
      <c r="A40" s="7"/>
      <c r="B40" s="509">
        <f t="shared" si="2"/>
        <v>0</v>
      </c>
      <c r="C40" s="20"/>
      <c r="D40" s="506"/>
      <c r="E40" s="168"/>
      <c r="F40" s="506">
        <f t="shared" si="1"/>
        <v>0</v>
      </c>
      <c r="G40" s="110"/>
      <c r="H40" s="111"/>
      <c r="I40" s="6">
        <f t="shared" si="3"/>
        <v>0</v>
      </c>
    </row>
    <row r="41" spans="1:9" x14ac:dyDescent="0.25">
      <c r="A41" s="7"/>
      <c r="B41" s="509">
        <f t="shared" si="2"/>
        <v>0</v>
      </c>
      <c r="C41" s="20"/>
      <c r="D41" s="506"/>
      <c r="E41" s="168"/>
      <c r="F41" s="506">
        <f t="shared" si="1"/>
        <v>0</v>
      </c>
      <c r="G41" s="110"/>
      <c r="H41" s="111"/>
      <c r="I41" s="6">
        <f t="shared" si="3"/>
        <v>0</v>
      </c>
    </row>
    <row r="42" spans="1:9" x14ac:dyDescent="0.25">
      <c r="A42" s="7"/>
      <c r="B42" s="509">
        <f t="shared" si="2"/>
        <v>0</v>
      </c>
      <c r="C42" s="20"/>
      <c r="D42" s="506"/>
      <c r="E42" s="168"/>
      <c r="F42" s="506">
        <f t="shared" si="1"/>
        <v>0</v>
      </c>
      <c r="G42" s="110"/>
      <c r="H42" s="111"/>
      <c r="I42" s="6">
        <f t="shared" si="3"/>
        <v>0</v>
      </c>
    </row>
    <row r="43" spans="1:9" x14ac:dyDescent="0.25">
      <c r="A43" s="7"/>
      <c r="B43" s="509">
        <f t="shared" si="2"/>
        <v>0</v>
      </c>
      <c r="C43" s="20"/>
      <c r="D43" s="506"/>
      <c r="E43" s="168"/>
      <c r="F43" s="506">
        <f t="shared" si="1"/>
        <v>0</v>
      </c>
      <c r="G43" s="110"/>
      <c r="H43" s="111"/>
      <c r="I43" s="6">
        <f t="shared" si="3"/>
        <v>0</v>
      </c>
    </row>
    <row r="44" spans="1:9" x14ac:dyDescent="0.25">
      <c r="A44" s="7"/>
      <c r="B44" s="509">
        <f t="shared" si="2"/>
        <v>0</v>
      </c>
      <c r="C44" s="20"/>
      <c r="D44" s="506"/>
      <c r="E44" s="168"/>
      <c r="F44" s="506">
        <f t="shared" si="1"/>
        <v>0</v>
      </c>
      <c r="G44" s="110"/>
      <c r="H44" s="111"/>
      <c r="I44" s="6">
        <f t="shared" si="3"/>
        <v>0</v>
      </c>
    </row>
    <row r="45" spans="1:9" x14ac:dyDescent="0.25">
      <c r="A45" s="7"/>
      <c r="B45" s="509">
        <f t="shared" si="2"/>
        <v>0</v>
      </c>
      <c r="C45" s="20"/>
      <c r="D45" s="506"/>
      <c r="E45" s="168"/>
      <c r="F45" s="506">
        <f t="shared" si="1"/>
        <v>0</v>
      </c>
      <c r="G45" s="110"/>
      <c r="H45" s="111"/>
      <c r="I45" s="6">
        <f t="shared" si="3"/>
        <v>0</v>
      </c>
    </row>
    <row r="46" spans="1:9" x14ac:dyDescent="0.25">
      <c r="A46" s="7"/>
      <c r="B46" s="509">
        <f t="shared" si="2"/>
        <v>0</v>
      </c>
      <c r="C46" s="20"/>
      <c r="D46" s="506"/>
      <c r="E46" s="168"/>
      <c r="F46" s="506">
        <f t="shared" si="1"/>
        <v>0</v>
      </c>
      <c r="G46" s="110"/>
      <c r="H46" s="111"/>
      <c r="I46" s="6">
        <f t="shared" si="3"/>
        <v>0</v>
      </c>
    </row>
    <row r="47" spans="1:9" x14ac:dyDescent="0.25">
      <c r="A47" s="7"/>
      <c r="B47" s="509">
        <f t="shared" si="2"/>
        <v>0</v>
      </c>
      <c r="C47" s="20"/>
      <c r="D47" s="506"/>
      <c r="E47" s="168"/>
      <c r="F47" s="506">
        <f t="shared" si="1"/>
        <v>0</v>
      </c>
      <c r="G47" s="110"/>
      <c r="H47" s="111"/>
      <c r="I47" s="6">
        <f t="shared" si="3"/>
        <v>0</v>
      </c>
    </row>
    <row r="48" spans="1:9" x14ac:dyDescent="0.25">
      <c r="A48" s="7"/>
      <c r="B48" s="509">
        <f t="shared" si="2"/>
        <v>0</v>
      </c>
      <c r="C48" s="20"/>
      <c r="D48" s="506"/>
      <c r="E48" s="168"/>
      <c r="F48" s="506">
        <f t="shared" si="1"/>
        <v>0</v>
      </c>
      <c r="G48" s="110"/>
      <c r="H48" s="111"/>
      <c r="I48" s="6">
        <f t="shared" si="3"/>
        <v>0</v>
      </c>
    </row>
    <row r="49" spans="1:9" x14ac:dyDescent="0.25">
      <c r="A49" s="7"/>
      <c r="B49" s="509">
        <f t="shared" si="2"/>
        <v>0</v>
      </c>
      <c r="C49" s="20"/>
      <c r="D49" s="506"/>
      <c r="E49" s="168"/>
      <c r="F49" s="506">
        <f t="shared" si="1"/>
        <v>0</v>
      </c>
      <c r="G49" s="110"/>
      <c r="H49" s="111"/>
      <c r="I49" s="6">
        <f t="shared" si="3"/>
        <v>0</v>
      </c>
    </row>
    <row r="50" spans="1:9" x14ac:dyDescent="0.25">
      <c r="A50" s="7"/>
      <c r="B50" s="509">
        <f t="shared" si="2"/>
        <v>0</v>
      </c>
      <c r="C50" s="20"/>
      <c r="D50" s="506"/>
      <c r="E50" s="168"/>
      <c r="F50" s="506">
        <f t="shared" si="1"/>
        <v>0</v>
      </c>
      <c r="G50" s="110"/>
      <c r="H50" s="111"/>
      <c r="I50" s="6">
        <f t="shared" si="3"/>
        <v>0</v>
      </c>
    </row>
    <row r="51" spans="1:9" x14ac:dyDescent="0.25">
      <c r="A51" s="7"/>
      <c r="B51" s="509">
        <f t="shared" si="2"/>
        <v>0</v>
      </c>
      <c r="C51" s="20"/>
      <c r="D51" s="506"/>
      <c r="E51" s="168"/>
      <c r="F51" s="506">
        <f t="shared" si="1"/>
        <v>0</v>
      </c>
      <c r="G51" s="110"/>
      <c r="H51" s="111"/>
      <c r="I51" s="6">
        <f t="shared" si="3"/>
        <v>0</v>
      </c>
    </row>
    <row r="52" spans="1:9" x14ac:dyDescent="0.25">
      <c r="A52" s="7"/>
      <c r="B52" s="509">
        <f t="shared" si="2"/>
        <v>0</v>
      </c>
      <c r="C52" s="20"/>
      <c r="D52" s="506"/>
      <c r="E52" s="168"/>
      <c r="F52" s="506">
        <f t="shared" si="1"/>
        <v>0</v>
      </c>
      <c r="G52" s="110"/>
      <c r="H52" s="111"/>
      <c r="I52" s="6">
        <f t="shared" si="3"/>
        <v>0</v>
      </c>
    </row>
    <row r="53" spans="1:9" x14ac:dyDescent="0.25">
      <c r="A53" s="7"/>
      <c r="B53" s="509">
        <f t="shared" si="2"/>
        <v>0</v>
      </c>
      <c r="C53" s="20"/>
      <c r="D53" s="506"/>
      <c r="E53" s="168"/>
      <c r="F53" s="506">
        <f t="shared" si="1"/>
        <v>0</v>
      </c>
      <c r="G53" s="110"/>
      <c r="H53" s="111"/>
      <c r="I53" s="6">
        <f t="shared" si="3"/>
        <v>0</v>
      </c>
    </row>
    <row r="54" spans="1:9" x14ac:dyDescent="0.25">
      <c r="A54" s="7"/>
      <c r="B54" s="509">
        <f t="shared" si="2"/>
        <v>0</v>
      </c>
      <c r="C54" s="20"/>
      <c r="D54" s="506"/>
      <c r="E54" s="168"/>
      <c r="F54" s="506">
        <f t="shared" si="1"/>
        <v>0</v>
      </c>
      <c r="G54" s="110"/>
      <c r="H54" s="111"/>
      <c r="I54" s="6">
        <f t="shared" si="3"/>
        <v>0</v>
      </c>
    </row>
    <row r="55" spans="1:9" x14ac:dyDescent="0.25">
      <c r="A55" s="7"/>
      <c r="B55" s="509">
        <f t="shared" si="2"/>
        <v>0</v>
      </c>
      <c r="C55" s="20"/>
      <c r="D55" s="506"/>
      <c r="E55" s="168"/>
      <c r="F55" s="506">
        <f t="shared" si="1"/>
        <v>0</v>
      </c>
      <c r="G55" s="110"/>
      <c r="H55" s="111"/>
      <c r="I55" s="6">
        <f t="shared" si="3"/>
        <v>0</v>
      </c>
    </row>
    <row r="56" spans="1:9" x14ac:dyDescent="0.25">
      <c r="A56" s="7"/>
      <c r="B56" s="509">
        <f t="shared" si="2"/>
        <v>0</v>
      </c>
      <c r="C56" s="20"/>
      <c r="D56" s="506"/>
      <c r="E56" s="168"/>
      <c r="F56" s="506"/>
      <c r="G56" s="110"/>
      <c r="H56" s="111"/>
      <c r="I56" s="6">
        <f t="shared" si="3"/>
        <v>0</v>
      </c>
    </row>
    <row r="57" spans="1:9" x14ac:dyDescent="0.25">
      <c r="A57" s="7"/>
      <c r="B57" s="509">
        <f t="shared" si="2"/>
        <v>0</v>
      </c>
      <c r="C57" s="20"/>
      <c r="D57" s="506"/>
      <c r="E57" s="168"/>
      <c r="F57" s="506"/>
      <c r="G57" s="110"/>
      <c r="H57" s="111"/>
      <c r="I57" s="6">
        <f t="shared" si="3"/>
        <v>0</v>
      </c>
    </row>
    <row r="58" spans="1:9" x14ac:dyDescent="0.25">
      <c r="A58" s="7"/>
      <c r="B58" s="509">
        <f t="shared" si="2"/>
        <v>0</v>
      </c>
      <c r="C58" s="20"/>
      <c r="D58" s="506"/>
      <c r="E58" s="168"/>
      <c r="F58" s="506"/>
      <c r="G58" s="110"/>
      <c r="H58" s="111"/>
      <c r="I58" s="6">
        <f t="shared" si="3"/>
        <v>0</v>
      </c>
    </row>
    <row r="59" spans="1:9" x14ac:dyDescent="0.25">
      <c r="A59" s="7"/>
      <c r="B59" s="509">
        <f t="shared" si="2"/>
        <v>0</v>
      </c>
      <c r="C59" s="20"/>
      <c r="D59" s="554"/>
      <c r="E59" s="555"/>
      <c r="F59" s="554"/>
      <c r="G59" s="550"/>
      <c r="H59" s="551"/>
      <c r="I59" s="6">
        <f t="shared" si="3"/>
        <v>0</v>
      </c>
    </row>
    <row r="60" spans="1:9" x14ac:dyDescent="0.25">
      <c r="A60" s="7"/>
      <c r="B60" s="509">
        <f t="shared" si="2"/>
        <v>0</v>
      </c>
      <c r="C60" s="20"/>
      <c r="D60" s="554"/>
      <c r="E60" s="555"/>
      <c r="F60" s="554"/>
      <c r="G60" s="550"/>
      <c r="H60" s="551"/>
      <c r="I60" s="6">
        <f t="shared" si="3"/>
        <v>0</v>
      </c>
    </row>
    <row r="61" spans="1:9" x14ac:dyDescent="0.25">
      <c r="A61" s="7"/>
      <c r="B61" s="509"/>
      <c r="C61" s="20"/>
      <c r="D61" s="521"/>
      <c r="E61" s="522"/>
      <c r="F61" s="521">
        <f t="shared" ref="F61" si="4">D61</f>
        <v>0</v>
      </c>
      <c r="G61" s="365"/>
      <c r="H61" s="214"/>
      <c r="I61" s="6" t="e">
        <f>#REF!-F61</f>
        <v>#REF!</v>
      </c>
    </row>
    <row r="62" spans="1:9" ht="15.75" thickBot="1" x14ac:dyDescent="0.3">
      <c r="A62" s="7"/>
      <c r="B62" s="4"/>
      <c r="C62" s="48"/>
      <c r="D62" s="505">
        <v>0</v>
      </c>
      <c r="E62" s="399"/>
      <c r="F62" s="505"/>
      <c r="G62" s="188"/>
      <c r="H62" s="381"/>
    </row>
    <row r="63" spans="1:9" ht="15.75" thickTop="1" x14ac:dyDescent="0.25">
      <c r="A63" s="7"/>
      <c r="B63" s="7"/>
      <c r="C63" s="20">
        <f>SUM(C9:C61)</f>
        <v>34</v>
      </c>
      <c r="D63" s="8">
        <f>SUM(D9:D62)</f>
        <v>678.09</v>
      </c>
      <c r="E63" s="40"/>
      <c r="F63" s="8">
        <f>SUM(F9:F62)</f>
        <v>678.09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</row>
    <row r="66" spans="1:8" x14ac:dyDescent="0.25">
      <c r="A66" s="7"/>
      <c r="B66" s="7"/>
      <c r="C66" s="867" t="s">
        <v>19</v>
      </c>
      <c r="D66" s="868"/>
      <c r="E66" s="51">
        <f>E5+E6-F63</f>
        <v>0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5">
    <mergeCell ref="I7:I8"/>
    <mergeCell ref="C66:D66"/>
    <mergeCell ref="A1:G1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workbookViewId="0">
      <pane ySplit="7" topLeftCell="A41" activePane="bottomLeft" state="frozen"/>
      <selection pane="bottomLeft" activeCell="C14" sqref="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0"/>
    <col min="5" max="5" width="13" bestFit="1" customWidth="1"/>
    <col min="6" max="6" width="10.85546875" style="6"/>
    <col min="7" max="7" width="12.42578125" bestFit="1" customWidth="1"/>
    <col min="8" max="8" width="11.42578125" customWidth="1"/>
    <col min="9" max="9" width="11.42578125" style="160"/>
  </cols>
  <sheetData>
    <row r="1" spans="1:9" ht="45.75" x14ac:dyDescent="0.65">
      <c r="A1" s="853" t="s">
        <v>220</v>
      </c>
      <c r="B1" s="853"/>
      <c r="C1" s="853"/>
      <c r="D1" s="853"/>
      <c r="E1" s="853"/>
      <c r="F1" s="853"/>
      <c r="G1" s="853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67" t="s">
        <v>102</v>
      </c>
      <c r="E4" s="447"/>
      <c r="F4" s="280"/>
      <c r="G4" s="16"/>
      <c r="H4" s="16"/>
    </row>
    <row r="5" spans="1:9" ht="15" customHeight="1" x14ac:dyDescent="0.25">
      <c r="A5" s="858" t="s">
        <v>100</v>
      </c>
      <c r="B5" s="876" t="s">
        <v>106</v>
      </c>
      <c r="C5" s="210"/>
      <c r="D5" s="216">
        <v>43326</v>
      </c>
      <c r="E5" s="372">
        <v>1141.52</v>
      </c>
      <c r="F5" s="280">
        <v>76</v>
      </c>
      <c r="G5" s="285">
        <f>F44</f>
        <v>675.89999999999986</v>
      </c>
      <c r="H5" s="94">
        <f>E4+E5+E6-G5</f>
        <v>465.62000000000012</v>
      </c>
    </row>
    <row r="6" spans="1:9" ht="16.5" thickBot="1" x14ac:dyDescent="0.3">
      <c r="A6" s="859"/>
      <c r="B6" s="877"/>
      <c r="C6" s="394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>
        <v>15.02</v>
      </c>
      <c r="C8" s="20">
        <v>10</v>
      </c>
      <c r="D8" s="690">
        <f t="shared" ref="D8:D40" si="0">C8*B8</f>
        <v>150.19999999999999</v>
      </c>
      <c r="E8" s="650">
        <v>43327</v>
      </c>
      <c r="F8" s="647">
        <f t="shared" ref="F8:F40" si="1">D8</f>
        <v>150.19999999999999</v>
      </c>
      <c r="G8" s="648" t="s">
        <v>103</v>
      </c>
      <c r="H8" s="649">
        <v>48</v>
      </c>
      <c r="I8" s="628">
        <f>E5+E4-F8</f>
        <v>991.31999999999994</v>
      </c>
    </row>
    <row r="9" spans="1:9" x14ac:dyDescent="0.25">
      <c r="A9" s="516"/>
      <c r="B9" s="322">
        <v>15.02</v>
      </c>
      <c r="C9" s="20">
        <v>8</v>
      </c>
      <c r="D9" s="421">
        <f t="shared" si="0"/>
        <v>120.16</v>
      </c>
      <c r="E9" s="158">
        <v>43370</v>
      </c>
      <c r="F9" s="109">
        <f t="shared" si="1"/>
        <v>120.16</v>
      </c>
      <c r="G9" s="110" t="s">
        <v>126</v>
      </c>
      <c r="H9" s="111">
        <v>48</v>
      </c>
      <c r="I9" s="628">
        <f>I8-F9</f>
        <v>871.16</v>
      </c>
    </row>
    <row r="10" spans="1:9" x14ac:dyDescent="0.25">
      <c r="A10" s="461"/>
      <c r="B10" s="322">
        <v>15.02</v>
      </c>
      <c r="C10" s="20">
        <v>10</v>
      </c>
      <c r="D10" s="700">
        <f t="shared" si="0"/>
        <v>150.19999999999999</v>
      </c>
      <c r="E10" s="701">
        <v>43383</v>
      </c>
      <c r="F10" s="95">
        <f t="shared" si="1"/>
        <v>150.19999999999999</v>
      </c>
      <c r="G10" s="106" t="s">
        <v>134</v>
      </c>
      <c r="H10" s="96">
        <v>48</v>
      </c>
      <c r="I10" s="628">
        <f t="shared" ref="I10:I41" si="2">I9-F10</f>
        <v>720.96</v>
      </c>
    </row>
    <row r="11" spans="1:9" x14ac:dyDescent="0.25">
      <c r="A11" s="153" t="s">
        <v>33</v>
      </c>
      <c r="B11" s="322">
        <v>15.02</v>
      </c>
      <c r="C11" s="20">
        <v>5</v>
      </c>
      <c r="D11" s="700">
        <f t="shared" si="0"/>
        <v>75.099999999999994</v>
      </c>
      <c r="E11" s="701">
        <v>43384</v>
      </c>
      <c r="F11" s="95">
        <f t="shared" si="1"/>
        <v>75.099999999999994</v>
      </c>
      <c r="G11" s="106" t="s">
        <v>135</v>
      </c>
      <c r="H11" s="96">
        <v>48</v>
      </c>
      <c r="I11" s="628">
        <f t="shared" si="2"/>
        <v>645.86</v>
      </c>
    </row>
    <row r="12" spans="1:9" x14ac:dyDescent="0.25">
      <c r="A12" s="277"/>
      <c r="B12" s="322">
        <v>15.02</v>
      </c>
      <c r="C12" s="20">
        <v>2</v>
      </c>
      <c r="D12" s="685">
        <f t="shared" si="0"/>
        <v>30.04</v>
      </c>
      <c r="E12" s="720">
        <v>43449</v>
      </c>
      <c r="F12" s="635">
        <f t="shared" si="1"/>
        <v>30.04</v>
      </c>
      <c r="G12" s="365" t="s">
        <v>555</v>
      </c>
      <c r="H12" s="214">
        <v>48</v>
      </c>
      <c r="I12" s="628">
        <f t="shared" si="2"/>
        <v>615.82000000000005</v>
      </c>
    </row>
    <row r="13" spans="1:9" x14ac:dyDescent="0.25">
      <c r="A13" s="277"/>
      <c r="B13" s="322">
        <v>15.02</v>
      </c>
      <c r="C13" s="20">
        <v>10</v>
      </c>
      <c r="D13" s="685">
        <f t="shared" si="0"/>
        <v>150.19999999999999</v>
      </c>
      <c r="E13" s="687">
        <v>43456</v>
      </c>
      <c r="F13" s="635">
        <f t="shared" si="1"/>
        <v>150.19999999999999</v>
      </c>
      <c r="G13" s="365" t="s">
        <v>611</v>
      </c>
      <c r="H13" s="214">
        <v>48</v>
      </c>
      <c r="I13" s="628">
        <f t="shared" si="2"/>
        <v>465.62000000000006</v>
      </c>
    </row>
    <row r="14" spans="1:9" x14ac:dyDescent="0.25">
      <c r="B14" s="322">
        <v>15.02</v>
      </c>
      <c r="C14" s="20"/>
      <c r="D14" s="685">
        <f t="shared" si="0"/>
        <v>0</v>
      </c>
      <c r="E14" s="687"/>
      <c r="F14" s="635">
        <f t="shared" si="1"/>
        <v>0</v>
      </c>
      <c r="G14" s="365"/>
      <c r="H14" s="214"/>
      <c r="I14" s="601">
        <f t="shared" si="2"/>
        <v>465.62000000000006</v>
      </c>
    </row>
    <row r="15" spans="1:9" x14ac:dyDescent="0.25">
      <c r="B15" s="322">
        <v>15.02</v>
      </c>
      <c r="C15" s="20"/>
      <c r="D15" s="685">
        <f t="shared" si="0"/>
        <v>0</v>
      </c>
      <c r="E15" s="687"/>
      <c r="F15" s="635">
        <f t="shared" si="1"/>
        <v>0</v>
      </c>
      <c r="G15" s="365"/>
      <c r="H15" s="214"/>
      <c r="I15" s="601">
        <f t="shared" si="2"/>
        <v>465.62000000000006</v>
      </c>
    </row>
    <row r="16" spans="1:9" x14ac:dyDescent="0.25">
      <c r="A16" s="152"/>
      <c r="B16" s="322">
        <v>15.02</v>
      </c>
      <c r="C16" s="20"/>
      <c r="D16" s="685">
        <f t="shared" si="0"/>
        <v>0</v>
      </c>
      <c r="E16" s="522"/>
      <c r="F16" s="635">
        <f t="shared" si="1"/>
        <v>0</v>
      </c>
      <c r="G16" s="365"/>
      <c r="H16" s="214"/>
      <c r="I16" s="601">
        <f t="shared" si="2"/>
        <v>465.62000000000006</v>
      </c>
    </row>
    <row r="17" spans="1:9" x14ac:dyDescent="0.25">
      <c r="A17" s="156"/>
      <c r="B17" s="322">
        <v>15.02</v>
      </c>
      <c r="C17" s="20"/>
      <c r="D17" s="685">
        <f t="shared" si="0"/>
        <v>0</v>
      </c>
      <c r="E17" s="522"/>
      <c r="F17" s="635">
        <f t="shared" si="1"/>
        <v>0</v>
      </c>
      <c r="G17" s="686"/>
      <c r="H17" s="214"/>
      <c r="I17" s="601">
        <f t="shared" si="2"/>
        <v>465.62000000000006</v>
      </c>
    </row>
    <row r="18" spans="1:9" x14ac:dyDescent="0.25">
      <c r="A18" s="2"/>
      <c r="B18" s="322">
        <v>15.02</v>
      </c>
      <c r="C18" s="20"/>
      <c r="D18" s="685">
        <f t="shared" si="0"/>
        <v>0</v>
      </c>
      <c r="E18" s="522"/>
      <c r="F18" s="635">
        <f t="shared" si="1"/>
        <v>0</v>
      </c>
      <c r="G18" s="365"/>
      <c r="H18" s="214"/>
      <c r="I18" s="601">
        <f t="shared" si="2"/>
        <v>465.62000000000006</v>
      </c>
    </row>
    <row r="19" spans="1:9" x14ac:dyDescent="0.25">
      <c r="A19" s="2"/>
      <c r="B19" s="322">
        <v>15.02</v>
      </c>
      <c r="C19" s="20"/>
      <c r="D19" s="685">
        <f t="shared" si="0"/>
        <v>0</v>
      </c>
      <c r="E19" s="522"/>
      <c r="F19" s="635">
        <f t="shared" si="1"/>
        <v>0</v>
      </c>
      <c r="G19" s="365"/>
      <c r="H19" s="214"/>
      <c r="I19" s="601">
        <f t="shared" si="2"/>
        <v>465.62000000000006</v>
      </c>
    </row>
    <row r="20" spans="1:9" x14ac:dyDescent="0.25">
      <c r="A20" s="2"/>
      <c r="B20" s="322">
        <v>15.02</v>
      </c>
      <c r="C20" s="20"/>
      <c r="D20" s="685">
        <f t="shared" si="0"/>
        <v>0</v>
      </c>
      <c r="E20" s="687"/>
      <c r="F20" s="635">
        <f t="shared" si="1"/>
        <v>0</v>
      </c>
      <c r="G20" s="365"/>
      <c r="H20" s="214"/>
      <c r="I20" s="601">
        <f t="shared" si="2"/>
        <v>465.62000000000006</v>
      </c>
    </row>
    <row r="21" spans="1:9" x14ac:dyDescent="0.25">
      <c r="A21" s="2"/>
      <c r="B21" s="322">
        <v>15.02</v>
      </c>
      <c r="C21" s="20"/>
      <c r="D21" s="685">
        <f t="shared" si="0"/>
        <v>0</v>
      </c>
      <c r="E21" s="687"/>
      <c r="F21" s="635">
        <f t="shared" si="1"/>
        <v>0</v>
      </c>
      <c r="G21" s="365"/>
      <c r="H21" s="214"/>
      <c r="I21" s="601">
        <f t="shared" si="2"/>
        <v>465.62000000000006</v>
      </c>
    </row>
    <row r="22" spans="1:9" x14ac:dyDescent="0.25">
      <c r="A22" s="2"/>
      <c r="B22" s="322">
        <v>15.02</v>
      </c>
      <c r="C22" s="20"/>
      <c r="D22" s="685">
        <f t="shared" si="0"/>
        <v>0</v>
      </c>
      <c r="E22" s="687"/>
      <c r="F22" s="635">
        <f t="shared" si="1"/>
        <v>0</v>
      </c>
      <c r="G22" s="365"/>
      <c r="H22" s="214"/>
      <c r="I22" s="601">
        <f t="shared" si="2"/>
        <v>465.62000000000006</v>
      </c>
    </row>
    <row r="23" spans="1:9" x14ac:dyDescent="0.25">
      <c r="A23" s="2"/>
      <c r="B23" s="322">
        <v>15.02</v>
      </c>
      <c r="C23" s="20"/>
      <c r="D23" s="685">
        <f t="shared" si="0"/>
        <v>0</v>
      </c>
      <c r="E23" s="687"/>
      <c r="F23" s="635">
        <f t="shared" si="1"/>
        <v>0</v>
      </c>
      <c r="G23" s="365"/>
      <c r="H23" s="214"/>
      <c r="I23" s="601">
        <f t="shared" si="2"/>
        <v>465.62000000000006</v>
      </c>
    </row>
    <row r="24" spans="1:9" x14ac:dyDescent="0.25">
      <c r="A24" s="2"/>
      <c r="B24" s="322">
        <v>15.02</v>
      </c>
      <c r="C24" s="20"/>
      <c r="D24" s="685">
        <f t="shared" si="0"/>
        <v>0</v>
      </c>
      <c r="E24" s="522"/>
      <c r="F24" s="635">
        <f t="shared" si="1"/>
        <v>0</v>
      </c>
      <c r="G24" s="365"/>
      <c r="H24" s="214"/>
      <c r="I24" s="601">
        <f t="shared" si="2"/>
        <v>465.62000000000006</v>
      </c>
    </row>
    <row r="25" spans="1:9" x14ac:dyDescent="0.25">
      <c r="A25" s="2"/>
      <c r="B25" s="322">
        <v>15.02</v>
      </c>
      <c r="C25" s="20"/>
      <c r="D25" s="421">
        <f t="shared" si="0"/>
        <v>0</v>
      </c>
      <c r="E25" s="168"/>
      <c r="F25" s="109">
        <f t="shared" si="1"/>
        <v>0</v>
      </c>
      <c r="G25" s="110"/>
      <c r="H25" s="111"/>
      <c r="I25" s="601">
        <f t="shared" si="2"/>
        <v>465.62000000000006</v>
      </c>
    </row>
    <row r="26" spans="1:9" x14ac:dyDescent="0.25">
      <c r="A26" s="2"/>
      <c r="B26" s="322">
        <v>15.02</v>
      </c>
      <c r="C26" s="20"/>
      <c r="D26" s="421">
        <f t="shared" si="0"/>
        <v>0</v>
      </c>
      <c r="E26" s="168"/>
      <c r="F26" s="109">
        <f t="shared" si="1"/>
        <v>0</v>
      </c>
      <c r="G26" s="110"/>
      <c r="H26" s="111"/>
      <c r="I26" s="601">
        <f t="shared" si="2"/>
        <v>465.62000000000006</v>
      </c>
    </row>
    <row r="27" spans="1:9" x14ac:dyDescent="0.25">
      <c r="A27" s="422"/>
      <c r="B27" s="322">
        <v>15.02</v>
      </c>
      <c r="C27" s="20"/>
      <c r="D27" s="421">
        <f t="shared" si="0"/>
        <v>0</v>
      </c>
      <c r="E27" s="168"/>
      <c r="F27" s="109">
        <f t="shared" si="1"/>
        <v>0</v>
      </c>
      <c r="G27" s="110"/>
      <c r="H27" s="111"/>
      <c r="I27" s="601">
        <f t="shared" si="2"/>
        <v>465.62000000000006</v>
      </c>
    </row>
    <row r="28" spans="1:9" x14ac:dyDescent="0.25">
      <c r="A28" s="422"/>
      <c r="B28" s="322">
        <v>15.02</v>
      </c>
      <c r="C28" s="20"/>
      <c r="D28" s="421">
        <f t="shared" si="0"/>
        <v>0</v>
      </c>
      <c r="E28" s="215"/>
      <c r="F28" s="109">
        <f t="shared" si="1"/>
        <v>0</v>
      </c>
      <c r="G28" s="110"/>
      <c r="H28" s="111"/>
      <c r="I28" s="628">
        <f t="shared" si="2"/>
        <v>465.62000000000006</v>
      </c>
    </row>
    <row r="29" spans="1:9" x14ac:dyDescent="0.25">
      <c r="A29" s="422"/>
      <c r="B29" s="322">
        <v>15.02</v>
      </c>
      <c r="C29" s="20"/>
      <c r="D29" s="421">
        <f t="shared" si="0"/>
        <v>0</v>
      </c>
      <c r="E29" s="215"/>
      <c r="F29" s="109">
        <f t="shared" si="1"/>
        <v>0</v>
      </c>
      <c r="G29" s="110"/>
      <c r="H29" s="111"/>
      <c r="I29" s="628">
        <f t="shared" si="2"/>
        <v>465.62000000000006</v>
      </c>
    </row>
    <row r="30" spans="1:9" x14ac:dyDescent="0.25">
      <c r="A30" s="422"/>
      <c r="B30" s="322">
        <v>15.02</v>
      </c>
      <c r="C30" s="20"/>
      <c r="D30" s="421">
        <f t="shared" si="0"/>
        <v>0</v>
      </c>
      <c r="E30" s="215"/>
      <c r="F30" s="109">
        <f t="shared" si="1"/>
        <v>0</v>
      </c>
      <c r="G30" s="110"/>
      <c r="H30" s="111"/>
      <c r="I30" s="628">
        <f t="shared" si="2"/>
        <v>465.62000000000006</v>
      </c>
    </row>
    <row r="31" spans="1:9" x14ac:dyDescent="0.25">
      <c r="A31" s="422"/>
      <c r="B31" s="322">
        <v>15.02</v>
      </c>
      <c r="C31" s="20"/>
      <c r="D31" s="421">
        <f t="shared" si="0"/>
        <v>0</v>
      </c>
      <c r="E31" s="215"/>
      <c r="F31" s="109">
        <f t="shared" si="1"/>
        <v>0</v>
      </c>
      <c r="G31" s="110"/>
      <c r="H31" s="111"/>
      <c r="I31" s="628">
        <f t="shared" si="2"/>
        <v>465.62000000000006</v>
      </c>
    </row>
    <row r="32" spans="1:9" x14ac:dyDescent="0.25">
      <c r="A32" s="121"/>
      <c r="B32" s="322">
        <v>15.02</v>
      </c>
      <c r="C32" s="20"/>
      <c r="D32" s="421">
        <f t="shared" si="0"/>
        <v>0</v>
      </c>
      <c r="E32" s="215"/>
      <c r="F32" s="109">
        <f t="shared" si="1"/>
        <v>0</v>
      </c>
      <c r="G32" s="110"/>
      <c r="H32" s="111"/>
      <c r="I32" s="628">
        <f t="shared" si="2"/>
        <v>465.62000000000006</v>
      </c>
    </row>
    <row r="33" spans="1:9" x14ac:dyDescent="0.25">
      <c r="A33" s="2"/>
      <c r="B33" s="322">
        <v>15.02</v>
      </c>
      <c r="C33" s="20"/>
      <c r="D33" s="421">
        <f t="shared" si="0"/>
        <v>0</v>
      </c>
      <c r="E33" s="215"/>
      <c r="F33" s="109">
        <f t="shared" si="1"/>
        <v>0</v>
      </c>
      <c r="G33" s="110"/>
      <c r="H33" s="111"/>
      <c r="I33" s="628">
        <f t="shared" si="2"/>
        <v>465.62000000000006</v>
      </c>
    </row>
    <row r="34" spans="1:9" x14ac:dyDescent="0.25">
      <c r="A34" s="2"/>
      <c r="B34" s="322">
        <v>15.02</v>
      </c>
      <c r="C34" s="20"/>
      <c r="D34" s="421">
        <f t="shared" si="0"/>
        <v>0</v>
      </c>
      <c r="E34" s="215"/>
      <c r="F34" s="109">
        <f t="shared" si="1"/>
        <v>0</v>
      </c>
      <c r="G34" s="110"/>
      <c r="H34" s="111"/>
      <c r="I34" s="628">
        <f t="shared" si="2"/>
        <v>465.62000000000006</v>
      </c>
    </row>
    <row r="35" spans="1:9" x14ac:dyDescent="0.25">
      <c r="A35" s="2"/>
      <c r="B35" s="322">
        <v>15.02</v>
      </c>
      <c r="C35" s="20"/>
      <c r="D35" s="421">
        <f t="shared" si="0"/>
        <v>0</v>
      </c>
      <c r="E35" s="158"/>
      <c r="F35" s="109">
        <f t="shared" si="1"/>
        <v>0</v>
      </c>
      <c r="G35" s="110"/>
      <c r="H35" s="111"/>
      <c r="I35" s="628">
        <f t="shared" si="2"/>
        <v>465.62000000000006</v>
      </c>
    </row>
    <row r="36" spans="1:9" x14ac:dyDescent="0.25">
      <c r="A36" s="2"/>
      <c r="B36" s="322">
        <v>15.02</v>
      </c>
      <c r="C36" s="20"/>
      <c r="D36" s="421">
        <f t="shared" si="0"/>
        <v>0</v>
      </c>
      <c r="E36" s="158"/>
      <c r="F36" s="109">
        <f t="shared" si="1"/>
        <v>0</v>
      </c>
      <c r="G36" s="110"/>
      <c r="H36" s="111"/>
      <c r="I36" s="628">
        <f t="shared" si="2"/>
        <v>465.62000000000006</v>
      </c>
    </row>
    <row r="37" spans="1:9" x14ac:dyDescent="0.25">
      <c r="A37" s="2"/>
      <c r="B37" s="322">
        <v>15.02</v>
      </c>
      <c r="C37" s="20"/>
      <c r="D37" s="421">
        <f t="shared" si="0"/>
        <v>0</v>
      </c>
      <c r="E37" s="158"/>
      <c r="F37" s="109">
        <f t="shared" si="1"/>
        <v>0</v>
      </c>
      <c r="G37" s="110"/>
      <c r="H37" s="111"/>
      <c r="I37" s="628">
        <f t="shared" si="2"/>
        <v>465.62000000000006</v>
      </c>
    </row>
    <row r="38" spans="1:9" x14ac:dyDescent="0.25">
      <c r="A38" s="2"/>
      <c r="B38" s="322">
        <v>15.02</v>
      </c>
      <c r="C38" s="20"/>
      <c r="D38" s="421">
        <f t="shared" si="0"/>
        <v>0</v>
      </c>
      <c r="E38" s="158"/>
      <c r="F38" s="109">
        <f t="shared" si="1"/>
        <v>0</v>
      </c>
      <c r="G38" s="110"/>
      <c r="H38" s="111"/>
      <c r="I38" s="628">
        <f t="shared" si="2"/>
        <v>465.62000000000006</v>
      </c>
    </row>
    <row r="39" spans="1:9" x14ac:dyDescent="0.25">
      <c r="A39" s="2"/>
      <c r="B39" s="322">
        <v>15.02</v>
      </c>
      <c r="C39" s="20"/>
      <c r="D39" s="421">
        <f t="shared" si="0"/>
        <v>0</v>
      </c>
      <c r="E39" s="158"/>
      <c r="F39" s="109">
        <f t="shared" si="1"/>
        <v>0</v>
      </c>
      <c r="G39" s="110"/>
      <c r="H39" s="111"/>
      <c r="I39" s="628">
        <f t="shared" si="2"/>
        <v>465.62000000000006</v>
      </c>
    </row>
    <row r="40" spans="1:9" x14ac:dyDescent="0.25">
      <c r="A40" s="2"/>
      <c r="B40" s="322">
        <v>15.02</v>
      </c>
      <c r="C40" s="20"/>
      <c r="D40" s="421">
        <f t="shared" si="0"/>
        <v>0</v>
      </c>
      <c r="E40" s="158"/>
      <c r="F40" s="109">
        <f t="shared" si="1"/>
        <v>0</v>
      </c>
      <c r="G40" s="110"/>
      <c r="H40" s="111"/>
      <c r="I40" s="628">
        <f t="shared" si="2"/>
        <v>465.62000000000006</v>
      </c>
    </row>
    <row r="41" spans="1:9" x14ac:dyDescent="0.25">
      <c r="A41" s="2"/>
      <c r="B41" s="322">
        <v>15.02</v>
      </c>
      <c r="C41" s="20"/>
      <c r="D41" s="421">
        <f t="shared" ref="D41:D42" si="3">C41*B41</f>
        <v>0</v>
      </c>
      <c r="E41" s="158"/>
      <c r="F41" s="109">
        <f t="shared" ref="F41:F43" si="4">D41</f>
        <v>0</v>
      </c>
      <c r="G41" s="110"/>
      <c r="H41" s="111"/>
      <c r="I41" s="628">
        <f t="shared" si="2"/>
        <v>465.62000000000006</v>
      </c>
    </row>
    <row r="42" spans="1:9" x14ac:dyDescent="0.25">
      <c r="A42" s="2"/>
      <c r="B42" s="322">
        <v>15.02</v>
      </c>
      <c r="C42" s="20"/>
      <c r="D42" s="421">
        <f t="shared" si="3"/>
        <v>0</v>
      </c>
      <c r="E42" s="158"/>
      <c r="F42" s="109">
        <f t="shared" si="4"/>
        <v>0</v>
      </c>
      <c r="G42" s="110"/>
      <c r="H42" s="111"/>
      <c r="I42" s="628">
        <f t="shared" ref="I42" si="5">I41-F42</f>
        <v>465.62000000000006</v>
      </c>
    </row>
    <row r="43" spans="1:9" ht="15.75" thickBot="1" x14ac:dyDescent="0.3">
      <c r="A43" s="4"/>
      <c r="B43" s="322">
        <v>15.02</v>
      </c>
      <c r="C43" s="48"/>
      <c r="D43" s="558">
        <f>C43*B33</f>
        <v>0</v>
      </c>
      <c r="E43" s="559"/>
      <c r="F43" s="560">
        <f t="shared" si="4"/>
        <v>0</v>
      </c>
      <c r="G43" s="561"/>
      <c r="H43" s="489"/>
    </row>
    <row r="44" spans="1:9" ht="16.5" thickTop="1" thickBot="1" x14ac:dyDescent="0.3">
      <c r="C44" s="165">
        <f>SUM(C8:C43)</f>
        <v>45</v>
      </c>
      <c r="D44" s="204">
        <f>SUM(D10:D43)</f>
        <v>405.53999999999996</v>
      </c>
      <c r="E44" s="50"/>
      <c r="F44" s="6">
        <f>SUM(F8:F43)</f>
        <v>675.89999999999986</v>
      </c>
    </row>
    <row r="45" spans="1:9" ht="15.75" thickBot="1" x14ac:dyDescent="0.3">
      <c r="A45" s="229"/>
      <c r="D45" s="205" t="s">
        <v>4</v>
      </c>
      <c r="E45" s="108">
        <f>F4+F5+F6-+C44</f>
        <v>31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62" t="s">
        <v>11</v>
      </c>
      <c r="D47" s="863"/>
      <c r="E47" s="282">
        <f>E5+E4+E6+-F44</f>
        <v>465.62000000000012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7"/>
  <sheetViews>
    <sheetView topLeftCell="A28" workbookViewId="0">
      <selection activeCell="H30" sqref="H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</cols>
  <sheetData>
    <row r="1" spans="1:9" ht="45.75" x14ac:dyDescent="0.65">
      <c r="A1" s="853" t="s">
        <v>221</v>
      </c>
      <c r="B1" s="853"/>
      <c r="C1" s="853"/>
      <c r="D1" s="853"/>
      <c r="E1" s="853"/>
      <c r="F1" s="853"/>
      <c r="G1" s="853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667"/>
      <c r="E4" s="447"/>
      <c r="F4" s="280"/>
      <c r="G4" s="16"/>
      <c r="H4" s="16"/>
    </row>
    <row r="5" spans="1:9" ht="15" customHeight="1" x14ac:dyDescent="0.25">
      <c r="A5" s="858" t="s">
        <v>159</v>
      </c>
      <c r="B5" s="876" t="s">
        <v>113</v>
      </c>
      <c r="C5" s="210">
        <v>66</v>
      </c>
      <c r="D5" s="216">
        <v>43419</v>
      </c>
      <c r="E5" s="372">
        <v>10352.450000000001</v>
      </c>
      <c r="F5" s="280">
        <v>363</v>
      </c>
      <c r="G5" s="285">
        <f>F44</f>
        <v>6331.08</v>
      </c>
      <c r="H5" s="94">
        <f>E4+E5+E6-G5</f>
        <v>4021.3700000000008</v>
      </c>
    </row>
    <row r="6" spans="1:9" ht="16.5" thickBot="1" x14ac:dyDescent="0.3">
      <c r="A6" s="859"/>
      <c r="B6" s="877"/>
      <c r="C6" s="394"/>
      <c r="D6" s="63"/>
      <c r="E6" s="281"/>
      <c r="F6" s="37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2"/>
      <c r="C8" s="20">
        <v>7</v>
      </c>
      <c r="D8" s="421">
        <v>212.54</v>
      </c>
      <c r="E8" s="158">
        <v>43421</v>
      </c>
      <c r="F8" s="109">
        <f t="shared" ref="F8:F43" si="0">D8</f>
        <v>212.54</v>
      </c>
      <c r="G8" s="110" t="s">
        <v>182</v>
      </c>
      <c r="H8" s="111">
        <v>74</v>
      </c>
      <c r="I8" s="582">
        <f>E5+E4-F8</f>
        <v>10139.91</v>
      </c>
    </row>
    <row r="9" spans="1:9" x14ac:dyDescent="0.25">
      <c r="A9" s="516"/>
      <c r="B9" s="322"/>
      <c r="C9" s="20">
        <v>3</v>
      </c>
      <c r="D9" s="421">
        <v>89.54</v>
      </c>
      <c r="E9" s="158">
        <v>43426</v>
      </c>
      <c r="F9" s="109">
        <f t="shared" si="0"/>
        <v>89.54</v>
      </c>
      <c r="G9" s="110" t="s">
        <v>190</v>
      </c>
      <c r="H9" s="111">
        <v>74</v>
      </c>
      <c r="I9" s="582">
        <f>I8-F9</f>
        <v>10050.369999999999</v>
      </c>
    </row>
    <row r="10" spans="1:9" x14ac:dyDescent="0.25">
      <c r="A10" s="461"/>
      <c r="B10" s="322"/>
      <c r="C10" s="20">
        <v>10</v>
      </c>
      <c r="D10" s="421">
        <v>286.18</v>
      </c>
      <c r="E10" s="158">
        <v>43427</v>
      </c>
      <c r="F10" s="109">
        <f t="shared" si="0"/>
        <v>286.18</v>
      </c>
      <c r="G10" s="110" t="s">
        <v>195</v>
      </c>
      <c r="H10" s="111">
        <v>74</v>
      </c>
      <c r="I10" s="582">
        <f t="shared" ref="I10:I42" si="1">I9-F10</f>
        <v>9764.1899999999987</v>
      </c>
    </row>
    <row r="11" spans="1:9" x14ac:dyDescent="0.25">
      <c r="A11" s="153" t="s">
        <v>33</v>
      </c>
      <c r="B11" s="322"/>
      <c r="C11" s="20">
        <v>4</v>
      </c>
      <c r="D11" s="421">
        <v>123.44</v>
      </c>
      <c r="E11" s="158">
        <v>43430</v>
      </c>
      <c r="F11" s="109">
        <f t="shared" si="0"/>
        <v>123.44</v>
      </c>
      <c r="G11" s="110" t="s">
        <v>198</v>
      </c>
      <c r="H11" s="111">
        <v>74</v>
      </c>
      <c r="I11" s="582">
        <f t="shared" si="1"/>
        <v>9640.7499999999982</v>
      </c>
    </row>
    <row r="12" spans="1:9" x14ac:dyDescent="0.25">
      <c r="A12" s="277"/>
      <c r="B12" s="322"/>
      <c r="C12" s="20">
        <v>8</v>
      </c>
      <c r="D12" s="421">
        <v>230.8</v>
      </c>
      <c r="E12" s="158">
        <v>43434</v>
      </c>
      <c r="F12" s="109">
        <f t="shared" si="0"/>
        <v>230.8</v>
      </c>
      <c r="G12" s="110" t="s">
        <v>208</v>
      </c>
      <c r="H12" s="111">
        <v>74</v>
      </c>
      <c r="I12" s="582">
        <f t="shared" si="1"/>
        <v>9409.9499999999989</v>
      </c>
    </row>
    <row r="13" spans="1:9" x14ac:dyDescent="0.25">
      <c r="A13" s="277"/>
      <c r="B13" s="322"/>
      <c r="C13" s="20">
        <v>4</v>
      </c>
      <c r="D13" s="685">
        <v>124.42</v>
      </c>
      <c r="E13" s="687">
        <v>43439</v>
      </c>
      <c r="F13" s="635">
        <f t="shared" si="0"/>
        <v>124.42</v>
      </c>
      <c r="G13" s="365" t="s">
        <v>486</v>
      </c>
      <c r="H13" s="214">
        <v>74</v>
      </c>
      <c r="I13" s="582">
        <f t="shared" si="1"/>
        <v>9285.5299999999988</v>
      </c>
    </row>
    <row r="14" spans="1:9" x14ac:dyDescent="0.25">
      <c r="B14" s="322"/>
      <c r="C14" s="20">
        <v>30</v>
      </c>
      <c r="D14" s="685">
        <v>885.8</v>
      </c>
      <c r="E14" s="687">
        <v>43440</v>
      </c>
      <c r="F14" s="635">
        <f t="shared" si="0"/>
        <v>885.8</v>
      </c>
      <c r="G14" s="365" t="s">
        <v>509</v>
      </c>
      <c r="H14" s="214">
        <v>74</v>
      </c>
      <c r="I14" s="147">
        <f t="shared" si="1"/>
        <v>8399.73</v>
      </c>
    </row>
    <row r="15" spans="1:9" x14ac:dyDescent="0.25">
      <c r="B15" s="322"/>
      <c r="C15" s="20">
        <v>4</v>
      </c>
      <c r="D15" s="685">
        <v>119.96</v>
      </c>
      <c r="E15" s="687">
        <v>43445</v>
      </c>
      <c r="F15" s="635">
        <f t="shared" si="0"/>
        <v>119.96</v>
      </c>
      <c r="G15" s="365" t="s">
        <v>499</v>
      </c>
      <c r="H15" s="214">
        <v>74</v>
      </c>
      <c r="I15" s="147">
        <f t="shared" si="1"/>
        <v>8279.77</v>
      </c>
    </row>
    <row r="16" spans="1:9" x14ac:dyDescent="0.25">
      <c r="A16" s="152"/>
      <c r="B16" s="322"/>
      <c r="C16" s="20">
        <v>23</v>
      </c>
      <c r="D16" s="685">
        <v>676.24</v>
      </c>
      <c r="E16" s="522">
        <v>43445</v>
      </c>
      <c r="F16" s="635">
        <f t="shared" si="0"/>
        <v>676.24</v>
      </c>
      <c r="G16" s="365" t="s">
        <v>528</v>
      </c>
      <c r="H16" s="214">
        <v>74</v>
      </c>
      <c r="I16" s="147">
        <f t="shared" si="1"/>
        <v>7603.5300000000007</v>
      </c>
    </row>
    <row r="17" spans="1:9" x14ac:dyDescent="0.25">
      <c r="A17" s="156"/>
      <c r="B17" s="322"/>
      <c r="C17" s="20">
        <v>30</v>
      </c>
      <c r="D17" s="685">
        <v>814.38</v>
      </c>
      <c r="E17" s="522">
        <v>43445</v>
      </c>
      <c r="F17" s="635">
        <f t="shared" si="0"/>
        <v>814.38</v>
      </c>
      <c r="G17" s="686" t="s">
        <v>529</v>
      </c>
      <c r="H17" s="214">
        <v>74</v>
      </c>
      <c r="I17" s="147">
        <f t="shared" si="1"/>
        <v>6789.1500000000005</v>
      </c>
    </row>
    <row r="18" spans="1:9" x14ac:dyDescent="0.25">
      <c r="A18" s="2"/>
      <c r="B18" s="322"/>
      <c r="C18" s="20">
        <v>2</v>
      </c>
      <c r="D18" s="685">
        <v>58.84</v>
      </c>
      <c r="E18" s="522">
        <v>43446</v>
      </c>
      <c r="F18" s="635">
        <f t="shared" si="0"/>
        <v>58.84</v>
      </c>
      <c r="G18" s="365" t="s">
        <v>506</v>
      </c>
      <c r="H18" s="214">
        <v>74</v>
      </c>
      <c r="I18" s="147">
        <f t="shared" si="1"/>
        <v>6730.31</v>
      </c>
    </row>
    <row r="19" spans="1:9" x14ac:dyDescent="0.25">
      <c r="A19" s="2"/>
      <c r="B19" s="322"/>
      <c r="C19" s="20">
        <v>3</v>
      </c>
      <c r="D19" s="685">
        <v>83.8</v>
      </c>
      <c r="E19" s="522">
        <v>43446</v>
      </c>
      <c r="F19" s="635">
        <f t="shared" si="0"/>
        <v>83.8</v>
      </c>
      <c r="G19" s="365" t="s">
        <v>485</v>
      </c>
      <c r="H19" s="214">
        <v>74</v>
      </c>
      <c r="I19" s="147">
        <f t="shared" si="1"/>
        <v>6646.51</v>
      </c>
    </row>
    <row r="20" spans="1:9" x14ac:dyDescent="0.25">
      <c r="A20" s="2"/>
      <c r="B20" s="322"/>
      <c r="C20" s="20">
        <v>2</v>
      </c>
      <c r="D20" s="685">
        <v>58.6</v>
      </c>
      <c r="E20" s="687">
        <v>43448</v>
      </c>
      <c r="F20" s="635">
        <f t="shared" si="0"/>
        <v>58.6</v>
      </c>
      <c r="G20" s="365" t="s">
        <v>535</v>
      </c>
      <c r="H20" s="214">
        <v>74</v>
      </c>
      <c r="I20" s="147">
        <f t="shared" si="1"/>
        <v>6587.91</v>
      </c>
    </row>
    <row r="21" spans="1:9" x14ac:dyDescent="0.25">
      <c r="A21" s="2"/>
      <c r="B21" s="322"/>
      <c r="C21" s="20">
        <v>30</v>
      </c>
      <c r="D21" s="685">
        <v>854.54</v>
      </c>
      <c r="E21" s="687">
        <v>43450</v>
      </c>
      <c r="F21" s="635">
        <f t="shared" si="0"/>
        <v>854.54</v>
      </c>
      <c r="G21" s="365" t="s">
        <v>558</v>
      </c>
      <c r="H21" s="214">
        <v>74</v>
      </c>
      <c r="I21" s="147">
        <f t="shared" si="1"/>
        <v>5733.37</v>
      </c>
    </row>
    <row r="22" spans="1:9" x14ac:dyDescent="0.25">
      <c r="A22" s="2"/>
      <c r="B22" s="322"/>
      <c r="C22" s="20">
        <v>2</v>
      </c>
      <c r="D22" s="685">
        <v>62.54</v>
      </c>
      <c r="E22" s="687">
        <v>43451</v>
      </c>
      <c r="F22" s="635">
        <f t="shared" si="0"/>
        <v>62.54</v>
      </c>
      <c r="G22" s="365" t="s">
        <v>566</v>
      </c>
      <c r="H22" s="214">
        <v>74</v>
      </c>
      <c r="I22" s="147">
        <f t="shared" si="1"/>
        <v>5670.83</v>
      </c>
    </row>
    <row r="23" spans="1:9" x14ac:dyDescent="0.25">
      <c r="A23" s="2"/>
      <c r="B23" s="322"/>
      <c r="C23" s="20">
        <v>7</v>
      </c>
      <c r="D23" s="685">
        <v>200.36</v>
      </c>
      <c r="E23" s="687">
        <v>43451</v>
      </c>
      <c r="F23" s="635">
        <f t="shared" si="0"/>
        <v>200.36</v>
      </c>
      <c r="G23" s="365" t="s">
        <v>566</v>
      </c>
      <c r="H23" s="214">
        <v>74</v>
      </c>
      <c r="I23" s="147">
        <f t="shared" si="1"/>
        <v>5470.47</v>
      </c>
    </row>
    <row r="24" spans="1:9" x14ac:dyDescent="0.25">
      <c r="A24" s="2"/>
      <c r="B24" s="322"/>
      <c r="C24" s="20">
        <v>1</v>
      </c>
      <c r="D24" s="685">
        <v>32.520000000000003</v>
      </c>
      <c r="E24" s="522">
        <v>43455</v>
      </c>
      <c r="F24" s="635">
        <f t="shared" si="0"/>
        <v>32.520000000000003</v>
      </c>
      <c r="G24" s="365" t="s">
        <v>600</v>
      </c>
      <c r="H24" s="214">
        <v>74</v>
      </c>
      <c r="I24" s="147">
        <f t="shared" si="1"/>
        <v>5437.95</v>
      </c>
    </row>
    <row r="25" spans="1:9" x14ac:dyDescent="0.25">
      <c r="A25" s="2"/>
      <c r="B25" s="322"/>
      <c r="C25" s="20">
        <v>30</v>
      </c>
      <c r="D25" s="685">
        <v>826.04</v>
      </c>
      <c r="E25" s="522">
        <v>43455</v>
      </c>
      <c r="F25" s="635">
        <f t="shared" si="0"/>
        <v>826.04</v>
      </c>
      <c r="G25" s="365" t="s">
        <v>602</v>
      </c>
      <c r="H25" s="214">
        <v>74</v>
      </c>
      <c r="I25" s="147">
        <f t="shared" si="1"/>
        <v>4611.91</v>
      </c>
    </row>
    <row r="26" spans="1:9" x14ac:dyDescent="0.25">
      <c r="A26" s="2"/>
      <c r="B26" s="322"/>
      <c r="C26" s="20">
        <v>10</v>
      </c>
      <c r="D26" s="685">
        <v>285.24</v>
      </c>
      <c r="E26" s="522">
        <v>43456</v>
      </c>
      <c r="F26" s="635">
        <f t="shared" si="0"/>
        <v>285.24</v>
      </c>
      <c r="G26" s="365" t="s">
        <v>610</v>
      </c>
      <c r="H26" s="214">
        <v>74</v>
      </c>
      <c r="I26" s="147">
        <f t="shared" si="1"/>
        <v>4326.67</v>
      </c>
    </row>
    <row r="27" spans="1:9" x14ac:dyDescent="0.25">
      <c r="A27" s="422"/>
      <c r="B27" s="322"/>
      <c r="C27" s="20">
        <v>2</v>
      </c>
      <c r="D27" s="685">
        <v>55.66</v>
      </c>
      <c r="E27" s="522">
        <v>43456</v>
      </c>
      <c r="F27" s="635">
        <f t="shared" si="0"/>
        <v>55.66</v>
      </c>
      <c r="G27" s="365" t="s">
        <v>612</v>
      </c>
      <c r="H27" s="214">
        <v>74</v>
      </c>
      <c r="I27" s="147">
        <f t="shared" si="1"/>
        <v>4271.01</v>
      </c>
    </row>
    <row r="28" spans="1:9" x14ac:dyDescent="0.25">
      <c r="A28" s="422"/>
      <c r="B28" s="322"/>
      <c r="C28" s="20">
        <v>4</v>
      </c>
      <c r="D28" s="685">
        <v>109</v>
      </c>
      <c r="E28" s="687">
        <v>43461</v>
      </c>
      <c r="F28" s="635">
        <f t="shared" si="0"/>
        <v>109</v>
      </c>
      <c r="G28" s="365" t="s">
        <v>647</v>
      </c>
      <c r="H28" s="214">
        <v>74</v>
      </c>
      <c r="I28" s="582">
        <f t="shared" si="1"/>
        <v>4162.01</v>
      </c>
    </row>
    <row r="29" spans="1:9" x14ac:dyDescent="0.25">
      <c r="A29" s="422"/>
      <c r="B29" s="322"/>
      <c r="C29" s="20">
        <v>5</v>
      </c>
      <c r="D29" s="685">
        <v>140.63999999999999</v>
      </c>
      <c r="E29" s="687">
        <v>43462</v>
      </c>
      <c r="F29" s="635">
        <f t="shared" si="0"/>
        <v>140.63999999999999</v>
      </c>
      <c r="G29" s="365" t="s">
        <v>661</v>
      </c>
      <c r="H29" s="214">
        <v>74</v>
      </c>
      <c r="I29" s="582">
        <f t="shared" si="1"/>
        <v>4021.3700000000003</v>
      </c>
    </row>
    <row r="30" spans="1:9" x14ac:dyDescent="0.25">
      <c r="A30" s="422"/>
      <c r="B30" s="322"/>
      <c r="C30" s="20"/>
      <c r="D30" s="685">
        <f t="shared" ref="D30:D42" si="2">C30*B30</f>
        <v>0</v>
      </c>
      <c r="E30" s="687"/>
      <c r="F30" s="635">
        <f t="shared" si="0"/>
        <v>0</v>
      </c>
      <c r="G30" s="365"/>
      <c r="H30" s="214"/>
      <c r="I30" s="582">
        <f t="shared" si="1"/>
        <v>4021.3700000000003</v>
      </c>
    </row>
    <row r="31" spans="1:9" x14ac:dyDescent="0.25">
      <c r="A31" s="422"/>
      <c r="B31" s="322"/>
      <c r="C31" s="20"/>
      <c r="D31" s="685">
        <f t="shared" si="2"/>
        <v>0</v>
      </c>
      <c r="E31" s="687"/>
      <c r="F31" s="635">
        <f t="shared" si="0"/>
        <v>0</v>
      </c>
      <c r="G31" s="365"/>
      <c r="H31" s="214"/>
      <c r="I31" s="582">
        <f t="shared" si="1"/>
        <v>4021.3700000000003</v>
      </c>
    </row>
    <row r="32" spans="1:9" x14ac:dyDescent="0.25">
      <c r="A32" s="121"/>
      <c r="B32" s="322"/>
      <c r="C32" s="20"/>
      <c r="D32" s="685">
        <f t="shared" si="2"/>
        <v>0</v>
      </c>
      <c r="E32" s="687"/>
      <c r="F32" s="635">
        <f t="shared" si="0"/>
        <v>0</v>
      </c>
      <c r="G32" s="365"/>
      <c r="H32" s="214"/>
      <c r="I32" s="582">
        <f t="shared" si="1"/>
        <v>4021.3700000000003</v>
      </c>
    </row>
    <row r="33" spans="1:9" x14ac:dyDescent="0.25">
      <c r="A33" s="2"/>
      <c r="B33" s="322"/>
      <c r="C33" s="20"/>
      <c r="D33" s="685">
        <f t="shared" si="2"/>
        <v>0</v>
      </c>
      <c r="E33" s="687"/>
      <c r="F33" s="635">
        <f t="shared" si="0"/>
        <v>0</v>
      </c>
      <c r="G33" s="365"/>
      <c r="H33" s="214"/>
      <c r="I33" s="582">
        <f t="shared" si="1"/>
        <v>4021.3700000000003</v>
      </c>
    </row>
    <row r="34" spans="1:9" x14ac:dyDescent="0.25">
      <c r="A34" s="2"/>
      <c r="B34" s="322"/>
      <c r="C34" s="20"/>
      <c r="D34" s="685">
        <f t="shared" si="2"/>
        <v>0</v>
      </c>
      <c r="E34" s="687"/>
      <c r="F34" s="635">
        <f t="shared" si="0"/>
        <v>0</v>
      </c>
      <c r="G34" s="365"/>
      <c r="H34" s="214"/>
      <c r="I34" s="582">
        <f t="shared" si="1"/>
        <v>4021.3700000000003</v>
      </c>
    </row>
    <row r="35" spans="1:9" x14ac:dyDescent="0.25">
      <c r="A35" s="2"/>
      <c r="B35" s="322"/>
      <c r="C35" s="20"/>
      <c r="D35" s="685">
        <f t="shared" si="2"/>
        <v>0</v>
      </c>
      <c r="E35" s="720"/>
      <c r="F35" s="635">
        <f t="shared" si="0"/>
        <v>0</v>
      </c>
      <c r="G35" s="365"/>
      <c r="H35" s="214"/>
      <c r="I35" s="582">
        <f t="shared" si="1"/>
        <v>4021.3700000000003</v>
      </c>
    </row>
    <row r="36" spans="1:9" x14ac:dyDescent="0.25">
      <c r="A36" s="2"/>
      <c r="B36" s="322"/>
      <c r="C36" s="20"/>
      <c r="D36" s="685">
        <f t="shared" si="2"/>
        <v>0</v>
      </c>
      <c r="E36" s="720"/>
      <c r="F36" s="635">
        <f t="shared" si="0"/>
        <v>0</v>
      </c>
      <c r="G36" s="365"/>
      <c r="H36" s="214"/>
      <c r="I36" s="582">
        <f t="shared" si="1"/>
        <v>4021.3700000000003</v>
      </c>
    </row>
    <row r="37" spans="1:9" x14ac:dyDescent="0.25">
      <c r="A37" s="2"/>
      <c r="B37" s="322"/>
      <c r="C37" s="20"/>
      <c r="D37" s="421">
        <f t="shared" si="2"/>
        <v>0</v>
      </c>
      <c r="E37" s="158"/>
      <c r="F37" s="109">
        <f t="shared" si="0"/>
        <v>0</v>
      </c>
      <c r="G37" s="110"/>
      <c r="H37" s="111"/>
      <c r="I37" s="582">
        <f t="shared" si="1"/>
        <v>4021.3700000000003</v>
      </c>
    </row>
    <row r="38" spans="1:9" x14ac:dyDescent="0.25">
      <c r="A38" s="2"/>
      <c r="B38" s="322"/>
      <c r="C38" s="20"/>
      <c r="D38" s="421">
        <f t="shared" si="2"/>
        <v>0</v>
      </c>
      <c r="E38" s="158"/>
      <c r="F38" s="109">
        <f t="shared" si="0"/>
        <v>0</v>
      </c>
      <c r="G38" s="110"/>
      <c r="H38" s="111"/>
      <c r="I38" s="582">
        <f t="shared" si="1"/>
        <v>4021.3700000000003</v>
      </c>
    </row>
    <row r="39" spans="1:9" x14ac:dyDescent="0.25">
      <c r="A39" s="2"/>
      <c r="B39" s="322"/>
      <c r="C39" s="20"/>
      <c r="D39" s="421">
        <f t="shared" si="2"/>
        <v>0</v>
      </c>
      <c r="E39" s="158"/>
      <c r="F39" s="109">
        <f t="shared" si="0"/>
        <v>0</v>
      </c>
      <c r="G39" s="110"/>
      <c r="H39" s="111"/>
      <c r="I39" s="582">
        <f t="shared" si="1"/>
        <v>4021.3700000000003</v>
      </c>
    </row>
    <row r="40" spans="1:9" x14ac:dyDescent="0.25">
      <c r="A40" s="2"/>
      <c r="B40" s="322"/>
      <c r="C40" s="20"/>
      <c r="D40" s="421">
        <f t="shared" si="2"/>
        <v>0</v>
      </c>
      <c r="E40" s="158"/>
      <c r="F40" s="109">
        <f t="shared" si="0"/>
        <v>0</v>
      </c>
      <c r="G40" s="110"/>
      <c r="H40" s="111"/>
      <c r="I40" s="582">
        <f t="shared" si="1"/>
        <v>4021.3700000000003</v>
      </c>
    </row>
    <row r="41" spans="1:9" x14ac:dyDescent="0.25">
      <c r="A41" s="2"/>
      <c r="B41" s="322"/>
      <c r="C41" s="20"/>
      <c r="D41" s="421">
        <f t="shared" si="2"/>
        <v>0</v>
      </c>
      <c r="E41" s="158"/>
      <c r="F41" s="109">
        <f t="shared" si="0"/>
        <v>0</v>
      </c>
      <c r="G41" s="110"/>
      <c r="H41" s="111"/>
      <c r="I41" s="582">
        <f t="shared" si="1"/>
        <v>4021.3700000000003</v>
      </c>
    </row>
    <row r="42" spans="1:9" x14ac:dyDescent="0.25">
      <c r="A42" s="2"/>
      <c r="B42" s="322"/>
      <c r="C42" s="20"/>
      <c r="D42" s="421">
        <f t="shared" si="2"/>
        <v>0</v>
      </c>
      <c r="E42" s="158"/>
      <c r="F42" s="109">
        <f t="shared" si="0"/>
        <v>0</v>
      </c>
      <c r="G42" s="110"/>
      <c r="H42" s="111"/>
      <c r="I42" s="582">
        <f t="shared" si="1"/>
        <v>4021.3700000000003</v>
      </c>
    </row>
    <row r="43" spans="1:9" ht="15.75" thickBot="1" x14ac:dyDescent="0.3">
      <c r="A43" s="4"/>
      <c r="B43" s="322">
        <v>15.02</v>
      </c>
      <c r="C43" s="48"/>
      <c r="D43" s="558">
        <f>C43*B33</f>
        <v>0</v>
      </c>
      <c r="E43" s="559"/>
      <c r="F43" s="560">
        <f t="shared" si="0"/>
        <v>0</v>
      </c>
      <c r="G43" s="561"/>
      <c r="H43" s="489"/>
    </row>
    <row r="44" spans="1:9" ht="16.5" thickTop="1" thickBot="1" x14ac:dyDescent="0.3">
      <c r="C44" s="165">
        <f>SUM(C8:C43)</f>
        <v>221</v>
      </c>
      <c r="D44" s="204">
        <f>SUM(D10:D43)</f>
        <v>6029</v>
      </c>
      <c r="E44" s="50"/>
      <c r="F44" s="6">
        <f>SUM(F8:F43)</f>
        <v>6331.08</v>
      </c>
    </row>
    <row r="45" spans="1:9" ht="15.75" thickBot="1" x14ac:dyDescent="0.3">
      <c r="A45" s="229"/>
      <c r="D45" s="205" t="s">
        <v>4</v>
      </c>
      <c r="E45" s="108">
        <f>F4+F5+F6-+C44</f>
        <v>142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62" t="s">
        <v>11</v>
      </c>
      <c r="D47" s="863"/>
      <c r="E47" s="282">
        <f>E5+E4+E6+-F44</f>
        <v>4021.3700000000008</v>
      </c>
      <c r="G47" s="16"/>
      <c r="H47" s="16"/>
    </row>
  </sheetData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workbookViewId="0">
      <selection activeCell="B21" sqref="B21"/>
    </sheetView>
  </sheetViews>
  <sheetFormatPr baseColWidth="10" defaultRowHeight="15" x14ac:dyDescent="0.25"/>
  <cols>
    <col min="1" max="1" width="28.5703125" style="126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53" t="s">
        <v>79</v>
      </c>
      <c r="B1" s="853"/>
      <c r="C1" s="853"/>
      <c r="D1" s="853"/>
      <c r="E1" s="853"/>
      <c r="F1" s="853"/>
      <c r="G1" s="853"/>
      <c r="H1" s="14">
        <v>1</v>
      </c>
    </row>
    <row r="2" spans="1:8" ht="15.75" thickBot="1" x14ac:dyDescent="0.3"/>
    <row r="3" spans="1:8" ht="16.5" thickTop="1" thickBot="1" x14ac:dyDescent="0.3">
      <c r="A3" s="127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8"/>
      <c r="B4" s="16"/>
      <c r="C4" s="16"/>
      <c r="D4" s="16"/>
      <c r="E4" s="16"/>
      <c r="F4" s="16"/>
      <c r="G4" s="238"/>
      <c r="H4" s="15"/>
    </row>
    <row r="5" spans="1:8" x14ac:dyDescent="0.25">
      <c r="A5" s="535" t="s">
        <v>76</v>
      </c>
      <c r="B5" s="878" t="s">
        <v>77</v>
      </c>
      <c r="C5" s="878"/>
      <c r="D5" s="262">
        <v>42723</v>
      </c>
      <c r="E5" s="161">
        <v>1000</v>
      </c>
      <c r="F5" s="119">
        <v>1000</v>
      </c>
      <c r="G5" s="246">
        <f>F47</f>
        <v>2163</v>
      </c>
      <c r="H5" s="268">
        <f>E5-G5+E6</f>
        <v>-1163</v>
      </c>
    </row>
    <row r="6" spans="1:8" ht="15.75" thickBot="1" x14ac:dyDescent="0.3">
      <c r="A6" s="16"/>
      <c r="B6" s="879"/>
      <c r="C6" s="879"/>
      <c r="D6" s="16"/>
      <c r="E6" s="128"/>
      <c r="F6" s="119"/>
      <c r="G6" s="119"/>
      <c r="H6" s="1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71"/>
      <c r="C8" s="20">
        <v>100</v>
      </c>
      <c r="D8" s="401">
        <v>100</v>
      </c>
      <c r="E8" s="400">
        <v>42726</v>
      </c>
      <c r="F8" s="514">
        <f t="shared" ref="F8:F45" si="0">D8</f>
        <v>100</v>
      </c>
      <c r="G8" s="515" t="s">
        <v>67</v>
      </c>
      <c r="H8" s="403">
        <v>90</v>
      </c>
    </row>
    <row r="9" spans="1:8" x14ac:dyDescent="0.25">
      <c r="A9" s="128"/>
      <c r="B9" s="164"/>
      <c r="C9" s="20">
        <v>70</v>
      </c>
      <c r="D9" s="501">
        <v>70</v>
      </c>
      <c r="E9" s="502">
        <v>42727</v>
      </c>
      <c r="F9" s="503">
        <f t="shared" si="0"/>
        <v>70</v>
      </c>
      <c r="G9" s="504" t="s">
        <v>68</v>
      </c>
      <c r="H9" s="101">
        <v>90</v>
      </c>
    </row>
    <row r="10" spans="1:8" x14ac:dyDescent="0.25">
      <c r="A10" s="129"/>
      <c r="B10" s="164"/>
      <c r="C10" s="20">
        <v>80</v>
      </c>
      <c r="D10" s="501">
        <v>80</v>
      </c>
      <c r="E10" s="502">
        <v>42727</v>
      </c>
      <c r="F10" s="503">
        <f t="shared" si="0"/>
        <v>80</v>
      </c>
      <c r="G10" s="504" t="s">
        <v>69</v>
      </c>
      <c r="H10" s="101">
        <v>90</v>
      </c>
    </row>
    <row r="11" spans="1:8" x14ac:dyDescent="0.25">
      <c r="A11" s="141" t="s">
        <v>33</v>
      </c>
      <c r="B11" s="164"/>
      <c r="C11" s="20">
        <v>80</v>
      </c>
      <c r="D11" s="501">
        <v>80</v>
      </c>
      <c r="E11" s="502">
        <v>42728</v>
      </c>
      <c r="F11" s="503">
        <f t="shared" si="0"/>
        <v>80</v>
      </c>
      <c r="G11" s="504" t="s">
        <v>70</v>
      </c>
      <c r="H11" s="101">
        <v>90</v>
      </c>
    </row>
    <row r="12" spans="1:8" x14ac:dyDescent="0.25">
      <c r="A12" s="129"/>
      <c r="B12" s="164"/>
      <c r="C12" s="20">
        <v>50</v>
      </c>
      <c r="D12" s="501">
        <v>50</v>
      </c>
      <c r="E12" s="502">
        <v>42728</v>
      </c>
      <c r="F12" s="503">
        <f t="shared" si="0"/>
        <v>50</v>
      </c>
      <c r="G12" s="504" t="s">
        <v>70</v>
      </c>
      <c r="H12" s="101">
        <v>90</v>
      </c>
    </row>
    <row r="13" spans="1:8" x14ac:dyDescent="0.25">
      <c r="A13" s="129"/>
      <c r="B13" s="164"/>
      <c r="C13" s="20">
        <v>70</v>
      </c>
      <c r="D13" s="501">
        <v>70</v>
      </c>
      <c r="E13" s="502">
        <v>42728</v>
      </c>
      <c r="F13" s="503">
        <f t="shared" si="0"/>
        <v>70</v>
      </c>
      <c r="G13" s="504" t="s">
        <v>71</v>
      </c>
      <c r="H13" s="101">
        <v>90</v>
      </c>
    </row>
    <row r="14" spans="1:8" x14ac:dyDescent="0.25">
      <c r="A14" s="7"/>
      <c r="B14" s="164"/>
      <c r="C14" s="20">
        <v>60</v>
      </c>
      <c r="D14" s="501">
        <v>60</v>
      </c>
      <c r="E14" s="502">
        <v>42731</v>
      </c>
      <c r="F14" s="503">
        <f t="shared" si="0"/>
        <v>60</v>
      </c>
      <c r="G14" s="504" t="s">
        <v>72</v>
      </c>
      <c r="H14" s="101">
        <v>90</v>
      </c>
    </row>
    <row r="15" spans="1:8" x14ac:dyDescent="0.25">
      <c r="A15" s="7"/>
      <c r="B15" s="164"/>
      <c r="C15" s="20">
        <v>200</v>
      </c>
      <c r="D15" s="501">
        <v>200</v>
      </c>
      <c r="E15" s="502">
        <v>42731</v>
      </c>
      <c r="F15" s="503">
        <f t="shared" si="0"/>
        <v>200</v>
      </c>
      <c r="G15" s="504" t="s">
        <v>73</v>
      </c>
      <c r="H15" s="101">
        <v>90</v>
      </c>
    </row>
    <row r="16" spans="1:8" x14ac:dyDescent="0.25">
      <c r="A16" s="59"/>
      <c r="B16" s="164"/>
      <c r="C16" s="20">
        <v>200</v>
      </c>
      <c r="D16" s="501">
        <v>200</v>
      </c>
      <c r="E16" s="502">
        <v>42732</v>
      </c>
      <c r="F16" s="503">
        <f t="shared" si="0"/>
        <v>200</v>
      </c>
      <c r="G16" s="504" t="s">
        <v>74</v>
      </c>
      <c r="H16" s="101">
        <v>90</v>
      </c>
    </row>
    <row r="17" spans="1:8" x14ac:dyDescent="0.25">
      <c r="A17" s="59"/>
      <c r="B17" s="164"/>
      <c r="C17" s="20">
        <v>89</v>
      </c>
      <c r="D17" s="501">
        <v>89</v>
      </c>
      <c r="E17" s="502">
        <v>42733</v>
      </c>
      <c r="F17" s="503">
        <f t="shared" si="0"/>
        <v>89</v>
      </c>
      <c r="G17" s="504" t="s">
        <v>75</v>
      </c>
      <c r="H17" s="101">
        <v>90</v>
      </c>
    </row>
    <row r="18" spans="1:8" x14ac:dyDescent="0.25">
      <c r="A18" s="59"/>
      <c r="B18" s="171"/>
      <c r="C18" s="20">
        <v>1</v>
      </c>
      <c r="D18" s="490">
        <v>1</v>
      </c>
      <c r="E18" s="332">
        <v>42748</v>
      </c>
      <c r="F18" s="488">
        <f t="shared" si="0"/>
        <v>1</v>
      </c>
      <c r="G18" s="537" t="s">
        <v>78</v>
      </c>
      <c r="H18" s="489">
        <v>90</v>
      </c>
    </row>
    <row r="19" spans="1:8" x14ac:dyDescent="0.25">
      <c r="A19" s="59"/>
      <c r="B19" s="171"/>
      <c r="C19" s="20">
        <v>567</v>
      </c>
      <c r="D19" s="490">
        <v>567</v>
      </c>
      <c r="E19" s="332">
        <v>43306</v>
      </c>
      <c r="F19" s="488">
        <f t="shared" si="0"/>
        <v>567</v>
      </c>
      <c r="G19" s="537" t="s">
        <v>97</v>
      </c>
      <c r="H19" s="489">
        <v>90</v>
      </c>
    </row>
    <row r="20" spans="1:8" x14ac:dyDescent="0.25">
      <c r="A20" s="59"/>
      <c r="B20" s="171"/>
      <c r="C20" s="20">
        <v>596</v>
      </c>
      <c r="D20" s="490">
        <v>596</v>
      </c>
      <c r="E20" s="332">
        <v>43309</v>
      </c>
      <c r="F20" s="488">
        <f t="shared" si="0"/>
        <v>596</v>
      </c>
      <c r="G20" s="537" t="s">
        <v>99</v>
      </c>
      <c r="H20" s="489">
        <v>90</v>
      </c>
    </row>
    <row r="21" spans="1:8" x14ac:dyDescent="0.25">
      <c r="A21" s="59"/>
      <c r="B21" s="171"/>
      <c r="C21" s="20"/>
      <c r="D21" s="490"/>
      <c r="E21" s="332"/>
      <c r="F21" s="488">
        <f t="shared" si="0"/>
        <v>0</v>
      </c>
      <c r="G21" s="537"/>
      <c r="H21" s="489"/>
    </row>
    <row r="22" spans="1:8" x14ac:dyDescent="0.25">
      <c r="A22" s="59"/>
      <c r="B22" s="121"/>
      <c r="C22" s="20"/>
      <c r="D22" s="501"/>
      <c r="E22" s="502"/>
      <c r="F22" s="503">
        <f t="shared" si="0"/>
        <v>0</v>
      </c>
      <c r="G22" s="504"/>
      <c r="H22" s="101"/>
    </row>
    <row r="23" spans="1:8" x14ac:dyDescent="0.25">
      <c r="A23" s="59"/>
      <c r="B23" s="171"/>
      <c r="C23" s="20"/>
      <c r="D23" s="501"/>
      <c r="E23" s="502"/>
      <c r="F23" s="503">
        <f t="shared" si="0"/>
        <v>0</v>
      </c>
      <c r="G23" s="504"/>
      <c r="H23" s="101"/>
    </row>
    <row r="24" spans="1:8" x14ac:dyDescent="0.25">
      <c r="A24" s="59"/>
      <c r="B24" s="171"/>
      <c r="C24" s="20"/>
      <c r="D24" s="19"/>
      <c r="E24" s="17"/>
      <c r="F24" s="30">
        <f t="shared" si="0"/>
        <v>0</v>
      </c>
      <c r="G24" s="311"/>
      <c r="H24" s="24"/>
    </row>
    <row r="25" spans="1:8" x14ac:dyDescent="0.25">
      <c r="A25" s="59"/>
      <c r="B25" s="171"/>
      <c r="C25" s="20"/>
      <c r="D25" s="19"/>
      <c r="E25" s="411"/>
      <c r="F25" s="30">
        <f t="shared" si="0"/>
        <v>0</v>
      </c>
      <c r="G25" s="496"/>
      <c r="H25" s="412"/>
    </row>
    <row r="26" spans="1:8" x14ac:dyDescent="0.25">
      <c r="A26" s="59"/>
      <c r="B26" s="171"/>
      <c r="C26" s="20"/>
      <c r="D26" s="19"/>
      <c r="E26" s="17"/>
      <c r="F26" s="30">
        <f t="shared" si="0"/>
        <v>0</v>
      </c>
      <c r="G26" s="311"/>
      <c r="H26" s="24"/>
    </row>
    <row r="27" spans="1:8" x14ac:dyDescent="0.25">
      <c r="A27" s="59"/>
      <c r="B27" s="171"/>
      <c r="C27" s="20"/>
      <c r="D27" s="19"/>
      <c r="E27" s="411"/>
      <c r="F27" s="30">
        <f t="shared" si="0"/>
        <v>0</v>
      </c>
      <c r="G27" s="496"/>
      <c r="H27" s="412"/>
    </row>
    <row r="28" spans="1:8" x14ac:dyDescent="0.25">
      <c r="A28" s="59"/>
      <c r="B28" s="171"/>
      <c r="C28" s="20"/>
      <c r="D28" s="19"/>
      <c r="E28" s="17"/>
      <c r="F28" s="30">
        <f t="shared" si="0"/>
        <v>0</v>
      </c>
      <c r="G28" s="311"/>
      <c r="H28" s="24"/>
    </row>
    <row r="29" spans="1:8" x14ac:dyDescent="0.25">
      <c r="A29" s="59"/>
      <c r="B29" s="121"/>
      <c r="C29" s="20"/>
      <c r="D29" s="19"/>
      <c r="E29" s="17"/>
      <c r="F29" s="30">
        <f t="shared" si="0"/>
        <v>0</v>
      </c>
      <c r="G29" s="311"/>
      <c r="H29" s="24"/>
    </row>
    <row r="30" spans="1:8" x14ac:dyDescent="0.25">
      <c r="A30" s="59"/>
      <c r="B30" s="121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1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1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1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1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1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1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1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1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1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1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1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1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1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1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1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3"/>
      <c r="C46" s="48"/>
      <c r="D46" s="137"/>
      <c r="E46" s="112"/>
      <c r="F46" s="136"/>
      <c r="G46" s="75"/>
      <c r="H46" s="139"/>
    </row>
    <row r="47" spans="1:8" ht="16.5" thickTop="1" thickBot="1" x14ac:dyDescent="0.3">
      <c r="A47" s="128"/>
      <c r="B47" s="128"/>
      <c r="C47" s="192">
        <f>SUM(C8:C46)</f>
        <v>2163</v>
      </c>
      <c r="D47" s="192">
        <f>SUM(D8:D46)</f>
        <v>2163</v>
      </c>
      <c r="E47" s="128"/>
      <c r="F47" s="192">
        <f>SUM(F8:F46)</f>
        <v>2163</v>
      </c>
      <c r="G47" s="128"/>
      <c r="H47" s="128"/>
    </row>
    <row r="48" spans="1:8" x14ac:dyDescent="0.25">
      <c r="B48" s="126"/>
      <c r="C48" s="126"/>
      <c r="D48" s="531" t="s">
        <v>21</v>
      </c>
      <c r="E48" s="532"/>
      <c r="F48" s="272">
        <f>E5+E6-F47</f>
        <v>-1163</v>
      </c>
      <c r="G48" s="126"/>
      <c r="H48" s="126"/>
    </row>
    <row r="49" spans="2:8" ht="15.75" thickBot="1" x14ac:dyDescent="0.3">
      <c r="B49" s="126"/>
      <c r="C49" s="126"/>
      <c r="D49" s="533" t="s">
        <v>4</v>
      </c>
      <c r="E49" s="534"/>
      <c r="F49" s="495">
        <f>F5-C47+F6</f>
        <v>-1163</v>
      </c>
      <c r="G49" s="126"/>
      <c r="H49" s="126"/>
    </row>
    <row r="50" spans="2:8" x14ac:dyDescent="0.25">
      <c r="B50" s="126"/>
      <c r="C50" s="126"/>
      <c r="D50" s="126"/>
      <c r="E50" s="126"/>
      <c r="F50" s="126"/>
      <c r="G50" s="126"/>
      <c r="H50" s="126"/>
    </row>
    <row r="51" spans="2:8" x14ac:dyDescent="0.25">
      <c r="B51" s="126"/>
      <c r="C51" s="126"/>
      <c r="D51" s="126"/>
      <c r="E51" s="126"/>
      <c r="F51" s="126"/>
      <c r="G51" s="126"/>
      <c r="H51" s="126"/>
    </row>
    <row r="52" spans="2:8" x14ac:dyDescent="0.25">
      <c r="B52" s="126"/>
      <c r="C52" s="126"/>
      <c r="D52" s="126"/>
      <c r="E52" s="126"/>
      <c r="F52" s="126"/>
      <c r="G52" s="126"/>
      <c r="H52" s="126"/>
    </row>
    <row r="53" spans="2:8" x14ac:dyDescent="0.25">
      <c r="B53" s="126"/>
      <c r="C53" s="126"/>
      <c r="D53" s="126"/>
      <c r="E53" s="126"/>
      <c r="F53" s="126"/>
      <c r="G53" s="126"/>
      <c r="H53" s="126"/>
    </row>
    <row r="54" spans="2:8" x14ac:dyDescent="0.25">
      <c r="B54" s="126"/>
      <c r="C54" s="126"/>
      <c r="D54" s="126"/>
      <c r="E54" s="126"/>
      <c r="F54" s="126"/>
      <c r="G54" s="126"/>
      <c r="H54" s="126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pane ySplit="8" topLeftCell="A9" activePane="bottomLeft" state="frozen"/>
      <selection pane="bottomLeft" activeCell="E28" sqref="E27:E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7"/>
  </cols>
  <sheetData>
    <row r="1" spans="1:9" ht="40.5" x14ac:dyDescent="0.55000000000000004">
      <c r="A1" s="853" t="s">
        <v>211</v>
      </c>
      <c r="B1" s="853"/>
      <c r="C1" s="853"/>
      <c r="D1" s="853"/>
      <c r="E1" s="853"/>
      <c r="F1" s="853"/>
      <c r="G1" s="853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ht="15" customHeight="1" x14ac:dyDescent="0.25">
      <c r="A5" s="848" t="s">
        <v>98</v>
      </c>
      <c r="B5" s="730" t="s">
        <v>156</v>
      </c>
      <c r="C5" s="613">
        <v>89</v>
      </c>
      <c r="D5" s="262">
        <v>43407</v>
      </c>
      <c r="E5" s="147">
        <v>9017.92</v>
      </c>
      <c r="F5" s="99">
        <v>319</v>
      </c>
      <c r="G5" s="787">
        <v>9018.1</v>
      </c>
    </row>
    <row r="6" spans="1:9" x14ac:dyDescent="0.25">
      <c r="A6" s="848"/>
      <c r="B6" s="119"/>
      <c r="C6" s="641"/>
      <c r="D6" s="262"/>
      <c r="E6" s="601"/>
      <c r="F6" s="99"/>
      <c r="G6" s="805"/>
      <c r="H6" s="10">
        <f>E6-G6+E7+E5-G5</f>
        <v>-0.18000000000029104</v>
      </c>
    </row>
    <row r="7" spans="1:9" ht="15.75" thickBot="1" x14ac:dyDescent="0.3">
      <c r="A7" s="16"/>
      <c r="B7" s="26"/>
      <c r="C7" s="291"/>
      <c r="D7" s="313"/>
      <c r="E7" s="147"/>
      <c r="F7" s="99"/>
      <c r="G7" s="792"/>
    </row>
    <row r="8" spans="1:9" ht="16.5" customHeight="1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8">
        <f>F6-C9+F5</f>
        <v>317</v>
      </c>
      <c r="C9" s="20">
        <v>2</v>
      </c>
      <c r="D9" s="109">
        <v>50.67</v>
      </c>
      <c r="E9" s="569">
        <v>43431</v>
      </c>
      <c r="F9" s="109">
        <f t="shared" ref="F9:F73" si="0">D9</f>
        <v>50.67</v>
      </c>
      <c r="G9" s="110" t="s">
        <v>201</v>
      </c>
      <c r="H9" s="111">
        <v>98</v>
      </c>
      <c r="I9" s="192">
        <f>E6-F9+E5</f>
        <v>8967.25</v>
      </c>
    </row>
    <row r="10" spans="1:9" x14ac:dyDescent="0.25">
      <c r="A10" s="516"/>
      <c r="B10" s="508">
        <f>B9-C10</f>
        <v>287</v>
      </c>
      <c r="C10" s="20">
        <v>30</v>
      </c>
      <c r="D10" s="95">
        <v>842.51</v>
      </c>
      <c r="E10" s="624">
        <v>43440</v>
      </c>
      <c r="F10" s="95">
        <f t="shared" si="0"/>
        <v>842.51</v>
      </c>
      <c r="G10" s="106" t="s">
        <v>509</v>
      </c>
      <c r="H10" s="96">
        <v>98</v>
      </c>
      <c r="I10" s="192">
        <f>I9-F10</f>
        <v>8124.74</v>
      </c>
    </row>
    <row r="11" spans="1:9" x14ac:dyDescent="0.25">
      <c r="A11" s="461"/>
      <c r="B11" s="508">
        <f t="shared" ref="B11:B24" si="1">B10-C11</f>
        <v>257</v>
      </c>
      <c r="C11" s="20">
        <v>30</v>
      </c>
      <c r="D11" s="95">
        <v>867.88</v>
      </c>
      <c r="E11" s="624">
        <v>43441</v>
      </c>
      <c r="F11" s="95">
        <f t="shared" si="0"/>
        <v>867.88</v>
      </c>
      <c r="G11" s="106" t="s">
        <v>489</v>
      </c>
      <c r="H11" s="96">
        <v>98</v>
      </c>
      <c r="I11" s="192">
        <f t="shared" ref="I11:I15" si="2">I10-F11</f>
        <v>7256.86</v>
      </c>
    </row>
    <row r="12" spans="1:9" x14ac:dyDescent="0.25">
      <c r="A12" s="461"/>
      <c r="B12" s="508">
        <f t="shared" si="1"/>
        <v>227</v>
      </c>
      <c r="C12" s="20">
        <v>30</v>
      </c>
      <c r="D12" s="95">
        <v>834.25</v>
      </c>
      <c r="E12" s="624">
        <v>43442</v>
      </c>
      <c r="F12" s="95">
        <f t="shared" si="0"/>
        <v>834.25</v>
      </c>
      <c r="G12" s="106" t="s">
        <v>522</v>
      </c>
      <c r="H12" s="96">
        <v>98</v>
      </c>
      <c r="I12" s="192">
        <f t="shared" si="2"/>
        <v>6422.61</v>
      </c>
    </row>
    <row r="13" spans="1:9" x14ac:dyDescent="0.25">
      <c r="A13" s="153" t="s">
        <v>33</v>
      </c>
      <c r="B13" s="508">
        <f t="shared" si="1"/>
        <v>212</v>
      </c>
      <c r="C13" s="20">
        <v>15</v>
      </c>
      <c r="D13" s="736">
        <v>420.58</v>
      </c>
      <c r="E13" s="737">
        <v>43444</v>
      </c>
      <c r="F13" s="95">
        <f t="shared" si="0"/>
        <v>420.58</v>
      </c>
      <c r="G13" s="738" t="s">
        <v>479</v>
      </c>
      <c r="H13" s="96">
        <v>98</v>
      </c>
      <c r="I13" s="192">
        <f t="shared" si="2"/>
        <v>6002.03</v>
      </c>
    </row>
    <row r="14" spans="1:9" x14ac:dyDescent="0.25">
      <c r="A14" s="277"/>
      <c r="B14" s="508">
        <f t="shared" si="1"/>
        <v>182</v>
      </c>
      <c r="C14" s="20">
        <v>30</v>
      </c>
      <c r="D14" s="95">
        <v>844.81</v>
      </c>
      <c r="E14" s="624">
        <v>43445</v>
      </c>
      <c r="F14" s="95">
        <f t="shared" si="0"/>
        <v>844.81</v>
      </c>
      <c r="G14" s="106" t="s">
        <v>528</v>
      </c>
      <c r="H14" s="96">
        <v>98</v>
      </c>
      <c r="I14" s="192">
        <f t="shared" si="2"/>
        <v>5157.2199999999993</v>
      </c>
    </row>
    <row r="15" spans="1:9" x14ac:dyDescent="0.25">
      <c r="A15" s="277"/>
      <c r="B15" s="508">
        <f t="shared" si="1"/>
        <v>152</v>
      </c>
      <c r="C15" s="20">
        <v>30</v>
      </c>
      <c r="D15" s="95">
        <v>828.78</v>
      </c>
      <c r="E15" s="624">
        <v>43445</v>
      </c>
      <c r="F15" s="95">
        <f t="shared" si="0"/>
        <v>828.78</v>
      </c>
      <c r="G15" s="106" t="s">
        <v>529</v>
      </c>
      <c r="H15" s="96">
        <v>98</v>
      </c>
      <c r="I15" s="192">
        <f t="shared" si="2"/>
        <v>4328.4399999999996</v>
      </c>
    </row>
    <row r="16" spans="1:9" x14ac:dyDescent="0.25">
      <c r="B16" s="508">
        <f t="shared" si="1"/>
        <v>122</v>
      </c>
      <c r="C16" s="20">
        <v>30</v>
      </c>
      <c r="D16" s="95">
        <v>872.39</v>
      </c>
      <c r="E16" s="624">
        <v>43447</v>
      </c>
      <c r="F16" s="95">
        <f t="shared" si="0"/>
        <v>872.39</v>
      </c>
      <c r="G16" s="106" t="s">
        <v>534</v>
      </c>
      <c r="H16" s="96">
        <v>98</v>
      </c>
      <c r="I16" s="192">
        <f t="shared" ref="I16:I75" si="3">I15-F16</f>
        <v>3456.0499999999997</v>
      </c>
    </row>
    <row r="17" spans="1:9" x14ac:dyDescent="0.25">
      <c r="B17" s="508">
        <f t="shared" si="1"/>
        <v>90</v>
      </c>
      <c r="C17" s="20">
        <v>32</v>
      </c>
      <c r="D17" s="95">
        <v>908</v>
      </c>
      <c r="E17" s="624">
        <v>43448</v>
      </c>
      <c r="F17" s="95">
        <f t="shared" si="0"/>
        <v>908</v>
      </c>
      <c r="G17" s="106" t="s">
        <v>548</v>
      </c>
      <c r="H17" s="96">
        <v>98</v>
      </c>
      <c r="I17" s="192">
        <f t="shared" si="3"/>
        <v>2548.0499999999997</v>
      </c>
    </row>
    <row r="18" spans="1:9" x14ac:dyDescent="0.25">
      <c r="A18" s="232"/>
      <c r="B18" s="508">
        <f t="shared" si="1"/>
        <v>60</v>
      </c>
      <c r="C18" s="20">
        <v>30</v>
      </c>
      <c r="D18" s="95">
        <v>859.33</v>
      </c>
      <c r="E18" s="624">
        <v>43450</v>
      </c>
      <c r="F18" s="95">
        <f t="shared" si="0"/>
        <v>859.33</v>
      </c>
      <c r="G18" s="106" t="s">
        <v>558</v>
      </c>
      <c r="H18" s="96">
        <v>98</v>
      </c>
      <c r="I18" s="192">
        <f t="shared" si="3"/>
        <v>1688.7199999999998</v>
      </c>
    </row>
    <row r="19" spans="1:9" x14ac:dyDescent="0.25">
      <c r="A19" s="232"/>
      <c r="B19" s="508">
        <f t="shared" si="1"/>
        <v>30</v>
      </c>
      <c r="C19" s="20">
        <v>30</v>
      </c>
      <c r="D19" s="95">
        <v>853.86</v>
      </c>
      <c r="E19" s="624">
        <v>43451</v>
      </c>
      <c r="F19" s="95">
        <f t="shared" si="0"/>
        <v>853.86</v>
      </c>
      <c r="G19" s="106" t="s">
        <v>564</v>
      </c>
      <c r="H19" s="96">
        <v>98</v>
      </c>
      <c r="I19" s="192">
        <f t="shared" si="3"/>
        <v>834.85999999999979</v>
      </c>
    </row>
    <row r="20" spans="1:9" x14ac:dyDescent="0.25">
      <c r="A20" s="232"/>
      <c r="B20" s="508">
        <f t="shared" si="1"/>
        <v>15</v>
      </c>
      <c r="C20" s="20">
        <v>15</v>
      </c>
      <c r="D20" s="95">
        <v>391.8</v>
      </c>
      <c r="E20" s="624">
        <v>43451</v>
      </c>
      <c r="F20" s="95">
        <f t="shared" si="0"/>
        <v>391.8</v>
      </c>
      <c r="G20" s="106" t="s">
        <v>569</v>
      </c>
      <c r="H20" s="96">
        <v>98</v>
      </c>
      <c r="I20" s="192">
        <f t="shared" si="3"/>
        <v>443.05999999999977</v>
      </c>
    </row>
    <row r="21" spans="1:9" x14ac:dyDescent="0.25">
      <c r="A21" s="232"/>
      <c r="B21" s="508">
        <f t="shared" si="1"/>
        <v>0</v>
      </c>
      <c r="C21" s="20">
        <v>15</v>
      </c>
      <c r="D21" s="95">
        <v>443.24</v>
      </c>
      <c r="E21" s="624">
        <v>43456</v>
      </c>
      <c r="F21" s="95">
        <f t="shared" si="0"/>
        <v>443.24</v>
      </c>
      <c r="G21" s="106" t="s">
        <v>610</v>
      </c>
      <c r="H21" s="96">
        <v>98</v>
      </c>
      <c r="I21" s="192">
        <f t="shared" si="3"/>
        <v>-0.18000000000023419</v>
      </c>
    </row>
    <row r="22" spans="1:9" x14ac:dyDescent="0.25">
      <c r="A22" s="232"/>
      <c r="B22" s="508">
        <f t="shared" si="1"/>
        <v>0</v>
      </c>
      <c r="C22" s="20"/>
      <c r="D22" s="95"/>
      <c r="E22" s="624"/>
      <c r="F22" s="95">
        <f t="shared" si="0"/>
        <v>0</v>
      </c>
      <c r="G22" s="106"/>
      <c r="H22" s="96"/>
      <c r="I22" s="192">
        <f t="shared" si="3"/>
        <v>-0.18000000000023419</v>
      </c>
    </row>
    <row r="23" spans="1:9" x14ac:dyDescent="0.25">
      <c r="A23" s="233"/>
      <c r="B23" s="508">
        <f t="shared" si="1"/>
        <v>0</v>
      </c>
      <c r="C23" s="20"/>
      <c r="D23" s="95"/>
      <c r="E23" s="624"/>
      <c r="F23" s="95">
        <f t="shared" si="0"/>
        <v>0</v>
      </c>
      <c r="G23" s="106"/>
      <c r="H23" s="96"/>
      <c r="I23" s="192">
        <f t="shared" si="3"/>
        <v>-0.18000000000023419</v>
      </c>
    </row>
    <row r="24" spans="1:9" x14ac:dyDescent="0.25">
      <c r="A24" s="232"/>
      <c r="B24" s="508">
        <f t="shared" si="1"/>
        <v>0</v>
      </c>
      <c r="C24" s="20"/>
      <c r="D24" s="95"/>
      <c r="E24" s="624"/>
      <c r="F24" s="95">
        <f t="shared" si="0"/>
        <v>0</v>
      </c>
      <c r="G24" s="106"/>
      <c r="H24" s="96"/>
      <c r="I24" s="192">
        <f t="shared" si="3"/>
        <v>-0.18000000000023419</v>
      </c>
    </row>
    <row r="25" spans="1:9" x14ac:dyDescent="0.25">
      <c r="A25" s="232"/>
      <c r="B25" s="508">
        <f t="shared" ref="B25:B54" si="4">B24-C25</f>
        <v>0</v>
      </c>
      <c r="C25" s="20"/>
      <c r="D25" s="647"/>
      <c r="E25" s="691"/>
      <c r="F25" s="647">
        <f t="shared" si="0"/>
        <v>0</v>
      </c>
      <c r="G25" s="648"/>
      <c r="H25" s="649"/>
      <c r="I25" s="192">
        <f t="shared" si="3"/>
        <v>-0.18000000000023419</v>
      </c>
    </row>
    <row r="26" spans="1:9" x14ac:dyDescent="0.25">
      <c r="A26" s="232"/>
      <c r="B26" s="651">
        <f t="shared" si="4"/>
        <v>0</v>
      </c>
      <c r="C26" s="20"/>
      <c r="D26" s="647"/>
      <c r="E26" s="691"/>
      <c r="F26" s="647">
        <f t="shared" si="0"/>
        <v>0</v>
      </c>
      <c r="G26" s="648"/>
      <c r="H26" s="649"/>
      <c r="I26" s="192">
        <f t="shared" si="3"/>
        <v>-0.18000000000023419</v>
      </c>
    </row>
    <row r="27" spans="1:9" x14ac:dyDescent="0.25">
      <c r="A27" s="232"/>
      <c r="B27" s="508">
        <f t="shared" si="4"/>
        <v>0</v>
      </c>
      <c r="C27" s="20"/>
      <c r="D27" s="647"/>
      <c r="E27" s="691"/>
      <c r="F27" s="647">
        <f t="shared" si="0"/>
        <v>0</v>
      </c>
      <c r="G27" s="648"/>
      <c r="H27" s="649"/>
      <c r="I27" s="192">
        <f t="shared" si="3"/>
        <v>-0.18000000000023419</v>
      </c>
    </row>
    <row r="28" spans="1:9" x14ac:dyDescent="0.25">
      <c r="A28" s="232"/>
      <c r="B28" s="651">
        <f t="shared" si="4"/>
        <v>0</v>
      </c>
      <c r="C28" s="20"/>
      <c r="D28" s="647"/>
      <c r="E28" s="691"/>
      <c r="F28" s="647">
        <f t="shared" si="0"/>
        <v>0</v>
      </c>
      <c r="G28" s="648"/>
      <c r="H28" s="649"/>
      <c r="I28" s="192">
        <f t="shared" si="3"/>
        <v>-0.18000000000023419</v>
      </c>
    </row>
    <row r="29" spans="1:9" x14ac:dyDescent="0.25">
      <c r="A29" s="232"/>
      <c r="B29" s="508">
        <f t="shared" si="4"/>
        <v>0</v>
      </c>
      <c r="C29" s="20"/>
      <c r="D29" s="647"/>
      <c r="E29" s="691"/>
      <c r="F29" s="647">
        <f t="shared" si="0"/>
        <v>0</v>
      </c>
      <c r="G29" s="648"/>
      <c r="H29" s="649"/>
      <c r="I29" s="192">
        <f t="shared" si="3"/>
        <v>-0.18000000000023419</v>
      </c>
    </row>
    <row r="30" spans="1:9" x14ac:dyDescent="0.25">
      <c r="A30" s="232"/>
      <c r="B30" s="508">
        <f t="shared" si="4"/>
        <v>0</v>
      </c>
      <c r="C30" s="20"/>
      <c r="D30" s="660"/>
      <c r="E30" s="663"/>
      <c r="F30" s="660">
        <f t="shared" si="0"/>
        <v>0</v>
      </c>
      <c r="G30" s="661"/>
      <c r="H30" s="662"/>
      <c r="I30" s="192">
        <f t="shared" si="3"/>
        <v>-0.18000000000023419</v>
      </c>
    </row>
    <row r="31" spans="1:9" x14ac:dyDescent="0.25">
      <c r="A31" s="232"/>
      <c r="B31" s="508">
        <f t="shared" si="4"/>
        <v>0</v>
      </c>
      <c r="C31" s="20"/>
      <c r="D31" s="660"/>
      <c r="E31" s="663"/>
      <c r="F31" s="660">
        <f t="shared" si="0"/>
        <v>0</v>
      </c>
      <c r="G31" s="661"/>
      <c r="H31" s="662"/>
      <c r="I31" s="192">
        <f t="shared" si="3"/>
        <v>-0.18000000000023419</v>
      </c>
    </row>
    <row r="32" spans="1:9" x14ac:dyDescent="0.25">
      <c r="A32" s="232"/>
      <c r="B32" s="508">
        <f t="shared" si="4"/>
        <v>0</v>
      </c>
      <c r="C32" s="20"/>
      <c r="D32" s="660"/>
      <c r="E32" s="663"/>
      <c r="F32" s="660">
        <f t="shared" si="0"/>
        <v>0</v>
      </c>
      <c r="G32" s="661"/>
      <c r="H32" s="662"/>
      <c r="I32" s="192">
        <f t="shared" si="3"/>
        <v>-0.18000000000023419</v>
      </c>
    </row>
    <row r="33" spans="1:9" x14ac:dyDescent="0.25">
      <c r="A33" s="232"/>
      <c r="B33" s="508">
        <f t="shared" si="4"/>
        <v>0</v>
      </c>
      <c r="C33" s="20"/>
      <c r="D33" s="660"/>
      <c r="E33" s="663"/>
      <c r="F33" s="660">
        <f t="shared" si="0"/>
        <v>0</v>
      </c>
      <c r="G33" s="661"/>
      <c r="H33" s="662"/>
      <c r="I33" s="192">
        <f t="shared" si="3"/>
        <v>-0.18000000000023419</v>
      </c>
    </row>
    <row r="34" spans="1:9" x14ac:dyDescent="0.25">
      <c r="A34" s="232"/>
      <c r="B34" s="508">
        <f t="shared" si="4"/>
        <v>0</v>
      </c>
      <c r="C34" s="20"/>
      <c r="D34" s="660"/>
      <c r="E34" s="663"/>
      <c r="F34" s="660">
        <f t="shared" si="0"/>
        <v>0</v>
      </c>
      <c r="G34" s="661"/>
      <c r="H34" s="662"/>
      <c r="I34" s="192">
        <f t="shared" si="3"/>
        <v>-0.18000000000023419</v>
      </c>
    </row>
    <row r="35" spans="1:9" x14ac:dyDescent="0.25">
      <c r="A35" s="232"/>
      <c r="B35" s="508">
        <f t="shared" si="4"/>
        <v>0</v>
      </c>
      <c r="C35" s="20"/>
      <c r="D35" s="660"/>
      <c r="E35" s="663"/>
      <c r="F35" s="660">
        <f t="shared" si="0"/>
        <v>0</v>
      </c>
      <c r="G35" s="661"/>
      <c r="H35" s="662"/>
      <c r="I35" s="192">
        <f t="shared" si="3"/>
        <v>-0.18000000000023419</v>
      </c>
    </row>
    <row r="36" spans="1:9" x14ac:dyDescent="0.25">
      <c r="A36" s="232" t="s">
        <v>22</v>
      </c>
      <c r="B36" s="508">
        <f t="shared" si="4"/>
        <v>0</v>
      </c>
      <c r="C36" s="20"/>
      <c r="D36" s="660"/>
      <c r="E36" s="663"/>
      <c r="F36" s="660">
        <f t="shared" si="0"/>
        <v>0</v>
      </c>
      <c r="G36" s="661"/>
      <c r="H36" s="662"/>
      <c r="I36" s="192">
        <f t="shared" si="3"/>
        <v>-0.18000000000023419</v>
      </c>
    </row>
    <row r="37" spans="1:9" x14ac:dyDescent="0.25">
      <c r="A37" s="233"/>
      <c r="B37" s="508">
        <f t="shared" si="4"/>
        <v>0</v>
      </c>
      <c r="C37" s="20"/>
      <c r="D37" s="660"/>
      <c r="E37" s="663"/>
      <c r="F37" s="660">
        <f t="shared" si="0"/>
        <v>0</v>
      </c>
      <c r="G37" s="661"/>
      <c r="H37" s="662"/>
      <c r="I37" s="192">
        <f t="shared" si="3"/>
        <v>-0.18000000000023419</v>
      </c>
    </row>
    <row r="38" spans="1:9" x14ac:dyDescent="0.25">
      <c r="A38" s="232"/>
      <c r="B38" s="508">
        <f t="shared" si="4"/>
        <v>0</v>
      </c>
      <c r="C38" s="20"/>
      <c r="D38" s="660"/>
      <c r="E38" s="663"/>
      <c r="F38" s="660">
        <f t="shared" si="0"/>
        <v>0</v>
      </c>
      <c r="G38" s="661"/>
      <c r="H38" s="662"/>
      <c r="I38" s="192">
        <f t="shared" si="3"/>
        <v>-0.18000000000023419</v>
      </c>
    </row>
    <row r="39" spans="1:9" x14ac:dyDescent="0.25">
      <c r="A39" s="232"/>
      <c r="B39" s="508">
        <f t="shared" si="4"/>
        <v>0</v>
      </c>
      <c r="C39" s="20"/>
      <c r="D39" s="660"/>
      <c r="E39" s="663"/>
      <c r="F39" s="660">
        <f t="shared" si="0"/>
        <v>0</v>
      </c>
      <c r="G39" s="661"/>
      <c r="H39" s="662"/>
      <c r="I39" s="192">
        <f t="shared" si="3"/>
        <v>-0.18000000000023419</v>
      </c>
    </row>
    <row r="40" spans="1:9" x14ac:dyDescent="0.25">
      <c r="A40" s="232"/>
      <c r="B40" s="508">
        <f t="shared" si="4"/>
        <v>0</v>
      </c>
      <c r="C40" s="20"/>
      <c r="D40" s="660"/>
      <c r="E40" s="663"/>
      <c r="F40" s="660">
        <f t="shared" si="0"/>
        <v>0</v>
      </c>
      <c r="G40" s="661"/>
      <c r="H40" s="662"/>
      <c r="I40" s="192">
        <f t="shared" si="3"/>
        <v>-0.18000000000023419</v>
      </c>
    </row>
    <row r="41" spans="1:9" x14ac:dyDescent="0.25">
      <c r="A41" s="232"/>
      <c r="B41" s="508">
        <f t="shared" si="4"/>
        <v>0</v>
      </c>
      <c r="C41" s="20"/>
      <c r="D41" s="660"/>
      <c r="E41" s="663"/>
      <c r="F41" s="660">
        <f t="shared" si="0"/>
        <v>0</v>
      </c>
      <c r="G41" s="661"/>
      <c r="H41" s="662"/>
      <c r="I41" s="192">
        <f t="shared" si="3"/>
        <v>-0.18000000000023419</v>
      </c>
    </row>
    <row r="42" spans="1:9" x14ac:dyDescent="0.25">
      <c r="A42" s="232"/>
      <c r="B42" s="508">
        <f t="shared" si="4"/>
        <v>0</v>
      </c>
      <c r="C42" s="20"/>
      <c r="D42" s="660"/>
      <c r="E42" s="663"/>
      <c r="F42" s="660">
        <f t="shared" si="0"/>
        <v>0</v>
      </c>
      <c r="G42" s="661"/>
      <c r="H42" s="662"/>
      <c r="I42" s="192">
        <f t="shared" si="3"/>
        <v>-0.18000000000023419</v>
      </c>
    </row>
    <row r="43" spans="1:9" x14ac:dyDescent="0.25">
      <c r="A43" s="232"/>
      <c r="B43" s="508">
        <f t="shared" si="4"/>
        <v>0</v>
      </c>
      <c r="C43" s="20"/>
      <c r="D43" s="660"/>
      <c r="E43" s="663"/>
      <c r="F43" s="660">
        <f t="shared" si="0"/>
        <v>0</v>
      </c>
      <c r="G43" s="661"/>
      <c r="H43" s="662"/>
      <c r="I43" s="192">
        <f t="shared" si="3"/>
        <v>-0.18000000000023419</v>
      </c>
    </row>
    <row r="44" spans="1:9" x14ac:dyDescent="0.25">
      <c r="A44" s="232"/>
      <c r="B44" s="508">
        <f t="shared" si="4"/>
        <v>0</v>
      </c>
      <c r="C44" s="20"/>
      <c r="D44" s="660"/>
      <c r="E44" s="663"/>
      <c r="F44" s="660">
        <f t="shared" si="0"/>
        <v>0</v>
      </c>
      <c r="G44" s="661"/>
      <c r="H44" s="662"/>
      <c r="I44" s="192">
        <f t="shared" si="3"/>
        <v>-0.18000000000023419</v>
      </c>
    </row>
    <row r="45" spans="1:9" x14ac:dyDescent="0.25">
      <c r="A45" s="232"/>
      <c r="B45" s="508">
        <f t="shared" si="4"/>
        <v>0</v>
      </c>
      <c r="C45" s="20"/>
      <c r="D45" s="660"/>
      <c r="E45" s="663"/>
      <c r="F45" s="660">
        <f t="shared" si="0"/>
        <v>0</v>
      </c>
      <c r="G45" s="661"/>
      <c r="H45" s="662"/>
      <c r="I45" s="192">
        <f t="shared" si="3"/>
        <v>-0.18000000000023419</v>
      </c>
    </row>
    <row r="46" spans="1:9" x14ac:dyDescent="0.25">
      <c r="A46" s="232"/>
      <c r="B46" s="508">
        <f t="shared" si="4"/>
        <v>0</v>
      </c>
      <c r="C46" s="20"/>
      <c r="D46" s="660"/>
      <c r="E46" s="663"/>
      <c r="F46" s="660">
        <f t="shared" si="0"/>
        <v>0</v>
      </c>
      <c r="G46" s="661"/>
      <c r="H46" s="662"/>
      <c r="I46" s="192">
        <f t="shared" si="3"/>
        <v>-0.18000000000023419</v>
      </c>
    </row>
    <row r="47" spans="1:9" x14ac:dyDescent="0.25">
      <c r="A47" s="232"/>
      <c r="B47" s="508">
        <f t="shared" si="4"/>
        <v>0</v>
      </c>
      <c r="C47" s="20"/>
      <c r="D47" s="660"/>
      <c r="E47" s="663"/>
      <c r="F47" s="660">
        <f t="shared" si="0"/>
        <v>0</v>
      </c>
      <c r="G47" s="661"/>
      <c r="H47" s="662"/>
      <c r="I47" s="192">
        <f t="shared" si="3"/>
        <v>-0.18000000000023419</v>
      </c>
    </row>
    <row r="48" spans="1:9" x14ac:dyDescent="0.25">
      <c r="A48" s="232"/>
      <c r="B48" s="508">
        <f t="shared" si="4"/>
        <v>0</v>
      </c>
      <c r="C48" s="20"/>
      <c r="D48" s="660"/>
      <c r="E48" s="663"/>
      <c r="F48" s="660">
        <f t="shared" si="0"/>
        <v>0</v>
      </c>
      <c r="G48" s="661"/>
      <c r="H48" s="662"/>
      <c r="I48" s="192">
        <f t="shared" si="3"/>
        <v>-0.18000000000023419</v>
      </c>
    </row>
    <row r="49" spans="1:9" x14ac:dyDescent="0.25">
      <c r="A49" s="232"/>
      <c r="B49" s="508">
        <f t="shared" si="4"/>
        <v>0</v>
      </c>
      <c r="C49" s="20"/>
      <c r="D49" s="660"/>
      <c r="E49" s="663"/>
      <c r="F49" s="660">
        <f t="shared" si="0"/>
        <v>0</v>
      </c>
      <c r="G49" s="661"/>
      <c r="H49" s="662"/>
      <c r="I49" s="192">
        <f t="shared" si="3"/>
        <v>-0.18000000000023419</v>
      </c>
    </row>
    <row r="50" spans="1:9" x14ac:dyDescent="0.25">
      <c r="A50" s="232"/>
      <c r="B50" s="508">
        <f t="shared" si="4"/>
        <v>0</v>
      </c>
      <c r="C50" s="20"/>
      <c r="D50" s="660"/>
      <c r="E50" s="663"/>
      <c r="F50" s="660">
        <f t="shared" si="0"/>
        <v>0</v>
      </c>
      <c r="G50" s="661"/>
      <c r="H50" s="662"/>
      <c r="I50" s="192">
        <f t="shared" si="3"/>
        <v>-0.18000000000023419</v>
      </c>
    </row>
    <row r="51" spans="1:9" x14ac:dyDescent="0.25">
      <c r="A51" s="232"/>
      <c r="B51" s="508">
        <f t="shared" si="4"/>
        <v>0</v>
      </c>
      <c r="C51" s="20"/>
      <c r="D51" s="660"/>
      <c r="E51" s="663"/>
      <c r="F51" s="660">
        <f t="shared" si="0"/>
        <v>0</v>
      </c>
      <c r="G51" s="661"/>
      <c r="H51" s="662"/>
      <c r="I51" s="192">
        <f t="shared" si="3"/>
        <v>-0.18000000000023419</v>
      </c>
    </row>
    <row r="52" spans="1:9" x14ac:dyDescent="0.25">
      <c r="A52" s="232"/>
      <c r="B52" s="508">
        <f t="shared" si="4"/>
        <v>0</v>
      </c>
      <c r="C52" s="20"/>
      <c r="D52" s="95"/>
      <c r="E52" s="624"/>
      <c r="F52" s="109">
        <f t="shared" si="0"/>
        <v>0</v>
      </c>
      <c r="G52" s="110"/>
      <c r="H52" s="111"/>
      <c r="I52" s="192">
        <f t="shared" si="3"/>
        <v>-0.18000000000023419</v>
      </c>
    </row>
    <row r="53" spans="1:9" x14ac:dyDescent="0.25">
      <c r="A53" s="232"/>
      <c r="B53" s="508">
        <f t="shared" si="4"/>
        <v>0</v>
      </c>
      <c r="C53" s="20"/>
      <c r="D53" s="95"/>
      <c r="E53" s="624"/>
      <c r="F53" s="109">
        <f t="shared" si="0"/>
        <v>0</v>
      </c>
      <c r="G53" s="110"/>
      <c r="H53" s="111"/>
      <c r="I53" s="192">
        <f t="shared" si="3"/>
        <v>-0.18000000000023419</v>
      </c>
    </row>
    <row r="54" spans="1:9" x14ac:dyDescent="0.25">
      <c r="A54" s="232"/>
      <c r="B54" s="508">
        <f t="shared" si="4"/>
        <v>0</v>
      </c>
      <c r="C54" s="20"/>
      <c r="D54" s="95"/>
      <c r="E54" s="624"/>
      <c r="F54" s="109">
        <f t="shared" si="0"/>
        <v>0</v>
      </c>
      <c r="G54" s="110"/>
      <c r="H54" s="111"/>
      <c r="I54" s="192">
        <f t="shared" si="3"/>
        <v>-0.18000000000023419</v>
      </c>
    </row>
    <row r="55" spans="1:9" x14ac:dyDescent="0.25">
      <c r="A55" s="232"/>
      <c r="B55" s="230"/>
      <c r="C55" s="20"/>
      <c r="D55" s="95"/>
      <c r="E55" s="624"/>
      <c r="F55" s="109">
        <f t="shared" si="0"/>
        <v>0</v>
      </c>
      <c r="G55" s="110"/>
      <c r="H55" s="111"/>
      <c r="I55" s="192">
        <f t="shared" si="3"/>
        <v>-0.18000000000023419</v>
      </c>
    </row>
    <row r="56" spans="1:9" x14ac:dyDescent="0.25">
      <c r="A56" s="232"/>
      <c r="B56" s="230"/>
      <c r="C56" s="20"/>
      <c r="D56" s="95"/>
      <c r="E56" s="624"/>
      <c r="F56" s="109">
        <f t="shared" si="0"/>
        <v>0</v>
      </c>
      <c r="G56" s="110"/>
      <c r="H56" s="111"/>
      <c r="I56" s="192">
        <f t="shared" si="3"/>
        <v>-0.18000000000023419</v>
      </c>
    </row>
    <row r="57" spans="1:9" x14ac:dyDescent="0.25">
      <c r="A57" s="232"/>
      <c r="B57" s="230"/>
      <c r="C57" s="20"/>
      <c r="D57" s="95"/>
      <c r="E57" s="624"/>
      <c r="F57" s="109">
        <f t="shared" si="0"/>
        <v>0</v>
      </c>
      <c r="G57" s="110"/>
      <c r="H57" s="111"/>
      <c r="I57" s="192">
        <f t="shared" si="3"/>
        <v>-0.18000000000023419</v>
      </c>
    </row>
    <row r="58" spans="1:9" x14ac:dyDescent="0.25">
      <c r="A58" s="232"/>
      <c r="B58" s="230"/>
      <c r="C58" s="20"/>
      <c r="D58" s="95"/>
      <c r="E58" s="624"/>
      <c r="F58" s="109">
        <f t="shared" si="0"/>
        <v>0</v>
      </c>
      <c r="G58" s="110"/>
      <c r="H58" s="111"/>
      <c r="I58" s="192">
        <f t="shared" si="3"/>
        <v>-0.18000000000023419</v>
      </c>
    </row>
    <row r="59" spans="1:9" x14ac:dyDescent="0.25">
      <c r="A59" s="232"/>
      <c r="B59" s="230"/>
      <c r="C59" s="20"/>
      <c r="D59" s="95"/>
      <c r="E59" s="624"/>
      <c r="F59" s="109">
        <f t="shared" si="0"/>
        <v>0</v>
      </c>
      <c r="G59" s="110"/>
      <c r="H59" s="111"/>
      <c r="I59" s="192">
        <f t="shared" si="3"/>
        <v>-0.18000000000023419</v>
      </c>
    </row>
    <row r="60" spans="1:9" x14ac:dyDescent="0.25">
      <c r="A60" s="232"/>
      <c r="B60" s="230"/>
      <c r="C60" s="20"/>
      <c r="D60" s="95"/>
      <c r="E60" s="624"/>
      <c r="F60" s="109">
        <f t="shared" si="0"/>
        <v>0</v>
      </c>
      <c r="G60" s="110"/>
      <c r="H60" s="111"/>
      <c r="I60" s="192">
        <f t="shared" si="3"/>
        <v>-0.18000000000023419</v>
      </c>
    </row>
    <row r="61" spans="1:9" x14ac:dyDescent="0.25">
      <c r="A61" s="232"/>
      <c r="B61" s="230"/>
      <c r="C61" s="20"/>
      <c r="D61" s="95"/>
      <c r="E61" s="624"/>
      <c r="F61" s="109">
        <f t="shared" si="0"/>
        <v>0</v>
      </c>
      <c r="G61" s="110"/>
      <c r="H61" s="111"/>
      <c r="I61" s="192">
        <f t="shared" si="3"/>
        <v>-0.18000000000023419</v>
      </c>
    </row>
    <row r="62" spans="1:9" x14ac:dyDescent="0.25">
      <c r="A62" s="232"/>
      <c r="B62" s="230"/>
      <c r="C62" s="20"/>
      <c r="D62" s="95"/>
      <c r="E62" s="624"/>
      <c r="F62" s="109">
        <f t="shared" si="0"/>
        <v>0</v>
      </c>
      <c r="G62" s="110"/>
      <c r="H62" s="111"/>
      <c r="I62" s="192">
        <f t="shared" si="3"/>
        <v>-0.18000000000023419</v>
      </c>
    </row>
    <row r="63" spans="1:9" x14ac:dyDescent="0.25">
      <c r="A63" s="232"/>
      <c r="B63" s="230"/>
      <c r="C63" s="20"/>
      <c r="D63" s="95"/>
      <c r="E63" s="624"/>
      <c r="F63" s="109">
        <f t="shared" si="0"/>
        <v>0</v>
      </c>
      <c r="G63" s="110"/>
      <c r="H63" s="111"/>
      <c r="I63" s="192">
        <f t="shared" si="3"/>
        <v>-0.18000000000023419</v>
      </c>
    </row>
    <row r="64" spans="1:9" x14ac:dyDescent="0.25">
      <c r="A64" s="232"/>
      <c r="B64" s="7"/>
      <c r="C64" s="20"/>
      <c r="D64" s="95"/>
      <c r="E64" s="624"/>
      <c r="F64" s="109">
        <f t="shared" si="0"/>
        <v>0</v>
      </c>
      <c r="G64" s="110"/>
      <c r="H64" s="111"/>
      <c r="I64" s="192">
        <f t="shared" si="3"/>
        <v>-0.18000000000023419</v>
      </c>
    </row>
    <row r="65" spans="1:9" x14ac:dyDescent="0.25">
      <c r="A65" s="232"/>
      <c r="B65" s="7"/>
      <c r="C65" s="20"/>
      <c r="D65" s="95"/>
      <c r="E65" s="624"/>
      <c r="F65" s="109">
        <f t="shared" si="0"/>
        <v>0</v>
      </c>
      <c r="G65" s="110"/>
      <c r="H65" s="111"/>
      <c r="I65" s="192">
        <f t="shared" si="3"/>
        <v>-0.18000000000023419</v>
      </c>
    </row>
    <row r="66" spans="1:9" x14ac:dyDescent="0.25">
      <c r="A66" s="232"/>
      <c r="B66" s="7"/>
      <c r="C66" s="20"/>
      <c r="D66" s="95"/>
      <c r="E66" s="624"/>
      <c r="F66" s="109">
        <f t="shared" si="0"/>
        <v>0</v>
      </c>
      <c r="G66" s="110"/>
      <c r="H66" s="111"/>
      <c r="I66" s="192">
        <f t="shared" si="3"/>
        <v>-0.18000000000023419</v>
      </c>
    </row>
    <row r="67" spans="1:9" x14ac:dyDescent="0.25">
      <c r="A67" s="232"/>
      <c r="B67" s="7"/>
      <c r="C67" s="20"/>
      <c r="D67" s="95"/>
      <c r="E67" s="624"/>
      <c r="F67" s="109">
        <f t="shared" si="0"/>
        <v>0</v>
      </c>
      <c r="G67" s="110"/>
      <c r="H67" s="111"/>
      <c r="I67" s="192">
        <f t="shared" si="3"/>
        <v>-0.18000000000023419</v>
      </c>
    </row>
    <row r="68" spans="1:9" x14ac:dyDescent="0.25">
      <c r="A68" s="232"/>
      <c r="B68" s="7"/>
      <c r="C68" s="20"/>
      <c r="D68" s="95"/>
      <c r="E68" s="624"/>
      <c r="F68" s="109">
        <f t="shared" si="0"/>
        <v>0</v>
      </c>
      <c r="G68" s="110"/>
      <c r="H68" s="111"/>
      <c r="I68" s="192">
        <f t="shared" si="3"/>
        <v>-0.18000000000023419</v>
      </c>
    </row>
    <row r="69" spans="1:9" x14ac:dyDescent="0.25">
      <c r="A69" s="232"/>
      <c r="B69" s="7"/>
      <c r="C69" s="20"/>
      <c r="D69" s="95"/>
      <c r="E69" s="624"/>
      <c r="F69" s="109">
        <f t="shared" si="0"/>
        <v>0</v>
      </c>
      <c r="G69" s="110"/>
      <c r="H69" s="111"/>
      <c r="I69" s="192">
        <f t="shared" si="3"/>
        <v>-0.18000000000023419</v>
      </c>
    </row>
    <row r="70" spans="1:9" x14ac:dyDescent="0.25">
      <c r="A70" s="232"/>
      <c r="B70" s="7"/>
      <c r="C70" s="20"/>
      <c r="D70" s="95"/>
      <c r="E70" s="624"/>
      <c r="F70" s="109">
        <f t="shared" si="0"/>
        <v>0</v>
      </c>
      <c r="G70" s="110"/>
      <c r="H70" s="111"/>
      <c r="I70" s="192">
        <f t="shared" si="3"/>
        <v>-0.18000000000023419</v>
      </c>
    </row>
    <row r="71" spans="1:9" x14ac:dyDescent="0.25">
      <c r="A71" s="232"/>
      <c r="B71" s="7"/>
      <c r="C71" s="20"/>
      <c r="D71" s="95"/>
      <c r="E71" s="624"/>
      <c r="F71" s="109">
        <f t="shared" si="0"/>
        <v>0</v>
      </c>
      <c r="G71" s="110"/>
      <c r="H71" s="111"/>
      <c r="I71" s="192">
        <f t="shared" si="3"/>
        <v>-0.18000000000023419</v>
      </c>
    </row>
    <row r="72" spans="1:9" x14ac:dyDescent="0.25">
      <c r="A72" s="232"/>
      <c r="B72" s="7"/>
      <c r="C72" s="20"/>
      <c r="D72" s="95"/>
      <c r="E72" s="624"/>
      <c r="F72" s="109">
        <f t="shared" si="0"/>
        <v>0</v>
      </c>
      <c r="G72" s="110"/>
      <c r="H72" s="111"/>
      <c r="I72" s="192">
        <f t="shared" si="3"/>
        <v>-0.18000000000023419</v>
      </c>
    </row>
    <row r="73" spans="1:9" x14ac:dyDescent="0.25">
      <c r="A73" s="232"/>
      <c r="B73" s="7"/>
      <c r="C73" s="20"/>
      <c r="D73" s="95"/>
      <c r="E73" s="624"/>
      <c r="F73" s="109">
        <f t="shared" si="0"/>
        <v>0</v>
      </c>
      <c r="G73" s="110"/>
      <c r="H73" s="111"/>
      <c r="I73" s="192">
        <f t="shared" si="3"/>
        <v>-0.18000000000023419</v>
      </c>
    </row>
    <row r="74" spans="1:9" x14ac:dyDescent="0.25">
      <c r="A74" s="232"/>
      <c r="B74" s="7"/>
      <c r="C74" s="20"/>
      <c r="D74" s="95"/>
      <c r="E74" s="624"/>
      <c r="F74" s="109">
        <f>D74</f>
        <v>0</v>
      </c>
      <c r="G74" s="110"/>
      <c r="H74" s="111"/>
      <c r="I74" s="192">
        <f t="shared" si="3"/>
        <v>-0.18000000000023419</v>
      </c>
    </row>
    <row r="75" spans="1:9" x14ac:dyDescent="0.25">
      <c r="A75" s="232"/>
      <c r="B75" s="7"/>
      <c r="C75" s="20"/>
      <c r="D75" s="95"/>
      <c r="E75" s="624"/>
      <c r="F75" s="109">
        <f>D75</f>
        <v>0</v>
      </c>
      <c r="G75" s="110"/>
      <c r="H75" s="111"/>
      <c r="I75" s="192">
        <f t="shared" si="3"/>
        <v>-0.18000000000023419</v>
      </c>
    </row>
    <row r="76" spans="1:9" x14ac:dyDescent="0.25">
      <c r="A76" s="232"/>
      <c r="B76" s="7"/>
      <c r="C76" s="20"/>
      <c r="D76" s="95"/>
      <c r="E76" s="624"/>
      <c r="F76" s="109">
        <f>D76</f>
        <v>0</v>
      </c>
      <c r="G76" s="110"/>
      <c r="H76" s="111"/>
      <c r="I76" s="192">
        <f t="shared" ref="I76" si="5">I75-F76</f>
        <v>-0.18000000000023419</v>
      </c>
    </row>
    <row r="77" spans="1:9" ht="15.75" thickBot="1" x14ac:dyDescent="0.3">
      <c r="A77" s="232"/>
      <c r="B77" s="21"/>
      <c r="C77" s="77"/>
      <c r="D77" s="195"/>
      <c r="E77" s="539"/>
      <c r="F77" s="187"/>
      <c r="G77" s="188"/>
      <c r="H77" s="96"/>
    </row>
    <row r="78" spans="1:9" x14ac:dyDescent="0.25">
      <c r="C78" s="79">
        <f>SUM(C9:C77)</f>
        <v>319</v>
      </c>
      <c r="D78" s="9">
        <f>SUM(D9:D77)</f>
        <v>9018.0999999999985</v>
      </c>
      <c r="F78" s="9">
        <f>SUM(F9:F77)</f>
        <v>9018.0999999999985</v>
      </c>
    </row>
    <row r="80" spans="1:9" ht="15.75" thickBot="1" x14ac:dyDescent="0.3"/>
    <row r="81" spans="3:7" ht="15.75" thickBot="1" x14ac:dyDescent="0.3">
      <c r="D81" s="61" t="s">
        <v>4</v>
      </c>
      <c r="E81" s="90">
        <f>F5+F6-C78+F7</f>
        <v>0</v>
      </c>
    </row>
    <row r="82" spans="3:7" ht="15.75" thickBot="1" x14ac:dyDescent="0.3"/>
    <row r="83" spans="3:7" ht="15.75" thickBot="1" x14ac:dyDescent="0.3">
      <c r="C83" s="854" t="s">
        <v>11</v>
      </c>
      <c r="D83" s="855"/>
      <c r="E83" s="92">
        <f>E5+E6-F78+E7</f>
        <v>-0.17999999999847205</v>
      </c>
      <c r="F83" s="119"/>
      <c r="G83" s="16"/>
    </row>
  </sheetData>
  <mergeCells count="3">
    <mergeCell ref="A1:G1"/>
    <mergeCell ref="A5:A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3"/>
  <sheetViews>
    <sheetView tabSelected="1" topLeftCell="M1" zoomScaleNormal="100" workbookViewId="0">
      <selection activeCell="W18" sqref="W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7"/>
    <col min="11" max="11" width="37.140625" customWidth="1"/>
    <col min="21" max="21" width="37.140625" customWidth="1"/>
  </cols>
  <sheetData>
    <row r="1" spans="1:29" ht="40.5" x14ac:dyDescent="0.55000000000000004">
      <c r="A1" s="853" t="s">
        <v>212</v>
      </c>
      <c r="B1" s="853"/>
      <c r="C1" s="853"/>
      <c r="D1" s="853"/>
      <c r="E1" s="853"/>
      <c r="F1" s="853"/>
      <c r="G1" s="853"/>
      <c r="H1" s="14">
        <v>1</v>
      </c>
      <c r="K1" s="853" t="str">
        <f>A1</f>
        <v>INVENTARIO DE NOVIEMBRE 2018</v>
      </c>
      <c r="L1" s="853"/>
      <c r="M1" s="853"/>
      <c r="N1" s="853"/>
      <c r="O1" s="853"/>
      <c r="P1" s="853"/>
      <c r="Q1" s="853"/>
      <c r="R1" s="14">
        <v>3</v>
      </c>
      <c r="S1" s="507"/>
      <c r="U1" s="847" t="s">
        <v>250</v>
      </c>
      <c r="V1" s="847"/>
      <c r="W1" s="847"/>
      <c r="X1" s="847"/>
      <c r="Y1" s="847"/>
      <c r="Z1" s="847"/>
      <c r="AA1" s="847"/>
      <c r="AB1" s="14">
        <v>3</v>
      </c>
      <c r="AC1" s="507"/>
    </row>
    <row r="2" spans="1:29" ht="15.75" thickBot="1" x14ac:dyDescent="0.3">
      <c r="C2" s="22"/>
      <c r="D2" s="65"/>
      <c r="F2" s="65"/>
      <c r="M2" s="22"/>
      <c r="N2" s="65"/>
      <c r="P2" s="65"/>
      <c r="S2" s="507"/>
      <c r="W2" s="22"/>
      <c r="X2" s="65"/>
      <c r="Z2" s="65"/>
      <c r="AC2" s="507"/>
    </row>
    <row r="3" spans="1:2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  <c r="S3" s="507"/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34</v>
      </c>
      <c r="AB3" s="49" t="s">
        <v>11</v>
      </c>
      <c r="AC3" s="507"/>
    </row>
    <row r="4" spans="1:29" ht="16.5" thickTop="1" x14ac:dyDescent="0.25">
      <c r="A4" s="230"/>
      <c r="B4" s="230"/>
      <c r="C4" s="193"/>
      <c r="D4" s="230"/>
      <c r="E4" s="230"/>
      <c r="F4" s="230"/>
      <c r="G4" s="319"/>
      <c r="H4" s="319"/>
      <c r="K4" s="230"/>
      <c r="L4" s="230"/>
      <c r="M4" s="193"/>
      <c r="N4" s="230"/>
      <c r="O4" s="230"/>
      <c r="P4" s="230"/>
      <c r="Q4" s="319"/>
      <c r="R4" s="319"/>
      <c r="S4" s="507"/>
      <c r="U4" s="230"/>
      <c r="V4" s="230"/>
      <c r="W4" s="782">
        <v>93.5</v>
      </c>
      <c r="X4" s="760">
        <v>43449</v>
      </c>
      <c r="Y4" s="230">
        <v>9013.61</v>
      </c>
      <c r="Z4" s="230">
        <v>322</v>
      </c>
      <c r="AA4" s="319"/>
      <c r="AB4" s="319"/>
      <c r="AC4" s="507"/>
    </row>
    <row r="5" spans="1:29" ht="15" customHeight="1" x14ac:dyDescent="0.25">
      <c r="A5" s="848" t="s">
        <v>141</v>
      </c>
      <c r="B5" s="698" t="s">
        <v>112</v>
      </c>
      <c r="C5" s="613">
        <v>87</v>
      </c>
      <c r="D5" s="262">
        <v>43398</v>
      </c>
      <c r="E5" s="147">
        <v>10994.28</v>
      </c>
      <c r="F5" s="99">
        <v>395</v>
      </c>
      <c r="G5" s="18">
        <f>F77</f>
        <v>16127.960000000003</v>
      </c>
      <c r="K5" s="848" t="s">
        <v>141</v>
      </c>
      <c r="L5" s="698" t="s">
        <v>112</v>
      </c>
      <c r="M5" s="613">
        <v>90</v>
      </c>
      <c r="N5" s="262">
        <v>43412</v>
      </c>
      <c r="O5" s="147">
        <v>10006.9</v>
      </c>
      <c r="P5" s="99">
        <v>348</v>
      </c>
      <c r="Q5" s="18">
        <f>P77</f>
        <v>10862.65</v>
      </c>
      <c r="S5" s="507"/>
      <c r="U5" s="848" t="s">
        <v>98</v>
      </c>
      <c r="V5" s="698" t="s">
        <v>112</v>
      </c>
      <c r="W5" s="613"/>
      <c r="X5" s="262">
        <v>43800</v>
      </c>
      <c r="Y5" s="147">
        <v>828.3</v>
      </c>
      <c r="Z5" s="99">
        <v>28</v>
      </c>
      <c r="AA5" s="18">
        <f>Z77</f>
        <v>0</v>
      </c>
      <c r="AC5" s="507"/>
    </row>
    <row r="6" spans="1:29" x14ac:dyDescent="0.25">
      <c r="A6" s="848"/>
      <c r="B6" s="698" t="s">
        <v>128</v>
      </c>
      <c r="C6" s="704">
        <v>87</v>
      </c>
      <c r="D6" s="262">
        <v>43403</v>
      </c>
      <c r="E6" s="601">
        <v>4005.04</v>
      </c>
      <c r="F6" s="99">
        <v>134</v>
      </c>
      <c r="G6" s="63"/>
      <c r="H6" s="10">
        <f>E6-G6+E7+E5-G5</f>
        <v>0</v>
      </c>
      <c r="K6" s="848"/>
      <c r="L6" s="698" t="s">
        <v>128</v>
      </c>
      <c r="M6" s="704">
        <v>90</v>
      </c>
      <c r="N6" s="262">
        <v>43420</v>
      </c>
      <c r="O6" s="601">
        <v>4739.6899999999996</v>
      </c>
      <c r="P6" s="99">
        <v>160</v>
      </c>
      <c r="Q6" s="63"/>
      <c r="R6" s="10">
        <f>O6-Q6+O7+O5-Q5</f>
        <v>4264.0899999999983</v>
      </c>
      <c r="S6" s="507"/>
      <c r="U6" s="848"/>
      <c r="V6" s="698" t="s">
        <v>128</v>
      </c>
      <c r="W6" s="704"/>
      <c r="X6" s="262"/>
      <c r="Y6" s="601"/>
      <c r="Z6" s="99"/>
      <c r="AA6" s="63"/>
      <c r="AB6" s="10">
        <f>Y6-AA6+Y7+Y5-AA5+Y4</f>
        <v>9841.91</v>
      </c>
      <c r="AC6" s="507"/>
    </row>
    <row r="7" spans="1:29" ht="15.75" thickBot="1" x14ac:dyDescent="0.3">
      <c r="A7" s="16"/>
      <c r="B7" s="26"/>
      <c r="C7" s="291"/>
      <c r="D7" s="313"/>
      <c r="E7" s="147">
        <v>1128.6400000000001</v>
      </c>
      <c r="F7" s="99">
        <v>23</v>
      </c>
      <c r="G7" s="16"/>
      <c r="K7" s="16"/>
      <c r="L7" s="26"/>
      <c r="M7" s="291"/>
      <c r="N7" s="313"/>
      <c r="O7" s="147">
        <v>380.15</v>
      </c>
      <c r="P7" s="99">
        <v>12</v>
      </c>
      <c r="Q7" s="16"/>
      <c r="S7" s="507"/>
      <c r="U7" s="16"/>
      <c r="V7" s="26"/>
      <c r="W7" s="291"/>
      <c r="X7" s="313"/>
      <c r="Y7" s="147"/>
      <c r="Z7" s="99"/>
      <c r="AA7" s="16"/>
      <c r="AC7" s="507"/>
    </row>
    <row r="8" spans="1:2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  <c r="S8" s="507"/>
      <c r="V8" s="102" t="s">
        <v>7</v>
      </c>
      <c r="W8" s="35" t="s">
        <v>8</v>
      </c>
      <c r="X8" s="41" t="s">
        <v>3</v>
      </c>
      <c r="Y8" s="42" t="s">
        <v>2</v>
      </c>
      <c r="Z8" s="12" t="s">
        <v>9</v>
      </c>
      <c r="AA8" s="13" t="s">
        <v>15</v>
      </c>
      <c r="AB8" s="32"/>
      <c r="AC8" s="507"/>
    </row>
    <row r="9" spans="1:29" ht="15.75" thickTop="1" x14ac:dyDescent="0.25">
      <c r="A9" s="151" t="s">
        <v>32</v>
      </c>
      <c r="B9" s="508">
        <f>F6-C9+F5+F7</f>
        <v>522</v>
      </c>
      <c r="C9" s="20">
        <v>30</v>
      </c>
      <c r="D9" s="736">
        <v>861.37</v>
      </c>
      <c r="E9" s="737">
        <v>43413</v>
      </c>
      <c r="F9" s="736">
        <f t="shared" ref="F9" si="0">D9</f>
        <v>861.37</v>
      </c>
      <c r="G9" s="738" t="s">
        <v>171</v>
      </c>
      <c r="H9" s="739">
        <v>98</v>
      </c>
      <c r="I9" s="192">
        <f>E6-F9+E5+E7</f>
        <v>15266.59</v>
      </c>
      <c r="K9" s="151" t="s">
        <v>32</v>
      </c>
      <c r="L9" s="508">
        <f>P6-M9+P5</f>
        <v>478</v>
      </c>
      <c r="M9" s="20">
        <v>30</v>
      </c>
      <c r="N9" s="109">
        <v>931.33</v>
      </c>
      <c r="O9" s="569">
        <v>43444</v>
      </c>
      <c r="P9" s="109">
        <f t="shared" ref="P9:P72" si="1">N9</f>
        <v>931.33</v>
      </c>
      <c r="Q9" s="110" t="s">
        <v>498</v>
      </c>
      <c r="R9" s="111">
        <v>98</v>
      </c>
      <c r="S9" s="192">
        <f>O6-P9+O5+O7</f>
        <v>14195.409999999998</v>
      </c>
      <c r="U9" s="151" t="s">
        <v>32</v>
      </c>
      <c r="V9" s="508">
        <f>Z6-W9+Z5+Z4</f>
        <v>350</v>
      </c>
      <c r="W9" s="20"/>
      <c r="X9" s="109"/>
      <c r="Y9" s="569"/>
      <c r="Z9" s="109">
        <f t="shared" ref="Z9:Z72" si="2">X9</f>
        <v>0</v>
      </c>
      <c r="AA9" s="110"/>
      <c r="AB9" s="111"/>
      <c r="AC9" s="192">
        <f>Y6-Z9+Y5</f>
        <v>828.3</v>
      </c>
    </row>
    <row r="10" spans="1:29" x14ac:dyDescent="0.25">
      <c r="A10" s="516"/>
      <c r="B10" s="508">
        <f>B9-C10</f>
        <v>492</v>
      </c>
      <c r="C10" s="20">
        <v>30</v>
      </c>
      <c r="D10" s="95">
        <v>845.03</v>
      </c>
      <c r="E10" s="624">
        <v>43414</v>
      </c>
      <c r="F10" s="95">
        <f t="shared" ref="F10:F28" si="3">D10</f>
        <v>845.03</v>
      </c>
      <c r="G10" s="106" t="s">
        <v>172</v>
      </c>
      <c r="H10" s="96">
        <v>98</v>
      </c>
      <c r="I10" s="192">
        <f>I9-F10</f>
        <v>14421.56</v>
      </c>
      <c r="K10" s="516"/>
      <c r="L10" s="508">
        <f>L9-M10</f>
        <v>448</v>
      </c>
      <c r="M10" s="20">
        <v>30</v>
      </c>
      <c r="N10" s="109">
        <v>857.87</v>
      </c>
      <c r="O10" s="569">
        <v>43446</v>
      </c>
      <c r="P10" s="109">
        <f t="shared" si="1"/>
        <v>857.87</v>
      </c>
      <c r="Q10" s="110" t="s">
        <v>493</v>
      </c>
      <c r="R10" s="111">
        <v>98</v>
      </c>
      <c r="S10" s="192">
        <f>S9-P10</f>
        <v>13337.539999999997</v>
      </c>
      <c r="U10" s="516"/>
      <c r="V10" s="508">
        <f>V9-W10</f>
        <v>350</v>
      </c>
      <c r="W10" s="20"/>
      <c r="X10" s="109"/>
      <c r="Y10" s="569"/>
      <c r="Z10" s="109">
        <f t="shared" si="2"/>
        <v>0</v>
      </c>
      <c r="AA10" s="110"/>
      <c r="AB10" s="111"/>
      <c r="AC10" s="192">
        <f>AC9-Z10</f>
        <v>828.3</v>
      </c>
    </row>
    <row r="11" spans="1:29" x14ac:dyDescent="0.25">
      <c r="A11" s="461"/>
      <c r="B11" s="508">
        <f t="shared" ref="B11:B21" si="4">B10-C11</f>
        <v>462</v>
      </c>
      <c r="C11" s="20">
        <v>30</v>
      </c>
      <c r="D11" s="95">
        <v>914.22</v>
      </c>
      <c r="E11" s="624">
        <v>43414</v>
      </c>
      <c r="F11" s="95">
        <f t="shared" si="3"/>
        <v>914.22</v>
      </c>
      <c r="G11" s="106" t="s">
        <v>173</v>
      </c>
      <c r="H11" s="96">
        <v>98</v>
      </c>
      <c r="I11" s="192">
        <f t="shared" ref="I11:I74" si="5">I10-F11</f>
        <v>13507.34</v>
      </c>
      <c r="K11" s="461"/>
      <c r="L11" s="508">
        <f t="shared" ref="L11:L21" si="6">L10-M11</f>
        <v>418</v>
      </c>
      <c r="M11" s="20">
        <v>30</v>
      </c>
      <c r="N11" s="109">
        <v>895.97</v>
      </c>
      <c r="O11" s="569">
        <v>43453</v>
      </c>
      <c r="P11" s="109">
        <f t="shared" si="1"/>
        <v>895.97</v>
      </c>
      <c r="Q11" s="110" t="s">
        <v>585</v>
      </c>
      <c r="R11" s="111">
        <v>98</v>
      </c>
      <c r="S11" s="192">
        <f t="shared" ref="S11:S74" si="7">S10-P11</f>
        <v>12441.569999999998</v>
      </c>
      <c r="U11" s="461"/>
      <c r="V11" s="508">
        <f t="shared" ref="V11:V21" si="8">V10-W11</f>
        <v>350</v>
      </c>
      <c r="W11" s="20"/>
      <c r="X11" s="109"/>
      <c r="Y11" s="569"/>
      <c r="Z11" s="109">
        <f t="shared" si="2"/>
        <v>0</v>
      </c>
      <c r="AA11" s="110"/>
      <c r="AB11" s="111"/>
      <c r="AC11" s="192">
        <f t="shared" ref="AC11:AC74" si="9">AC10-Z11</f>
        <v>828.3</v>
      </c>
    </row>
    <row r="12" spans="1:29" x14ac:dyDescent="0.25">
      <c r="A12" s="153" t="s">
        <v>33</v>
      </c>
      <c r="B12" s="508">
        <f t="shared" si="4"/>
        <v>432</v>
      </c>
      <c r="C12" s="20">
        <v>30</v>
      </c>
      <c r="D12" s="95">
        <v>854.85</v>
      </c>
      <c r="E12" s="624">
        <v>43416</v>
      </c>
      <c r="F12" s="95">
        <f t="shared" si="3"/>
        <v>854.85</v>
      </c>
      <c r="G12" s="106" t="s">
        <v>174</v>
      </c>
      <c r="H12" s="96">
        <v>98</v>
      </c>
      <c r="I12" s="192">
        <f t="shared" si="5"/>
        <v>12652.49</v>
      </c>
      <c r="K12" s="153" t="s">
        <v>33</v>
      </c>
      <c r="L12" s="508">
        <f t="shared" si="6"/>
        <v>388</v>
      </c>
      <c r="M12" s="20">
        <v>30</v>
      </c>
      <c r="N12" s="109">
        <v>822.35</v>
      </c>
      <c r="O12" s="569">
        <v>43455</v>
      </c>
      <c r="P12" s="109">
        <f t="shared" si="1"/>
        <v>822.35</v>
      </c>
      <c r="Q12" s="110" t="s">
        <v>599</v>
      </c>
      <c r="R12" s="111">
        <v>98</v>
      </c>
      <c r="S12" s="192">
        <f t="shared" si="7"/>
        <v>11619.219999999998</v>
      </c>
      <c r="U12" s="153" t="s">
        <v>33</v>
      </c>
      <c r="V12" s="508">
        <f t="shared" si="8"/>
        <v>350</v>
      </c>
      <c r="W12" s="20"/>
      <c r="X12" s="109"/>
      <c r="Y12" s="569"/>
      <c r="Z12" s="109">
        <f t="shared" si="2"/>
        <v>0</v>
      </c>
      <c r="AA12" s="110"/>
      <c r="AB12" s="111"/>
      <c r="AC12" s="192">
        <f t="shared" si="9"/>
        <v>828.3</v>
      </c>
    </row>
    <row r="13" spans="1:29" x14ac:dyDescent="0.25">
      <c r="A13" s="277"/>
      <c r="B13" s="508">
        <f t="shared" si="4"/>
        <v>404</v>
      </c>
      <c r="C13" s="20">
        <v>28</v>
      </c>
      <c r="D13" s="95">
        <v>816.2</v>
      </c>
      <c r="E13" s="624">
        <v>43418</v>
      </c>
      <c r="F13" s="95">
        <f t="shared" si="3"/>
        <v>816.2</v>
      </c>
      <c r="G13" s="106" t="s">
        <v>175</v>
      </c>
      <c r="H13" s="96">
        <v>98</v>
      </c>
      <c r="I13" s="192">
        <f t="shared" si="5"/>
        <v>11836.289999999999</v>
      </c>
      <c r="K13" s="277"/>
      <c r="L13" s="508">
        <f t="shared" si="6"/>
        <v>358</v>
      </c>
      <c r="M13" s="20">
        <v>30</v>
      </c>
      <c r="N13" s="109">
        <v>866.81</v>
      </c>
      <c r="O13" s="569">
        <v>43455</v>
      </c>
      <c r="P13" s="109">
        <f t="shared" si="1"/>
        <v>866.81</v>
      </c>
      <c r="Q13" s="110" t="s">
        <v>606</v>
      </c>
      <c r="R13" s="111">
        <v>98</v>
      </c>
      <c r="S13" s="192">
        <f t="shared" si="7"/>
        <v>10752.409999999998</v>
      </c>
      <c r="U13" s="277"/>
      <c r="V13" s="508">
        <f t="shared" si="8"/>
        <v>350</v>
      </c>
      <c r="W13" s="20"/>
      <c r="X13" s="647"/>
      <c r="Y13" s="569"/>
      <c r="Z13" s="109">
        <f t="shared" si="2"/>
        <v>0</v>
      </c>
      <c r="AA13" s="110"/>
      <c r="AB13" s="111"/>
      <c r="AC13" s="192">
        <f t="shared" si="9"/>
        <v>828.3</v>
      </c>
    </row>
    <row r="14" spans="1:29" x14ac:dyDescent="0.25">
      <c r="A14" s="277"/>
      <c r="B14" s="508">
        <f t="shared" si="4"/>
        <v>374</v>
      </c>
      <c r="C14" s="20">
        <v>30</v>
      </c>
      <c r="D14" s="95">
        <v>792.5</v>
      </c>
      <c r="E14" s="624">
        <v>43418</v>
      </c>
      <c r="F14" s="95">
        <f t="shared" si="3"/>
        <v>792.5</v>
      </c>
      <c r="G14" s="106" t="s">
        <v>176</v>
      </c>
      <c r="H14" s="96">
        <v>98</v>
      </c>
      <c r="I14" s="192">
        <f t="shared" si="5"/>
        <v>11043.789999999999</v>
      </c>
      <c r="K14" s="277"/>
      <c r="L14" s="508">
        <f t="shared" si="6"/>
        <v>328</v>
      </c>
      <c r="M14" s="20">
        <v>30</v>
      </c>
      <c r="N14" s="109">
        <v>894</v>
      </c>
      <c r="O14" s="569">
        <v>43455</v>
      </c>
      <c r="P14" s="109">
        <f t="shared" si="1"/>
        <v>894</v>
      </c>
      <c r="Q14" s="110" t="s">
        <v>606</v>
      </c>
      <c r="R14" s="111">
        <v>98</v>
      </c>
      <c r="S14" s="192">
        <f t="shared" si="7"/>
        <v>9858.409999999998</v>
      </c>
      <c r="U14" s="277"/>
      <c r="V14" s="508">
        <f t="shared" si="8"/>
        <v>350</v>
      </c>
      <c r="W14" s="20"/>
      <c r="X14" s="647"/>
      <c r="Y14" s="569"/>
      <c r="Z14" s="109">
        <f t="shared" si="2"/>
        <v>0</v>
      </c>
      <c r="AA14" s="110"/>
      <c r="AB14" s="111"/>
      <c r="AC14" s="192">
        <f t="shared" si="9"/>
        <v>828.3</v>
      </c>
    </row>
    <row r="15" spans="1:29" x14ac:dyDescent="0.25">
      <c r="B15" s="508">
        <f t="shared" si="4"/>
        <v>344</v>
      </c>
      <c r="C15" s="20">
        <v>30</v>
      </c>
      <c r="D15" s="95">
        <v>789.26</v>
      </c>
      <c r="E15" s="624">
        <v>43421</v>
      </c>
      <c r="F15" s="95">
        <f t="shared" si="3"/>
        <v>789.26</v>
      </c>
      <c r="G15" s="106" t="s">
        <v>178</v>
      </c>
      <c r="H15" s="96">
        <v>98</v>
      </c>
      <c r="I15" s="192">
        <f t="shared" si="5"/>
        <v>10254.529999999999</v>
      </c>
      <c r="L15" s="508">
        <f t="shared" si="6"/>
        <v>296</v>
      </c>
      <c r="M15" s="20">
        <v>32</v>
      </c>
      <c r="N15" s="109">
        <v>928.96</v>
      </c>
      <c r="O15" s="569">
        <v>43457</v>
      </c>
      <c r="P15" s="109">
        <f t="shared" si="1"/>
        <v>928.96</v>
      </c>
      <c r="Q15" s="110" t="s">
        <v>629</v>
      </c>
      <c r="R15" s="111">
        <v>98</v>
      </c>
      <c r="S15" s="192">
        <f t="shared" si="7"/>
        <v>8929.4499999999971</v>
      </c>
      <c r="V15" s="508">
        <f t="shared" si="8"/>
        <v>350</v>
      </c>
      <c r="W15" s="20"/>
      <c r="X15" s="647"/>
      <c r="Y15" s="569"/>
      <c r="Z15" s="109">
        <f t="shared" si="2"/>
        <v>0</v>
      </c>
      <c r="AA15" s="110"/>
      <c r="AB15" s="111"/>
      <c r="AC15" s="192">
        <f t="shared" si="9"/>
        <v>828.3</v>
      </c>
    </row>
    <row r="16" spans="1:29" x14ac:dyDescent="0.25">
      <c r="B16" s="508">
        <f t="shared" si="4"/>
        <v>334</v>
      </c>
      <c r="C16" s="20">
        <v>10</v>
      </c>
      <c r="D16" s="95">
        <v>295.56</v>
      </c>
      <c r="E16" s="624">
        <v>43421</v>
      </c>
      <c r="F16" s="735">
        <f t="shared" si="3"/>
        <v>295.56</v>
      </c>
      <c r="G16" s="106" t="s">
        <v>179</v>
      </c>
      <c r="H16" s="96">
        <v>98</v>
      </c>
      <c r="I16" s="192">
        <f t="shared" si="5"/>
        <v>9958.9699999999993</v>
      </c>
      <c r="L16" s="508">
        <f t="shared" si="6"/>
        <v>286</v>
      </c>
      <c r="M16" s="20">
        <v>10</v>
      </c>
      <c r="N16" s="109">
        <v>273.89</v>
      </c>
      <c r="O16" s="569">
        <v>43460</v>
      </c>
      <c r="P16" s="109">
        <f t="shared" si="1"/>
        <v>273.89</v>
      </c>
      <c r="Q16" s="110" t="s">
        <v>633</v>
      </c>
      <c r="R16" s="111">
        <v>98</v>
      </c>
      <c r="S16" s="192">
        <f t="shared" si="7"/>
        <v>8655.5599999999977</v>
      </c>
      <c r="V16" s="508">
        <f t="shared" si="8"/>
        <v>350</v>
      </c>
      <c r="W16" s="20"/>
      <c r="X16" s="647"/>
      <c r="Y16" s="569"/>
      <c r="Z16" s="109">
        <f t="shared" si="2"/>
        <v>0</v>
      </c>
      <c r="AA16" s="110"/>
      <c r="AB16" s="111"/>
      <c r="AC16" s="192">
        <f t="shared" si="9"/>
        <v>828.3</v>
      </c>
    </row>
    <row r="17" spans="1:29" x14ac:dyDescent="0.25">
      <c r="A17" s="232"/>
      <c r="B17" s="508">
        <f t="shared" si="4"/>
        <v>304</v>
      </c>
      <c r="C17" s="20">
        <v>30</v>
      </c>
      <c r="D17" s="95">
        <v>810.89</v>
      </c>
      <c r="E17" s="624">
        <v>43421</v>
      </c>
      <c r="F17" s="95">
        <f t="shared" si="3"/>
        <v>810.89</v>
      </c>
      <c r="G17" s="106" t="s">
        <v>182</v>
      </c>
      <c r="H17" s="96">
        <v>98</v>
      </c>
      <c r="I17" s="192">
        <f t="shared" si="5"/>
        <v>9148.08</v>
      </c>
      <c r="K17" s="232"/>
      <c r="L17" s="508">
        <f t="shared" si="6"/>
        <v>251</v>
      </c>
      <c r="M17" s="20">
        <v>35</v>
      </c>
      <c r="N17" s="109">
        <v>994.48</v>
      </c>
      <c r="O17" s="569">
        <v>43461</v>
      </c>
      <c r="P17" s="109">
        <f t="shared" si="1"/>
        <v>994.48</v>
      </c>
      <c r="Q17" s="110" t="s">
        <v>648</v>
      </c>
      <c r="R17" s="111">
        <v>98</v>
      </c>
      <c r="S17" s="192">
        <f t="shared" si="7"/>
        <v>7661.0799999999981</v>
      </c>
      <c r="U17" s="232"/>
      <c r="V17" s="508">
        <f t="shared" si="8"/>
        <v>350</v>
      </c>
      <c r="W17" s="20"/>
      <c r="X17" s="647"/>
      <c r="Y17" s="569"/>
      <c r="Z17" s="109">
        <f t="shared" si="2"/>
        <v>0</v>
      </c>
      <c r="AA17" s="110"/>
      <c r="AB17" s="111"/>
      <c r="AC17" s="192">
        <f t="shared" si="9"/>
        <v>828.3</v>
      </c>
    </row>
    <row r="18" spans="1:29" x14ac:dyDescent="0.25">
      <c r="A18" s="232"/>
      <c r="B18" s="508">
        <f t="shared" si="4"/>
        <v>303</v>
      </c>
      <c r="C18" s="20">
        <v>1</v>
      </c>
      <c r="D18" s="95">
        <v>28.89</v>
      </c>
      <c r="E18" s="624">
        <v>43423</v>
      </c>
      <c r="F18" s="95">
        <f t="shared" si="3"/>
        <v>28.89</v>
      </c>
      <c r="G18" s="106" t="s">
        <v>183</v>
      </c>
      <c r="H18" s="96">
        <v>98</v>
      </c>
      <c r="I18" s="192">
        <f t="shared" si="5"/>
        <v>9119.19</v>
      </c>
      <c r="K18" s="232"/>
      <c r="L18" s="508">
        <f t="shared" si="6"/>
        <v>236</v>
      </c>
      <c r="M18" s="20">
        <v>15</v>
      </c>
      <c r="N18" s="109">
        <v>435.8</v>
      </c>
      <c r="O18" s="569">
        <v>43462</v>
      </c>
      <c r="P18" s="109">
        <f t="shared" si="1"/>
        <v>435.8</v>
      </c>
      <c r="Q18" s="110" t="s">
        <v>661</v>
      </c>
      <c r="R18" s="111">
        <v>98</v>
      </c>
      <c r="S18" s="192">
        <f t="shared" si="7"/>
        <v>7225.2799999999979</v>
      </c>
      <c r="U18" s="232"/>
      <c r="V18" s="508">
        <f t="shared" si="8"/>
        <v>350</v>
      </c>
      <c r="W18" s="20"/>
      <c r="X18" s="647"/>
      <c r="Y18" s="569"/>
      <c r="Z18" s="109">
        <f t="shared" si="2"/>
        <v>0</v>
      </c>
      <c r="AA18" s="110"/>
      <c r="AB18" s="111"/>
      <c r="AC18" s="192">
        <f t="shared" si="9"/>
        <v>828.3</v>
      </c>
    </row>
    <row r="19" spans="1:29" x14ac:dyDescent="0.25">
      <c r="A19" s="232"/>
      <c r="B19" s="508">
        <f t="shared" si="4"/>
        <v>274</v>
      </c>
      <c r="C19" s="20">
        <v>29</v>
      </c>
      <c r="D19" s="95">
        <v>883.35</v>
      </c>
      <c r="E19" s="624">
        <v>43425</v>
      </c>
      <c r="F19" s="95">
        <f t="shared" si="3"/>
        <v>883.35</v>
      </c>
      <c r="G19" s="106" t="s">
        <v>187</v>
      </c>
      <c r="H19" s="96">
        <v>98</v>
      </c>
      <c r="I19" s="192">
        <f t="shared" si="5"/>
        <v>8235.84</v>
      </c>
      <c r="K19" s="232"/>
      <c r="L19" s="508">
        <f t="shared" si="6"/>
        <v>231</v>
      </c>
      <c r="M19" s="20">
        <v>5</v>
      </c>
      <c r="N19" s="109">
        <v>133.44</v>
      </c>
      <c r="O19" s="569">
        <v>43462</v>
      </c>
      <c r="P19" s="109">
        <f t="shared" si="1"/>
        <v>133.44</v>
      </c>
      <c r="Q19" s="110" t="s">
        <v>661</v>
      </c>
      <c r="R19" s="111">
        <v>98</v>
      </c>
      <c r="S19" s="192">
        <f t="shared" si="7"/>
        <v>7091.8399999999983</v>
      </c>
      <c r="U19" s="232"/>
      <c r="V19" s="508">
        <f t="shared" si="8"/>
        <v>350</v>
      </c>
      <c r="W19" s="20"/>
      <c r="X19" s="647"/>
      <c r="Y19" s="569"/>
      <c r="Z19" s="109">
        <f t="shared" si="2"/>
        <v>0</v>
      </c>
      <c r="AA19" s="110"/>
      <c r="AB19" s="111"/>
      <c r="AC19" s="192">
        <f t="shared" si="9"/>
        <v>828.3</v>
      </c>
    </row>
    <row r="20" spans="1:29" x14ac:dyDescent="0.25">
      <c r="A20" s="232"/>
      <c r="B20" s="508">
        <f t="shared" si="4"/>
        <v>244</v>
      </c>
      <c r="C20" s="20">
        <v>30</v>
      </c>
      <c r="D20" s="95">
        <v>928.82</v>
      </c>
      <c r="E20" s="624">
        <v>43426</v>
      </c>
      <c r="F20" s="95">
        <f t="shared" si="3"/>
        <v>928.82</v>
      </c>
      <c r="G20" s="106" t="s">
        <v>189</v>
      </c>
      <c r="H20" s="96">
        <v>98</v>
      </c>
      <c r="I20" s="192">
        <f t="shared" si="5"/>
        <v>7307.02</v>
      </c>
      <c r="K20" s="232"/>
      <c r="L20" s="508">
        <f t="shared" si="6"/>
        <v>196</v>
      </c>
      <c r="M20" s="20">
        <v>35</v>
      </c>
      <c r="N20" s="109">
        <v>983.09</v>
      </c>
      <c r="O20" s="569">
        <v>43464</v>
      </c>
      <c r="P20" s="109">
        <f t="shared" si="1"/>
        <v>983.09</v>
      </c>
      <c r="Q20" s="110" t="s">
        <v>675</v>
      </c>
      <c r="R20" s="111">
        <v>98</v>
      </c>
      <c r="S20" s="192">
        <f t="shared" si="7"/>
        <v>6108.7499999999982</v>
      </c>
      <c r="U20" s="232"/>
      <c r="V20" s="508">
        <f t="shared" si="8"/>
        <v>350</v>
      </c>
      <c r="W20" s="20"/>
      <c r="X20" s="647"/>
      <c r="Y20" s="569"/>
      <c r="Z20" s="109">
        <f t="shared" si="2"/>
        <v>0</v>
      </c>
      <c r="AA20" s="110"/>
      <c r="AB20" s="111"/>
      <c r="AC20" s="192">
        <f t="shared" si="9"/>
        <v>828.3</v>
      </c>
    </row>
    <row r="21" spans="1:29" x14ac:dyDescent="0.25">
      <c r="A21" s="232"/>
      <c r="B21" s="508">
        <f t="shared" si="4"/>
        <v>234</v>
      </c>
      <c r="C21" s="20">
        <v>10</v>
      </c>
      <c r="D21" s="95">
        <v>309.89999999999998</v>
      </c>
      <c r="E21" s="624">
        <v>43426</v>
      </c>
      <c r="F21" s="95">
        <f t="shared" si="3"/>
        <v>309.89999999999998</v>
      </c>
      <c r="G21" s="106" t="s">
        <v>192</v>
      </c>
      <c r="H21" s="96">
        <v>98</v>
      </c>
      <c r="I21" s="192">
        <f t="shared" si="5"/>
        <v>6997.1200000000008</v>
      </c>
      <c r="K21" s="232"/>
      <c r="L21" s="508">
        <f t="shared" si="6"/>
        <v>164</v>
      </c>
      <c r="M21" s="20">
        <v>32</v>
      </c>
      <c r="N21" s="109">
        <v>916.55</v>
      </c>
      <c r="O21" s="569">
        <v>43464</v>
      </c>
      <c r="P21" s="109">
        <f t="shared" si="1"/>
        <v>916.55</v>
      </c>
      <c r="Q21" s="110" t="s">
        <v>677</v>
      </c>
      <c r="R21" s="111">
        <v>98</v>
      </c>
      <c r="S21" s="192">
        <f t="shared" si="7"/>
        <v>5192.199999999998</v>
      </c>
      <c r="U21" s="232"/>
      <c r="V21" s="508">
        <f t="shared" si="8"/>
        <v>350</v>
      </c>
      <c r="W21" s="20"/>
      <c r="X21" s="647"/>
      <c r="Y21" s="569"/>
      <c r="Z21" s="109">
        <f t="shared" si="2"/>
        <v>0</v>
      </c>
      <c r="AA21" s="110"/>
      <c r="AB21" s="111"/>
      <c r="AC21" s="192">
        <f t="shared" si="9"/>
        <v>828.3</v>
      </c>
    </row>
    <row r="22" spans="1:29" x14ac:dyDescent="0.25">
      <c r="A22" s="233"/>
      <c r="B22" s="322">
        <f>B21-C22</f>
        <v>204</v>
      </c>
      <c r="C22" s="20">
        <v>30</v>
      </c>
      <c r="D22" s="95">
        <v>892.52</v>
      </c>
      <c r="E22" s="624">
        <v>43427</v>
      </c>
      <c r="F22" s="95">
        <f t="shared" si="3"/>
        <v>892.52</v>
      </c>
      <c r="G22" s="106" t="s">
        <v>195</v>
      </c>
      <c r="H22" s="96">
        <v>98</v>
      </c>
      <c r="I22" s="192">
        <f t="shared" si="5"/>
        <v>6104.6</v>
      </c>
      <c r="K22" s="233"/>
      <c r="L22" s="508">
        <f>L21-M22</f>
        <v>132</v>
      </c>
      <c r="M22" s="20">
        <v>32</v>
      </c>
      <c r="N22" s="109">
        <v>928.11</v>
      </c>
      <c r="O22" s="569">
        <v>43464</v>
      </c>
      <c r="P22" s="109">
        <f t="shared" si="1"/>
        <v>928.11</v>
      </c>
      <c r="Q22" s="110" t="s">
        <v>677</v>
      </c>
      <c r="R22" s="111">
        <v>98</v>
      </c>
      <c r="S22" s="192">
        <f t="shared" si="7"/>
        <v>4264.0899999999983</v>
      </c>
      <c r="U22" s="233"/>
      <c r="V22" s="508">
        <f>V21-W22</f>
        <v>350</v>
      </c>
      <c r="W22" s="20"/>
      <c r="X22" s="647"/>
      <c r="Y22" s="569"/>
      <c r="Z22" s="109">
        <f t="shared" si="2"/>
        <v>0</v>
      </c>
      <c r="AA22" s="110"/>
      <c r="AB22" s="111"/>
      <c r="AC22" s="192">
        <f t="shared" si="9"/>
        <v>828.3</v>
      </c>
    </row>
    <row r="23" spans="1:29" x14ac:dyDescent="0.25">
      <c r="A23" s="232"/>
      <c r="B23" s="322">
        <f t="shared" ref="B23:B53" si="10">B22-C23</f>
        <v>174</v>
      </c>
      <c r="C23" s="20">
        <v>30</v>
      </c>
      <c r="D23" s="95">
        <v>878.26</v>
      </c>
      <c r="E23" s="624">
        <v>43428</v>
      </c>
      <c r="F23" s="95">
        <f t="shared" si="3"/>
        <v>878.26</v>
      </c>
      <c r="G23" s="106" t="s">
        <v>197</v>
      </c>
      <c r="H23" s="96">
        <v>98</v>
      </c>
      <c r="I23" s="192">
        <f t="shared" si="5"/>
        <v>5226.34</v>
      </c>
      <c r="K23" s="232"/>
      <c r="L23" s="508">
        <f t="shared" ref="L23:L53" si="11">L22-M23</f>
        <v>132</v>
      </c>
      <c r="M23" s="20"/>
      <c r="N23" s="647"/>
      <c r="O23" s="569"/>
      <c r="P23" s="109">
        <f t="shared" si="1"/>
        <v>0</v>
      </c>
      <c r="Q23" s="110"/>
      <c r="R23" s="111"/>
      <c r="S23" s="192">
        <f t="shared" si="7"/>
        <v>4264.0899999999983</v>
      </c>
      <c r="U23" s="232"/>
      <c r="V23" s="508">
        <f t="shared" ref="V23:V53" si="12">V22-W23</f>
        <v>350</v>
      </c>
      <c r="W23" s="20"/>
      <c r="X23" s="647"/>
      <c r="Y23" s="569"/>
      <c r="Z23" s="109">
        <f t="shared" si="2"/>
        <v>0</v>
      </c>
      <c r="AA23" s="110"/>
      <c r="AB23" s="111"/>
      <c r="AC23" s="192">
        <f t="shared" si="9"/>
        <v>828.3</v>
      </c>
    </row>
    <row r="24" spans="1:29" x14ac:dyDescent="0.25">
      <c r="A24" s="232"/>
      <c r="B24" s="322">
        <f t="shared" si="10"/>
        <v>144</v>
      </c>
      <c r="C24" s="20">
        <v>30</v>
      </c>
      <c r="D24" s="95">
        <v>907.12</v>
      </c>
      <c r="E24" s="624">
        <v>43431</v>
      </c>
      <c r="F24" s="95">
        <f t="shared" si="3"/>
        <v>907.12</v>
      </c>
      <c r="G24" s="106" t="s">
        <v>200</v>
      </c>
      <c r="H24" s="96">
        <v>98</v>
      </c>
      <c r="I24" s="192">
        <f t="shared" si="5"/>
        <v>4319.22</v>
      </c>
      <c r="K24" s="232"/>
      <c r="L24" s="508">
        <f t="shared" si="11"/>
        <v>132</v>
      </c>
      <c r="M24" s="20"/>
      <c r="N24" s="647"/>
      <c r="O24" s="569"/>
      <c r="P24" s="109">
        <f t="shared" si="1"/>
        <v>0</v>
      </c>
      <c r="Q24" s="110"/>
      <c r="R24" s="111"/>
      <c r="S24" s="192">
        <f t="shared" si="7"/>
        <v>4264.0899999999983</v>
      </c>
      <c r="U24" s="232"/>
      <c r="V24" s="508">
        <f t="shared" si="12"/>
        <v>350</v>
      </c>
      <c r="W24" s="20"/>
      <c r="X24" s="647"/>
      <c r="Y24" s="569"/>
      <c r="Z24" s="109">
        <f t="shared" si="2"/>
        <v>0</v>
      </c>
      <c r="AA24" s="110"/>
      <c r="AB24" s="111"/>
      <c r="AC24" s="192">
        <f t="shared" si="9"/>
        <v>828.3</v>
      </c>
    </row>
    <row r="25" spans="1:29" x14ac:dyDescent="0.25">
      <c r="A25" s="232"/>
      <c r="B25" s="706">
        <f t="shared" si="10"/>
        <v>134</v>
      </c>
      <c r="C25" s="740">
        <v>10</v>
      </c>
      <c r="D25" s="95">
        <v>354.85</v>
      </c>
      <c r="E25" s="624">
        <v>43431</v>
      </c>
      <c r="F25" s="735">
        <v>304.18</v>
      </c>
      <c r="G25" s="106" t="s">
        <v>201</v>
      </c>
      <c r="H25" s="96">
        <v>98</v>
      </c>
      <c r="I25" s="192">
        <f t="shared" si="5"/>
        <v>4015.0400000000004</v>
      </c>
      <c r="K25" s="232"/>
      <c r="L25" s="651">
        <f t="shared" si="11"/>
        <v>132</v>
      </c>
      <c r="M25" s="20"/>
      <c r="N25" s="647"/>
      <c r="O25" s="569"/>
      <c r="P25" s="109">
        <f t="shared" si="1"/>
        <v>0</v>
      </c>
      <c r="Q25" s="110"/>
      <c r="R25" s="111"/>
      <c r="S25" s="192">
        <f t="shared" si="7"/>
        <v>4264.0899999999983</v>
      </c>
      <c r="U25" s="232"/>
      <c r="V25" s="651">
        <f t="shared" si="12"/>
        <v>350</v>
      </c>
      <c r="W25" s="20"/>
      <c r="X25" s="647"/>
      <c r="Y25" s="569"/>
      <c r="Z25" s="109">
        <f t="shared" si="2"/>
        <v>0</v>
      </c>
      <c r="AA25" s="110"/>
      <c r="AB25" s="111"/>
      <c r="AC25" s="192">
        <f t="shared" si="9"/>
        <v>828.3</v>
      </c>
    </row>
    <row r="26" spans="1:29" x14ac:dyDescent="0.25">
      <c r="A26" s="232"/>
      <c r="B26" s="322">
        <f t="shared" si="10"/>
        <v>104</v>
      </c>
      <c r="C26" s="20">
        <v>30</v>
      </c>
      <c r="D26" s="95">
        <v>898.5</v>
      </c>
      <c r="E26" s="624">
        <v>43432</v>
      </c>
      <c r="F26" s="95">
        <f t="shared" si="3"/>
        <v>898.5</v>
      </c>
      <c r="G26" s="106" t="s">
        <v>203</v>
      </c>
      <c r="H26" s="96">
        <v>98</v>
      </c>
      <c r="I26" s="192">
        <f t="shared" si="5"/>
        <v>3116.5400000000004</v>
      </c>
      <c r="K26" s="232"/>
      <c r="L26" s="508">
        <f t="shared" si="11"/>
        <v>132</v>
      </c>
      <c r="M26" s="20"/>
      <c r="N26" s="647"/>
      <c r="O26" s="569"/>
      <c r="P26" s="109">
        <f t="shared" si="1"/>
        <v>0</v>
      </c>
      <c r="Q26" s="110"/>
      <c r="R26" s="111"/>
      <c r="S26" s="192">
        <f t="shared" si="7"/>
        <v>4264.0899999999983</v>
      </c>
      <c r="U26" s="232"/>
      <c r="V26" s="508">
        <f t="shared" si="12"/>
        <v>350</v>
      </c>
      <c r="W26" s="20"/>
      <c r="X26" s="647"/>
      <c r="Y26" s="569"/>
      <c r="Z26" s="109">
        <f t="shared" si="2"/>
        <v>0</v>
      </c>
      <c r="AA26" s="110"/>
      <c r="AB26" s="111"/>
      <c r="AC26" s="192">
        <f t="shared" si="9"/>
        <v>828.3</v>
      </c>
    </row>
    <row r="27" spans="1:29" x14ac:dyDescent="0.25">
      <c r="A27" s="232"/>
      <c r="B27" s="706">
        <f t="shared" si="10"/>
        <v>74</v>
      </c>
      <c r="C27" s="20">
        <v>30</v>
      </c>
      <c r="D27" s="95">
        <v>888.16</v>
      </c>
      <c r="E27" s="624">
        <v>43434</v>
      </c>
      <c r="F27" s="95">
        <f t="shared" si="3"/>
        <v>888.16</v>
      </c>
      <c r="G27" s="106" t="s">
        <v>206</v>
      </c>
      <c r="H27" s="96">
        <v>98</v>
      </c>
      <c r="I27" s="192">
        <f t="shared" si="5"/>
        <v>2228.3800000000006</v>
      </c>
      <c r="K27" s="232"/>
      <c r="L27" s="651">
        <f t="shared" si="11"/>
        <v>132</v>
      </c>
      <c r="M27" s="20"/>
      <c r="N27" s="647"/>
      <c r="O27" s="569"/>
      <c r="P27" s="109">
        <f t="shared" si="1"/>
        <v>0</v>
      </c>
      <c r="Q27" s="110"/>
      <c r="R27" s="111"/>
      <c r="S27" s="192">
        <f t="shared" si="7"/>
        <v>4264.0899999999983</v>
      </c>
      <c r="U27" s="232"/>
      <c r="V27" s="651">
        <f t="shared" si="12"/>
        <v>350</v>
      </c>
      <c r="W27" s="20"/>
      <c r="X27" s="647"/>
      <c r="Y27" s="569"/>
      <c r="Z27" s="109">
        <f t="shared" si="2"/>
        <v>0</v>
      </c>
      <c r="AA27" s="110"/>
      <c r="AB27" s="111"/>
      <c r="AC27" s="192">
        <f t="shared" si="9"/>
        <v>828.3</v>
      </c>
    </row>
    <row r="28" spans="1:29" x14ac:dyDescent="0.25">
      <c r="A28" s="232"/>
      <c r="B28" s="322">
        <f t="shared" si="10"/>
        <v>44</v>
      </c>
      <c r="C28" s="20">
        <v>30</v>
      </c>
      <c r="D28" s="635">
        <v>884.63</v>
      </c>
      <c r="E28" s="789">
        <v>43435</v>
      </c>
      <c r="F28" s="635">
        <f t="shared" si="3"/>
        <v>884.63</v>
      </c>
      <c r="G28" s="365" t="s">
        <v>470</v>
      </c>
      <c r="H28" s="214">
        <v>98</v>
      </c>
      <c r="I28" s="192">
        <f t="shared" si="5"/>
        <v>1343.7500000000005</v>
      </c>
      <c r="K28" s="232"/>
      <c r="L28" s="508">
        <f t="shared" si="11"/>
        <v>132</v>
      </c>
      <c r="M28" s="20"/>
      <c r="N28" s="647"/>
      <c r="O28" s="569"/>
      <c r="P28" s="109">
        <f t="shared" si="1"/>
        <v>0</v>
      </c>
      <c r="Q28" s="110"/>
      <c r="R28" s="111"/>
      <c r="S28" s="192">
        <f t="shared" si="7"/>
        <v>4264.0899999999983</v>
      </c>
      <c r="U28" s="232"/>
      <c r="V28" s="508">
        <f t="shared" si="12"/>
        <v>350</v>
      </c>
      <c r="W28" s="20"/>
      <c r="X28" s="647"/>
      <c r="Y28" s="569"/>
      <c r="Z28" s="109">
        <f t="shared" si="2"/>
        <v>0</v>
      </c>
      <c r="AA28" s="110"/>
      <c r="AB28" s="111"/>
      <c r="AC28" s="192">
        <f t="shared" si="9"/>
        <v>828.3</v>
      </c>
    </row>
    <row r="29" spans="1:29" x14ac:dyDescent="0.25">
      <c r="A29" s="232"/>
      <c r="B29" s="322">
        <f t="shared" si="10"/>
        <v>12</v>
      </c>
      <c r="C29" s="20">
        <v>32</v>
      </c>
      <c r="D29" s="635">
        <v>963.6</v>
      </c>
      <c r="E29" s="789">
        <v>43438</v>
      </c>
      <c r="F29" s="635">
        <f t="shared" ref="F29:F72" si="13">D29</f>
        <v>963.6</v>
      </c>
      <c r="G29" s="365" t="s">
        <v>483</v>
      </c>
      <c r="H29" s="214">
        <v>98</v>
      </c>
      <c r="I29" s="192">
        <f t="shared" si="5"/>
        <v>380.15000000000043</v>
      </c>
      <c r="K29" s="232"/>
      <c r="L29" s="508">
        <f t="shared" si="11"/>
        <v>132</v>
      </c>
      <c r="M29" s="20"/>
      <c r="N29" s="660"/>
      <c r="O29" s="569"/>
      <c r="P29" s="109">
        <f t="shared" si="1"/>
        <v>0</v>
      </c>
      <c r="Q29" s="110"/>
      <c r="R29" s="111"/>
      <c r="S29" s="192">
        <f t="shared" si="7"/>
        <v>4264.0899999999983</v>
      </c>
      <c r="U29" s="232"/>
      <c r="V29" s="508">
        <f t="shared" si="12"/>
        <v>350</v>
      </c>
      <c r="W29" s="20"/>
      <c r="X29" s="660"/>
      <c r="Y29" s="569"/>
      <c r="Z29" s="109">
        <f t="shared" si="2"/>
        <v>0</v>
      </c>
      <c r="AA29" s="110"/>
      <c r="AB29" s="111"/>
      <c r="AC29" s="192">
        <f t="shared" si="9"/>
        <v>828.3</v>
      </c>
    </row>
    <row r="30" spans="1:29" x14ac:dyDescent="0.25">
      <c r="A30" s="232"/>
      <c r="B30" s="508">
        <f t="shared" si="10"/>
        <v>12</v>
      </c>
      <c r="C30" s="20"/>
      <c r="D30" s="635"/>
      <c r="E30" s="789"/>
      <c r="F30" s="635">
        <f t="shared" si="13"/>
        <v>0</v>
      </c>
      <c r="G30" s="783"/>
      <c r="H30" s="784"/>
      <c r="I30" s="192">
        <f t="shared" si="5"/>
        <v>380.15000000000043</v>
      </c>
      <c r="K30" s="232"/>
      <c r="L30" s="508">
        <f t="shared" si="11"/>
        <v>132</v>
      </c>
      <c r="M30" s="20"/>
      <c r="N30" s="660"/>
      <c r="O30" s="569"/>
      <c r="P30" s="109">
        <f t="shared" si="1"/>
        <v>0</v>
      </c>
      <c r="Q30" s="110"/>
      <c r="R30" s="111"/>
      <c r="S30" s="192">
        <f t="shared" si="7"/>
        <v>4264.0899999999983</v>
      </c>
      <c r="U30" s="232"/>
      <c r="V30" s="508">
        <f t="shared" si="12"/>
        <v>350</v>
      </c>
      <c r="W30" s="20"/>
      <c r="X30" s="660"/>
      <c r="Y30" s="569"/>
      <c r="Z30" s="109">
        <f t="shared" si="2"/>
        <v>0</v>
      </c>
      <c r="AA30" s="110"/>
      <c r="AB30" s="111"/>
      <c r="AC30" s="192">
        <f t="shared" si="9"/>
        <v>828.3</v>
      </c>
    </row>
    <row r="31" spans="1:29" x14ac:dyDescent="0.25">
      <c r="A31" s="232"/>
      <c r="B31" s="508">
        <f t="shared" si="10"/>
        <v>12</v>
      </c>
      <c r="C31" s="20"/>
      <c r="D31" s="635"/>
      <c r="E31" s="789"/>
      <c r="F31" s="635">
        <f t="shared" si="13"/>
        <v>0</v>
      </c>
      <c r="G31" s="783"/>
      <c r="H31" s="784"/>
      <c r="I31" s="192">
        <f t="shared" si="5"/>
        <v>380.15000000000043</v>
      </c>
      <c r="K31" s="232"/>
      <c r="L31" s="508">
        <f t="shared" si="11"/>
        <v>132</v>
      </c>
      <c r="M31" s="20"/>
      <c r="N31" s="660"/>
      <c r="O31" s="569"/>
      <c r="P31" s="109">
        <f t="shared" si="1"/>
        <v>0</v>
      </c>
      <c r="Q31" s="110"/>
      <c r="R31" s="111"/>
      <c r="S31" s="192">
        <f t="shared" si="7"/>
        <v>4264.0899999999983</v>
      </c>
      <c r="U31" s="232"/>
      <c r="V31" s="508">
        <f t="shared" si="12"/>
        <v>350</v>
      </c>
      <c r="W31" s="20"/>
      <c r="X31" s="660"/>
      <c r="Y31" s="569"/>
      <c r="Z31" s="109">
        <f t="shared" si="2"/>
        <v>0</v>
      </c>
      <c r="AA31" s="110"/>
      <c r="AB31" s="111"/>
      <c r="AC31" s="192">
        <f t="shared" si="9"/>
        <v>828.3</v>
      </c>
    </row>
    <row r="32" spans="1:29" x14ac:dyDescent="0.25">
      <c r="A32" s="232"/>
      <c r="B32" s="508">
        <f t="shared" si="10"/>
        <v>0</v>
      </c>
      <c r="C32" s="20">
        <v>12</v>
      </c>
      <c r="D32" s="635"/>
      <c r="E32" s="789"/>
      <c r="F32" s="635">
        <v>380.15</v>
      </c>
      <c r="G32" s="783"/>
      <c r="H32" s="784"/>
      <c r="I32" s="192">
        <f t="shared" si="5"/>
        <v>4.5474735088646412E-13</v>
      </c>
      <c r="K32" s="232"/>
      <c r="L32" s="508">
        <f t="shared" si="11"/>
        <v>132</v>
      </c>
      <c r="M32" s="20"/>
      <c r="N32" s="660"/>
      <c r="O32" s="569"/>
      <c r="P32" s="109">
        <f t="shared" si="1"/>
        <v>0</v>
      </c>
      <c r="Q32" s="110"/>
      <c r="R32" s="111"/>
      <c r="S32" s="192">
        <f t="shared" si="7"/>
        <v>4264.0899999999983</v>
      </c>
      <c r="U32" s="232"/>
      <c r="V32" s="508">
        <f t="shared" si="12"/>
        <v>350</v>
      </c>
      <c r="W32" s="20"/>
      <c r="X32" s="660"/>
      <c r="Y32" s="569"/>
      <c r="Z32" s="109">
        <f t="shared" si="2"/>
        <v>0</v>
      </c>
      <c r="AA32" s="110"/>
      <c r="AB32" s="111"/>
      <c r="AC32" s="192">
        <f t="shared" si="9"/>
        <v>828.3</v>
      </c>
    </row>
    <row r="33" spans="1:29" x14ac:dyDescent="0.25">
      <c r="A33" s="232"/>
      <c r="B33" s="508">
        <f t="shared" si="10"/>
        <v>0</v>
      </c>
      <c r="C33" s="20"/>
      <c r="D33" s="635"/>
      <c r="E33" s="789"/>
      <c r="F33" s="635">
        <f t="shared" si="13"/>
        <v>0</v>
      </c>
      <c r="G33" s="783"/>
      <c r="H33" s="784"/>
      <c r="I33" s="192">
        <f t="shared" si="5"/>
        <v>4.5474735088646412E-13</v>
      </c>
      <c r="K33" s="232"/>
      <c r="L33" s="508">
        <f t="shared" si="11"/>
        <v>132</v>
      </c>
      <c r="M33" s="20"/>
      <c r="N33" s="660"/>
      <c r="O33" s="569"/>
      <c r="P33" s="109">
        <f t="shared" si="1"/>
        <v>0</v>
      </c>
      <c r="Q33" s="110"/>
      <c r="R33" s="111"/>
      <c r="S33" s="192">
        <f t="shared" si="7"/>
        <v>4264.0899999999983</v>
      </c>
      <c r="U33" s="232"/>
      <c r="V33" s="508">
        <f t="shared" si="12"/>
        <v>350</v>
      </c>
      <c r="W33" s="20"/>
      <c r="X33" s="660"/>
      <c r="Y33" s="569"/>
      <c r="Z33" s="109">
        <f t="shared" si="2"/>
        <v>0</v>
      </c>
      <c r="AA33" s="110"/>
      <c r="AB33" s="111"/>
      <c r="AC33" s="192">
        <f t="shared" si="9"/>
        <v>828.3</v>
      </c>
    </row>
    <row r="34" spans="1:29" x14ac:dyDescent="0.25">
      <c r="A34" s="232"/>
      <c r="B34" s="508">
        <f t="shared" si="10"/>
        <v>0</v>
      </c>
      <c r="C34" s="20"/>
      <c r="D34" s="635"/>
      <c r="E34" s="789"/>
      <c r="F34" s="635">
        <f t="shared" si="13"/>
        <v>0</v>
      </c>
      <c r="G34" s="783"/>
      <c r="H34" s="784"/>
      <c r="I34" s="192">
        <f t="shared" si="5"/>
        <v>4.5474735088646412E-13</v>
      </c>
      <c r="K34" s="232"/>
      <c r="L34" s="508">
        <f t="shared" si="11"/>
        <v>132</v>
      </c>
      <c r="M34" s="20"/>
      <c r="N34" s="660"/>
      <c r="O34" s="569"/>
      <c r="P34" s="109">
        <f t="shared" si="1"/>
        <v>0</v>
      </c>
      <c r="Q34" s="110"/>
      <c r="R34" s="111"/>
      <c r="S34" s="192">
        <f t="shared" si="7"/>
        <v>4264.0899999999983</v>
      </c>
      <c r="U34" s="232"/>
      <c r="V34" s="508">
        <f t="shared" si="12"/>
        <v>350</v>
      </c>
      <c r="W34" s="20"/>
      <c r="X34" s="660"/>
      <c r="Y34" s="569"/>
      <c r="Z34" s="109">
        <f t="shared" si="2"/>
        <v>0</v>
      </c>
      <c r="AA34" s="110"/>
      <c r="AB34" s="111"/>
      <c r="AC34" s="192">
        <f t="shared" si="9"/>
        <v>828.3</v>
      </c>
    </row>
    <row r="35" spans="1:29" x14ac:dyDescent="0.25">
      <c r="A35" s="232" t="s">
        <v>22</v>
      </c>
      <c r="B35" s="508">
        <f t="shared" si="10"/>
        <v>0</v>
      </c>
      <c r="C35" s="20"/>
      <c r="D35" s="635"/>
      <c r="E35" s="789"/>
      <c r="F35" s="635">
        <f t="shared" si="13"/>
        <v>0</v>
      </c>
      <c r="G35" s="783"/>
      <c r="H35" s="784"/>
      <c r="I35" s="192">
        <f t="shared" si="5"/>
        <v>4.5474735088646412E-13</v>
      </c>
      <c r="K35" s="232" t="s">
        <v>22</v>
      </c>
      <c r="L35" s="508">
        <f t="shared" si="11"/>
        <v>132</v>
      </c>
      <c r="M35" s="20"/>
      <c r="N35" s="660"/>
      <c r="O35" s="569"/>
      <c r="P35" s="109">
        <f t="shared" si="1"/>
        <v>0</v>
      </c>
      <c r="Q35" s="110"/>
      <c r="R35" s="111"/>
      <c r="S35" s="192">
        <f t="shared" si="7"/>
        <v>4264.0899999999983</v>
      </c>
      <c r="U35" s="232" t="s">
        <v>22</v>
      </c>
      <c r="V35" s="508">
        <f t="shared" si="12"/>
        <v>350</v>
      </c>
      <c r="W35" s="20"/>
      <c r="X35" s="660"/>
      <c r="Y35" s="569"/>
      <c r="Z35" s="109">
        <f t="shared" si="2"/>
        <v>0</v>
      </c>
      <c r="AA35" s="110"/>
      <c r="AB35" s="111"/>
      <c r="AC35" s="192">
        <f t="shared" si="9"/>
        <v>828.3</v>
      </c>
    </row>
    <row r="36" spans="1:29" x14ac:dyDescent="0.25">
      <c r="A36" s="233"/>
      <c r="B36" s="508">
        <f t="shared" si="10"/>
        <v>0</v>
      </c>
      <c r="C36" s="20"/>
      <c r="D36" s="635"/>
      <c r="E36" s="789"/>
      <c r="F36" s="635">
        <f t="shared" si="13"/>
        <v>0</v>
      </c>
      <c r="G36" s="783"/>
      <c r="H36" s="784"/>
      <c r="I36" s="192">
        <f t="shared" si="5"/>
        <v>4.5474735088646412E-13</v>
      </c>
      <c r="K36" s="233"/>
      <c r="L36" s="508">
        <f t="shared" si="11"/>
        <v>132</v>
      </c>
      <c r="M36" s="20"/>
      <c r="N36" s="660"/>
      <c r="O36" s="569"/>
      <c r="P36" s="109">
        <f t="shared" si="1"/>
        <v>0</v>
      </c>
      <c r="Q36" s="110"/>
      <c r="R36" s="111"/>
      <c r="S36" s="192">
        <f t="shared" si="7"/>
        <v>4264.0899999999983</v>
      </c>
      <c r="U36" s="233"/>
      <c r="V36" s="508">
        <f t="shared" si="12"/>
        <v>350</v>
      </c>
      <c r="W36" s="20"/>
      <c r="X36" s="660"/>
      <c r="Y36" s="569"/>
      <c r="Z36" s="109">
        <f t="shared" si="2"/>
        <v>0</v>
      </c>
      <c r="AA36" s="110"/>
      <c r="AB36" s="111"/>
      <c r="AC36" s="192">
        <f t="shared" si="9"/>
        <v>828.3</v>
      </c>
    </row>
    <row r="37" spans="1:29" x14ac:dyDescent="0.25">
      <c r="A37" s="232"/>
      <c r="B37" s="508">
        <f t="shared" si="10"/>
        <v>0</v>
      </c>
      <c r="C37" s="20"/>
      <c r="D37" s="635"/>
      <c r="E37" s="789"/>
      <c r="F37" s="635">
        <f t="shared" si="13"/>
        <v>0</v>
      </c>
      <c r="G37" s="783"/>
      <c r="H37" s="784"/>
      <c r="I37" s="192">
        <f t="shared" si="5"/>
        <v>4.5474735088646412E-13</v>
      </c>
      <c r="K37" s="232"/>
      <c r="L37" s="508">
        <f t="shared" si="11"/>
        <v>132</v>
      </c>
      <c r="M37" s="20"/>
      <c r="N37" s="660"/>
      <c r="O37" s="569"/>
      <c r="P37" s="109">
        <f t="shared" si="1"/>
        <v>0</v>
      </c>
      <c r="Q37" s="110"/>
      <c r="R37" s="111"/>
      <c r="S37" s="192">
        <f t="shared" si="7"/>
        <v>4264.0899999999983</v>
      </c>
      <c r="U37" s="232"/>
      <c r="V37" s="508">
        <f t="shared" si="12"/>
        <v>350</v>
      </c>
      <c r="W37" s="20"/>
      <c r="X37" s="660"/>
      <c r="Y37" s="569"/>
      <c r="Z37" s="109">
        <f t="shared" si="2"/>
        <v>0</v>
      </c>
      <c r="AA37" s="110"/>
      <c r="AB37" s="111"/>
      <c r="AC37" s="192">
        <f t="shared" si="9"/>
        <v>828.3</v>
      </c>
    </row>
    <row r="38" spans="1:29" x14ac:dyDescent="0.25">
      <c r="A38" s="232"/>
      <c r="B38" s="508">
        <f t="shared" si="10"/>
        <v>0</v>
      </c>
      <c r="C38" s="20"/>
      <c r="D38" s="635"/>
      <c r="E38" s="789"/>
      <c r="F38" s="635">
        <f t="shared" si="13"/>
        <v>0</v>
      </c>
      <c r="G38" s="783"/>
      <c r="H38" s="784"/>
      <c r="I38" s="192">
        <f t="shared" si="5"/>
        <v>4.5474735088646412E-13</v>
      </c>
      <c r="K38" s="232"/>
      <c r="L38" s="508">
        <f t="shared" si="11"/>
        <v>132</v>
      </c>
      <c r="M38" s="20"/>
      <c r="N38" s="660"/>
      <c r="O38" s="569"/>
      <c r="P38" s="109">
        <f t="shared" si="1"/>
        <v>0</v>
      </c>
      <c r="Q38" s="110"/>
      <c r="R38" s="111"/>
      <c r="S38" s="192">
        <f t="shared" si="7"/>
        <v>4264.0899999999983</v>
      </c>
      <c r="U38" s="232"/>
      <c r="V38" s="508">
        <f t="shared" si="12"/>
        <v>350</v>
      </c>
      <c r="W38" s="20"/>
      <c r="X38" s="660"/>
      <c r="Y38" s="569"/>
      <c r="Z38" s="109">
        <f t="shared" si="2"/>
        <v>0</v>
      </c>
      <c r="AA38" s="110"/>
      <c r="AB38" s="111"/>
      <c r="AC38" s="192">
        <f t="shared" si="9"/>
        <v>828.3</v>
      </c>
    </row>
    <row r="39" spans="1:29" x14ac:dyDescent="0.25">
      <c r="A39" s="232"/>
      <c r="B39" s="508">
        <f t="shared" si="10"/>
        <v>0</v>
      </c>
      <c r="C39" s="20"/>
      <c r="D39" s="635"/>
      <c r="E39" s="789"/>
      <c r="F39" s="635">
        <f t="shared" si="13"/>
        <v>0</v>
      </c>
      <c r="G39" s="365"/>
      <c r="H39" s="214"/>
      <c r="I39" s="192">
        <f t="shared" si="5"/>
        <v>4.5474735088646412E-13</v>
      </c>
      <c r="K39" s="232"/>
      <c r="L39" s="508">
        <f t="shared" si="11"/>
        <v>132</v>
      </c>
      <c r="M39" s="20"/>
      <c r="N39" s="660"/>
      <c r="O39" s="569"/>
      <c r="P39" s="109">
        <f t="shared" si="1"/>
        <v>0</v>
      </c>
      <c r="Q39" s="110"/>
      <c r="R39" s="111"/>
      <c r="S39" s="192">
        <f t="shared" si="7"/>
        <v>4264.0899999999983</v>
      </c>
      <c r="U39" s="232"/>
      <c r="V39" s="508">
        <f t="shared" si="12"/>
        <v>350</v>
      </c>
      <c r="W39" s="20"/>
      <c r="X39" s="660"/>
      <c r="Y39" s="569"/>
      <c r="Z39" s="109">
        <f t="shared" si="2"/>
        <v>0</v>
      </c>
      <c r="AA39" s="110"/>
      <c r="AB39" s="111"/>
      <c r="AC39" s="192">
        <f t="shared" si="9"/>
        <v>828.3</v>
      </c>
    </row>
    <row r="40" spans="1:29" x14ac:dyDescent="0.25">
      <c r="A40" s="232"/>
      <c r="B40" s="508">
        <f t="shared" si="10"/>
        <v>0</v>
      </c>
      <c r="C40" s="20"/>
      <c r="D40" s="635"/>
      <c r="E40" s="789"/>
      <c r="F40" s="635">
        <f t="shared" si="13"/>
        <v>0</v>
      </c>
      <c r="G40" s="365"/>
      <c r="H40" s="214"/>
      <c r="I40" s="192">
        <f t="shared" si="5"/>
        <v>4.5474735088646412E-13</v>
      </c>
      <c r="K40" s="232"/>
      <c r="L40" s="508">
        <f t="shared" si="11"/>
        <v>132</v>
      </c>
      <c r="M40" s="20"/>
      <c r="N40" s="660"/>
      <c r="O40" s="569"/>
      <c r="P40" s="109">
        <f t="shared" si="1"/>
        <v>0</v>
      </c>
      <c r="Q40" s="110"/>
      <c r="R40" s="111"/>
      <c r="S40" s="192">
        <f t="shared" si="7"/>
        <v>4264.0899999999983</v>
      </c>
      <c r="U40" s="232"/>
      <c r="V40" s="508">
        <f t="shared" si="12"/>
        <v>350</v>
      </c>
      <c r="W40" s="20"/>
      <c r="X40" s="660"/>
      <c r="Y40" s="569"/>
      <c r="Z40" s="109">
        <f t="shared" si="2"/>
        <v>0</v>
      </c>
      <c r="AA40" s="110"/>
      <c r="AB40" s="111"/>
      <c r="AC40" s="192">
        <f t="shared" si="9"/>
        <v>828.3</v>
      </c>
    </row>
    <row r="41" spans="1:29" x14ac:dyDescent="0.25">
      <c r="A41" s="232"/>
      <c r="B41" s="508">
        <f t="shared" si="10"/>
        <v>0</v>
      </c>
      <c r="C41" s="20"/>
      <c r="D41" s="635"/>
      <c r="E41" s="789"/>
      <c r="F41" s="635">
        <f t="shared" si="13"/>
        <v>0</v>
      </c>
      <c r="G41" s="365"/>
      <c r="H41" s="214"/>
      <c r="I41" s="192">
        <f t="shared" si="5"/>
        <v>4.5474735088646412E-13</v>
      </c>
      <c r="K41" s="232"/>
      <c r="L41" s="508">
        <f t="shared" si="11"/>
        <v>132</v>
      </c>
      <c r="M41" s="20"/>
      <c r="N41" s="660"/>
      <c r="O41" s="569"/>
      <c r="P41" s="109">
        <f t="shared" si="1"/>
        <v>0</v>
      </c>
      <c r="Q41" s="110"/>
      <c r="R41" s="111"/>
      <c r="S41" s="192">
        <f t="shared" si="7"/>
        <v>4264.0899999999983</v>
      </c>
      <c r="U41" s="232"/>
      <c r="V41" s="508">
        <f t="shared" si="12"/>
        <v>350</v>
      </c>
      <c r="W41" s="20"/>
      <c r="X41" s="660"/>
      <c r="Y41" s="569"/>
      <c r="Z41" s="109">
        <f t="shared" si="2"/>
        <v>0</v>
      </c>
      <c r="AA41" s="110"/>
      <c r="AB41" s="111"/>
      <c r="AC41" s="192">
        <f t="shared" si="9"/>
        <v>828.3</v>
      </c>
    </row>
    <row r="42" spans="1:29" x14ac:dyDescent="0.25">
      <c r="A42" s="232"/>
      <c r="B42" s="508">
        <f t="shared" si="10"/>
        <v>0</v>
      </c>
      <c r="C42" s="20"/>
      <c r="D42" s="635"/>
      <c r="E42" s="789"/>
      <c r="F42" s="635">
        <f t="shared" si="13"/>
        <v>0</v>
      </c>
      <c r="G42" s="365"/>
      <c r="H42" s="214"/>
      <c r="I42" s="192">
        <f t="shared" si="5"/>
        <v>4.5474735088646412E-13</v>
      </c>
      <c r="K42" s="232"/>
      <c r="L42" s="508">
        <f t="shared" si="11"/>
        <v>132</v>
      </c>
      <c r="M42" s="20"/>
      <c r="N42" s="660"/>
      <c r="O42" s="569"/>
      <c r="P42" s="109">
        <f t="shared" si="1"/>
        <v>0</v>
      </c>
      <c r="Q42" s="110"/>
      <c r="R42" s="111"/>
      <c r="S42" s="192">
        <f t="shared" si="7"/>
        <v>4264.0899999999983</v>
      </c>
      <c r="U42" s="232"/>
      <c r="V42" s="508">
        <f t="shared" si="12"/>
        <v>350</v>
      </c>
      <c r="W42" s="20"/>
      <c r="X42" s="660"/>
      <c r="Y42" s="569"/>
      <c r="Z42" s="109">
        <f t="shared" si="2"/>
        <v>0</v>
      </c>
      <c r="AA42" s="110"/>
      <c r="AB42" s="111"/>
      <c r="AC42" s="192">
        <f t="shared" si="9"/>
        <v>828.3</v>
      </c>
    </row>
    <row r="43" spans="1:29" x14ac:dyDescent="0.25">
      <c r="A43" s="232"/>
      <c r="B43" s="508">
        <f t="shared" si="10"/>
        <v>0</v>
      </c>
      <c r="C43" s="20"/>
      <c r="D43" s="635"/>
      <c r="E43" s="789"/>
      <c r="F43" s="635">
        <f t="shared" si="13"/>
        <v>0</v>
      </c>
      <c r="G43" s="365"/>
      <c r="H43" s="214"/>
      <c r="I43" s="192">
        <f t="shared" si="5"/>
        <v>4.5474735088646412E-13</v>
      </c>
      <c r="K43" s="232"/>
      <c r="L43" s="508">
        <f t="shared" si="11"/>
        <v>132</v>
      </c>
      <c r="M43" s="20"/>
      <c r="N43" s="660"/>
      <c r="O43" s="569"/>
      <c r="P43" s="109">
        <f t="shared" si="1"/>
        <v>0</v>
      </c>
      <c r="Q43" s="110"/>
      <c r="R43" s="111"/>
      <c r="S43" s="192">
        <f t="shared" si="7"/>
        <v>4264.0899999999983</v>
      </c>
      <c r="U43" s="232"/>
      <c r="V43" s="508">
        <f t="shared" si="12"/>
        <v>350</v>
      </c>
      <c r="W43" s="20"/>
      <c r="X43" s="660"/>
      <c r="Y43" s="569"/>
      <c r="Z43" s="109">
        <f t="shared" si="2"/>
        <v>0</v>
      </c>
      <c r="AA43" s="110"/>
      <c r="AB43" s="111"/>
      <c r="AC43" s="192">
        <f t="shared" si="9"/>
        <v>828.3</v>
      </c>
    </row>
    <row r="44" spans="1:29" x14ac:dyDescent="0.25">
      <c r="A44" s="232"/>
      <c r="B44" s="508">
        <f t="shared" si="10"/>
        <v>0</v>
      </c>
      <c r="C44" s="20"/>
      <c r="D44" s="635"/>
      <c r="E44" s="789"/>
      <c r="F44" s="635">
        <f t="shared" si="13"/>
        <v>0</v>
      </c>
      <c r="G44" s="365"/>
      <c r="H44" s="214"/>
      <c r="I44" s="192">
        <f t="shared" si="5"/>
        <v>4.5474735088646412E-13</v>
      </c>
      <c r="K44" s="232"/>
      <c r="L44" s="508">
        <f t="shared" si="11"/>
        <v>132</v>
      </c>
      <c r="M44" s="20"/>
      <c r="N44" s="660"/>
      <c r="O44" s="569"/>
      <c r="P44" s="109">
        <f t="shared" si="1"/>
        <v>0</v>
      </c>
      <c r="Q44" s="110"/>
      <c r="R44" s="111"/>
      <c r="S44" s="192">
        <f t="shared" si="7"/>
        <v>4264.0899999999983</v>
      </c>
      <c r="U44" s="232"/>
      <c r="V44" s="508">
        <f t="shared" si="12"/>
        <v>350</v>
      </c>
      <c r="W44" s="20"/>
      <c r="X44" s="660"/>
      <c r="Y44" s="569"/>
      <c r="Z44" s="109">
        <f t="shared" si="2"/>
        <v>0</v>
      </c>
      <c r="AA44" s="110"/>
      <c r="AB44" s="111"/>
      <c r="AC44" s="192">
        <f t="shared" si="9"/>
        <v>828.3</v>
      </c>
    </row>
    <row r="45" spans="1:29" x14ac:dyDescent="0.25">
      <c r="A45" s="232"/>
      <c r="B45" s="508">
        <f t="shared" si="10"/>
        <v>0</v>
      </c>
      <c r="C45" s="20"/>
      <c r="D45" s="635"/>
      <c r="E45" s="789"/>
      <c r="F45" s="635">
        <f t="shared" si="13"/>
        <v>0</v>
      </c>
      <c r="G45" s="365"/>
      <c r="H45" s="214"/>
      <c r="I45" s="192">
        <f t="shared" si="5"/>
        <v>4.5474735088646412E-13</v>
      </c>
      <c r="K45" s="232"/>
      <c r="L45" s="508">
        <f t="shared" si="11"/>
        <v>132</v>
      </c>
      <c r="M45" s="20"/>
      <c r="N45" s="660"/>
      <c r="O45" s="569"/>
      <c r="P45" s="109">
        <f t="shared" si="1"/>
        <v>0</v>
      </c>
      <c r="Q45" s="110"/>
      <c r="R45" s="111"/>
      <c r="S45" s="192">
        <f t="shared" si="7"/>
        <v>4264.0899999999983</v>
      </c>
      <c r="U45" s="232"/>
      <c r="V45" s="508">
        <f t="shared" si="12"/>
        <v>350</v>
      </c>
      <c r="W45" s="20"/>
      <c r="X45" s="660"/>
      <c r="Y45" s="569"/>
      <c r="Z45" s="109">
        <f t="shared" si="2"/>
        <v>0</v>
      </c>
      <c r="AA45" s="110"/>
      <c r="AB45" s="111"/>
      <c r="AC45" s="192">
        <f t="shared" si="9"/>
        <v>828.3</v>
      </c>
    </row>
    <row r="46" spans="1:29" x14ac:dyDescent="0.25">
      <c r="A46" s="232"/>
      <c r="B46" s="508">
        <f t="shared" si="10"/>
        <v>0</v>
      </c>
      <c r="C46" s="20"/>
      <c r="D46" s="635"/>
      <c r="E46" s="789"/>
      <c r="F46" s="635">
        <f t="shared" si="13"/>
        <v>0</v>
      </c>
      <c r="G46" s="365"/>
      <c r="H46" s="214"/>
      <c r="I46" s="192">
        <f t="shared" si="5"/>
        <v>4.5474735088646412E-13</v>
      </c>
      <c r="K46" s="232"/>
      <c r="L46" s="508">
        <f t="shared" si="11"/>
        <v>132</v>
      </c>
      <c r="M46" s="20"/>
      <c r="N46" s="660"/>
      <c r="O46" s="569"/>
      <c r="P46" s="109">
        <f t="shared" si="1"/>
        <v>0</v>
      </c>
      <c r="Q46" s="110"/>
      <c r="R46" s="111"/>
      <c r="S46" s="192">
        <f t="shared" si="7"/>
        <v>4264.0899999999983</v>
      </c>
      <c r="U46" s="232"/>
      <c r="V46" s="508">
        <f t="shared" si="12"/>
        <v>350</v>
      </c>
      <c r="W46" s="20"/>
      <c r="X46" s="660"/>
      <c r="Y46" s="569"/>
      <c r="Z46" s="109">
        <f t="shared" si="2"/>
        <v>0</v>
      </c>
      <c r="AA46" s="110"/>
      <c r="AB46" s="111"/>
      <c r="AC46" s="192">
        <f t="shared" si="9"/>
        <v>828.3</v>
      </c>
    </row>
    <row r="47" spans="1:29" x14ac:dyDescent="0.25">
      <c r="A47" s="232"/>
      <c r="B47" s="508">
        <f t="shared" si="10"/>
        <v>0</v>
      </c>
      <c r="C47" s="20"/>
      <c r="D47" s="635"/>
      <c r="E47" s="789"/>
      <c r="F47" s="635">
        <f t="shared" si="13"/>
        <v>0</v>
      </c>
      <c r="G47" s="365"/>
      <c r="H47" s="214"/>
      <c r="I47" s="192">
        <f t="shared" si="5"/>
        <v>4.5474735088646412E-13</v>
      </c>
      <c r="K47" s="232"/>
      <c r="L47" s="508">
        <f t="shared" si="11"/>
        <v>132</v>
      </c>
      <c r="M47" s="20"/>
      <c r="N47" s="660"/>
      <c r="O47" s="569"/>
      <c r="P47" s="109">
        <f t="shared" si="1"/>
        <v>0</v>
      </c>
      <c r="Q47" s="110"/>
      <c r="R47" s="111"/>
      <c r="S47" s="192">
        <f t="shared" si="7"/>
        <v>4264.0899999999983</v>
      </c>
      <c r="U47" s="232"/>
      <c r="V47" s="508">
        <f t="shared" si="12"/>
        <v>350</v>
      </c>
      <c r="W47" s="20"/>
      <c r="X47" s="660"/>
      <c r="Y47" s="569"/>
      <c r="Z47" s="109">
        <f t="shared" si="2"/>
        <v>0</v>
      </c>
      <c r="AA47" s="110"/>
      <c r="AB47" s="111"/>
      <c r="AC47" s="192">
        <f t="shared" si="9"/>
        <v>828.3</v>
      </c>
    </row>
    <row r="48" spans="1:29" x14ac:dyDescent="0.25">
      <c r="A48" s="232"/>
      <c r="B48" s="508">
        <f t="shared" si="10"/>
        <v>0</v>
      </c>
      <c r="C48" s="20"/>
      <c r="D48" s="635"/>
      <c r="E48" s="789"/>
      <c r="F48" s="635">
        <f t="shared" si="13"/>
        <v>0</v>
      </c>
      <c r="G48" s="365"/>
      <c r="H48" s="214"/>
      <c r="I48" s="192">
        <f t="shared" si="5"/>
        <v>4.5474735088646412E-13</v>
      </c>
      <c r="K48" s="232"/>
      <c r="L48" s="508">
        <f t="shared" si="11"/>
        <v>132</v>
      </c>
      <c r="M48" s="20"/>
      <c r="N48" s="660"/>
      <c r="O48" s="569"/>
      <c r="P48" s="109">
        <f t="shared" si="1"/>
        <v>0</v>
      </c>
      <c r="Q48" s="110"/>
      <c r="R48" s="111"/>
      <c r="S48" s="192">
        <f t="shared" si="7"/>
        <v>4264.0899999999983</v>
      </c>
      <c r="U48" s="232"/>
      <c r="V48" s="508">
        <f t="shared" si="12"/>
        <v>350</v>
      </c>
      <c r="W48" s="20"/>
      <c r="X48" s="660"/>
      <c r="Y48" s="569"/>
      <c r="Z48" s="109">
        <f t="shared" si="2"/>
        <v>0</v>
      </c>
      <c r="AA48" s="110"/>
      <c r="AB48" s="111"/>
      <c r="AC48" s="192">
        <f t="shared" si="9"/>
        <v>828.3</v>
      </c>
    </row>
    <row r="49" spans="1:29" x14ac:dyDescent="0.25">
      <c r="A49" s="232"/>
      <c r="B49" s="508">
        <f t="shared" si="10"/>
        <v>0</v>
      </c>
      <c r="C49" s="20"/>
      <c r="D49" s="635"/>
      <c r="E49" s="789"/>
      <c r="F49" s="635">
        <f t="shared" si="13"/>
        <v>0</v>
      </c>
      <c r="G49" s="365"/>
      <c r="H49" s="214"/>
      <c r="I49" s="192">
        <f t="shared" si="5"/>
        <v>4.5474735088646412E-13</v>
      </c>
      <c r="K49" s="232"/>
      <c r="L49" s="508">
        <f t="shared" si="11"/>
        <v>132</v>
      </c>
      <c r="M49" s="20"/>
      <c r="N49" s="660"/>
      <c r="O49" s="569"/>
      <c r="P49" s="109">
        <f t="shared" si="1"/>
        <v>0</v>
      </c>
      <c r="Q49" s="110"/>
      <c r="R49" s="111"/>
      <c r="S49" s="192">
        <f t="shared" si="7"/>
        <v>4264.0899999999983</v>
      </c>
      <c r="U49" s="232"/>
      <c r="V49" s="508">
        <f t="shared" si="12"/>
        <v>350</v>
      </c>
      <c r="W49" s="20"/>
      <c r="X49" s="660"/>
      <c r="Y49" s="569"/>
      <c r="Z49" s="109">
        <f t="shared" si="2"/>
        <v>0</v>
      </c>
      <c r="AA49" s="110"/>
      <c r="AB49" s="111"/>
      <c r="AC49" s="192">
        <f t="shared" si="9"/>
        <v>828.3</v>
      </c>
    </row>
    <row r="50" spans="1:29" x14ac:dyDescent="0.25">
      <c r="A50" s="232"/>
      <c r="B50" s="508">
        <f t="shared" si="10"/>
        <v>0</v>
      </c>
      <c r="C50" s="20"/>
      <c r="D50" s="635"/>
      <c r="E50" s="789"/>
      <c r="F50" s="635">
        <f t="shared" si="13"/>
        <v>0</v>
      </c>
      <c r="G50" s="365"/>
      <c r="H50" s="214"/>
      <c r="I50" s="192">
        <f t="shared" si="5"/>
        <v>4.5474735088646412E-13</v>
      </c>
      <c r="K50" s="232"/>
      <c r="L50" s="508">
        <f t="shared" si="11"/>
        <v>132</v>
      </c>
      <c r="M50" s="20"/>
      <c r="N50" s="660"/>
      <c r="O50" s="569"/>
      <c r="P50" s="109">
        <f t="shared" si="1"/>
        <v>0</v>
      </c>
      <c r="Q50" s="110"/>
      <c r="R50" s="111"/>
      <c r="S50" s="192">
        <f t="shared" si="7"/>
        <v>4264.0899999999983</v>
      </c>
      <c r="U50" s="232"/>
      <c r="V50" s="508">
        <f t="shared" si="12"/>
        <v>350</v>
      </c>
      <c r="W50" s="20"/>
      <c r="X50" s="660"/>
      <c r="Y50" s="569"/>
      <c r="Z50" s="109">
        <f t="shared" si="2"/>
        <v>0</v>
      </c>
      <c r="AA50" s="110"/>
      <c r="AB50" s="111"/>
      <c r="AC50" s="192">
        <f t="shared" si="9"/>
        <v>828.3</v>
      </c>
    </row>
    <row r="51" spans="1:29" x14ac:dyDescent="0.25">
      <c r="A51" s="232"/>
      <c r="B51" s="508">
        <f t="shared" si="10"/>
        <v>0</v>
      </c>
      <c r="C51" s="20"/>
      <c r="D51" s="95"/>
      <c r="E51" s="624"/>
      <c r="F51" s="109">
        <f t="shared" si="13"/>
        <v>0</v>
      </c>
      <c r="G51" s="110"/>
      <c r="H51" s="111"/>
      <c r="I51" s="192">
        <f t="shared" si="5"/>
        <v>4.5474735088646412E-13</v>
      </c>
      <c r="K51" s="232"/>
      <c r="L51" s="508">
        <f t="shared" si="11"/>
        <v>132</v>
      </c>
      <c r="M51" s="20"/>
      <c r="N51" s="95"/>
      <c r="O51" s="569"/>
      <c r="P51" s="109">
        <f t="shared" si="1"/>
        <v>0</v>
      </c>
      <c r="Q51" s="110"/>
      <c r="R51" s="111"/>
      <c r="S51" s="192">
        <f t="shared" si="7"/>
        <v>4264.0899999999983</v>
      </c>
      <c r="U51" s="232"/>
      <c r="V51" s="508">
        <f t="shared" si="12"/>
        <v>350</v>
      </c>
      <c r="W51" s="20"/>
      <c r="X51" s="95"/>
      <c r="Y51" s="569"/>
      <c r="Z51" s="109">
        <f t="shared" si="2"/>
        <v>0</v>
      </c>
      <c r="AA51" s="110"/>
      <c r="AB51" s="111"/>
      <c r="AC51" s="192">
        <f t="shared" si="9"/>
        <v>828.3</v>
      </c>
    </row>
    <row r="52" spans="1:29" x14ac:dyDescent="0.25">
      <c r="A52" s="232"/>
      <c r="B52" s="508">
        <f t="shared" si="10"/>
        <v>0</v>
      </c>
      <c r="C52" s="20"/>
      <c r="D52" s="95"/>
      <c r="E52" s="624"/>
      <c r="F52" s="109">
        <f t="shared" si="13"/>
        <v>0</v>
      </c>
      <c r="G52" s="110"/>
      <c r="H52" s="111"/>
      <c r="I52" s="192">
        <f t="shared" si="5"/>
        <v>4.5474735088646412E-13</v>
      </c>
      <c r="K52" s="232"/>
      <c r="L52" s="508">
        <f t="shared" si="11"/>
        <v>132</v>
      </c>
      <c r="M52" s="20"/>
      <c r="N52" s="95"/>
      <c r="O52" s="569"/>
      <c r="P52" s="109">
        <f t="shared" si="1"/>
        <v>0</v>
      </c>
      <c r="Q52" s="110"/>
      <c r="R52" s="111"/>
      <c r="S52" s="192">
        <f t="shared" si="7"/>
        <v>4264.0899999999983</v>
      </c>
      <c r="U52" s="232"/>
      <c r="V52" s="508">
        <f t="shared" si="12"/>
        <v>350</v>
      </c>
      <c r="W52" s="20"/>
      <c r="X52" s="95"/>
      <c r="Y52" s="569"/>
      <c r="Z52" s="109">
        <f t="shared" si="2"/>
        <v>0</v>
      </c>
      <c r="AA52" s="110"/>
      <c r="AB52" s="111"/>
      <c r="AC52" s="192">
        <f t="shared" si="9"/>
        <v>828.3</v>
      </c>
    </row>
    <row r="53" spans="1:29" x14ac:dyDescent="0.25">
      <c r="A53" s="232"/>
      <c r="B53" s="508">
        <f t="shared" si="10"/>
        <v>0</v>
      </c>
      <c r="C53" s="20"/>
      <c r="D53" s="95"/>
      <c r="E53" s="624"/>
      <c r="F53" s="109">
        <f t="shared" si="13"/>
        <v>0</v>
      </c>
      <c r="G53" s="110"/>
      <c r="H53" s="111"/>
      <c r="I53" s="192">
        <f t="shared" si="5"/>
        <v>4.5474735088646412E-13</v>
      </c>
      <c r="K53" s="232"/>
      <c r="L53" s="508">
        <f t="shared" si="11"/>
        <v>132</v>
      </c>
      <c r="M53" s="20"/>
      <c r="N53" s="95"/>
      <c r="O53" s="569"/>
      <c r="P53" s="109">
        <f t="shared" si="1"/>
        <v>0</v>
      </c>
      <c r="Q53" s="110"/>
      <c r="R53" s="111"/>
      <c r="S53" s="192">
        <f t="shared" si="7"/>
        <v>4264.0899999999983</v>
      </c>
      <c r="U53" s="232"/>
      <c r="V53" s="508">
        <f t="shared" si="12"/>
        <v>350</v>
      </c>
      <c r="W53" s="20"/>
      <c r="X53" s="95"/>
      <c r="Y53" s="569"/>
      <c r="Z53" s="109">
        <f t="shared" si="2"/>
        <v>0</v>
      </c>
      <c r="AA53" s="110"/>
      <c r="AB53" s="111"/>
      <c r="AC53" s="192">
        <f t="shared" si="9"/>
        <v>828.3</v>
      </c>
    </row>
    <row r="54" spans="1:29" x14ac:dyDescent="0.25">
      <c r="A54" s="232"/>
      <c r="B54" s="230"/>
      <c r="C54" s="20"/>
      <c r="D54" s="95"/>
      <c r="E54" s="624"/>
      <c r="F54" s="109">
        <f t="shared" si="13"/>
        <v>0</v>
      </c>
      <c r="G54" s="110"/>
      <c r="H54" s="111"/>
      <c r="I54" s="192">
        <f t="shared" si="5"/>
        <v>4.5474735088646412E-13</v>
      </c>
      <c r="K54" s="232"/>
      <c r="L54" s="230"/>
      <c r="M54" s="20"/>
      <c r="N54" s="95"/>
      <c r="O54" s="569"/>
      <c r="P54" s="109">
        <f t="shared" si="1"/>
        <v>0</v>
      </c>
      <c r="Q54" s="110"/>
      <c r="R54" s="111"/>
      <c r="S54" s="192">
        <f t="shared" si="7"/>
        <v>4264.0899999999983</v>
      </c>
      <c r="U54" s="232"/>
      <c r="V54" s="230"/>
      <c r="W54" s="20"/>
      <c r="X54" s="95"/>
      <c r="Y54" s="569"/>
      <c r="Z54" s="109">
        <f t="shared" si="2"/>
        <v>0</v>
      </c>
      <c r="AA54" s="110"/>
      <c r="AB54" s="111"/>
      <c r="AC54" s="192">
        <f t="shared" si="9"/>
        <v>828.3</v>
      </c>
    </row>
    <row r="55" spans="1:29" x14ac:dyDescent="0.25">
      <c r="A55" s="232"/>
      <c r="B55" s="230"/>
      <c r="C55" s="20"/>
      <c r="D55" s="95"/>
      <c r="E55" s="624"/>
      <c r="F55" s="109">
        <f t="shared" si="13"/>
        <v>0</v>
      </c>
      <c r="G55" s="110"/>
      <c r="H55" s="111"/>
      <c r="I55" s="192">
        <f t="shared" si="5"/>
        <v>4.5474735088646412E-13</v>
      </c>
      <c r="K55" s="232"/>
      <c r="L55" s="230"/>
      <c r="M55" s="20"/>
      <c r="N55" s="95"/>
      <c r="O55" s="569"/>
      <c r="P55" s="109">
        <f t="shared" si="1"/>
        <v>0</v>
      </c>
      <c r="Q55" s="110"/>
      <c r="R55" s="111"/>
      <c r="S55" s="192">
        <f t="shared" si="7"/>
        <v>4264.0899999999983</v>
      </c>
      <c r="U55" s="232"/>
      <c r="V55" s="230"/>
      <c r="W55" s="20"/>
      <c r="X55" s="95"/>
      <c r="Y55" s="569"/>
      <c r="Z55" s="109">
        <f t="shared" si="2"/>
        <v>0</v>
      </c>
      <c r="AA55" s="110"/>
      <c r="AB55" s="111"/>
      <c r="AC55" s="192">
        <f t="shared" si="9"/>
        <v>828.3</v>
      </c>
    </row>
    <row r="56" spans="1:29" x14ac:dyDescent="0.25">
      <c r="A56" s="232"/>
      <c r="B56" s="230"/>
      <c r="C56" s="20"/>
      <c r="D56" s="95"/>
      <c r="E56" s="624"/>
      <c r="F56" s="109">
        <f t="shared" si="13"/>
        <v>0</v>
      </c>
      <c r="G56" s="110"/>
      <c r="H56" s="111"/>
      <c r="I56" s="192">
        <f t="shared" si="5"/>
        <v>4.5474735088646412E-13</v>
      </c>
      <c r="K56" s="232"/>
      <c r="L56" s="230"/>
      <c r="M56" s="20"/>
      <c r="N56" s="95"/>
      <c r="O56" s="569"/>
      <c r="P56" s="109">
        <f t="shared" si="1"/>
        <v>0</v>
      </c>
      <c r="Q56" s="110"/>
      <c r="R56" s="111"/>
      <c r="S56" s="192">
        <f t="shared" si="7"/>
        <v>4264.0899999999983</v>
      </c>
      <c r="U56" s="232"/>
      <c r="V56" s="230"/>
      <c r="W56" s="20"/>
      <c r="X56" s="95"/>
      <c r="Y56" s="569"/>
      <c r="Z56" s="109">
        <f t="shared" si="2"/>
        <v>0</v>
      </c>
      <c r="AA56" s="110"/>
      <c r="AB56" s="111"/>
      <c r="AC56" s="192">
        <f t="shared" si="9"/>
        <v>828.3</v>
      </c>
    </row>
    <row r="57" spans="1:29" x14ac:dyDescent="0.25">
      <c r="A57" s="232"/>
      <c r="B57" s="230"/>
      <c r="C57" s="20"/>
      <c r="D57" s="95"/>
      <c r="E57" s="624"/>
      <c r="F57" s="109">
        <f t="shared" si="13"/>
        <v>0</v>
      </c>
      <c r="G57" s="110"/>
      <c r="H57" s="111"/>
      <c r="I57" s="192">
        <f t="shared" si="5"/>
        <v>4.5474735088646412E-13</v>
      </c>
      <c r="K57" s="232"/>
      <c r="L57" s="230"/>
      <c r="M57" s="20"/>
      <c r="N57" s="95"/>
      <c r="O57" s="569"/>
      <c r="P57" s="109">
        <f t="shared" si="1"/>
        <v>0</v>
      </c>
      <c r="Q57" s="110"/>
      <c r="R57" s="111"/>
      <c r="S57" s="192">
        <f t="shared" si="7"/>
        <v>4264.0899999999983</v>
      </c>
      <c r="U57" s="232"/>
      <c r="V57" s="230"/>
      <c r="W57" s="20"/>
      <c r="X57" s="95"/>
      <c r="Y57" s="569"/>
      <c r="Z57" s="109">
        <f t="shared" si="2"/>
        <v>0</v>
      </c>
      <c r="AA57" s="110"/>
      <c r="AB57" s="111"/>
      <c r="AC57" s="192">
        <f t="shared" si="9"/>
        <v>828.3</v>
      </c>
    </row>
    <row r="58" spans="1:29" x14ac:dyDescent="0.25">
      <c r="A58" s="232"/>
      <c r="B58" s="230"/>
      <c r="C58" s="20"/>
      <c r="D58" s="95"/>
      <c r="E58" s="624"/>
      <c r="F58" s="109">
        <f t="shared" si="13"/>
        <v>0</v>
      </c>
      <c r="G58" s="110"/>
      <c r="H58" s="111"/>
      <c r="I58" s="192">
        <f t="shared" si="5"/>
        <v>4.5474735088646412E-13</v>
      </c>
      <c r="K58" s="232"/>
      <c r="L58" s="230"/>
      <c r="M58" s="20"/>
      <c r="N58" s="95"/>
      <c r="O58" s="624"/>
      <c r="P58" s="109">
        <f t="shared" si="1"/>
        <v>0</v>
      </c>
      <c r="Q58" s="110"/>
      <c r="R58" s="111"/>
      <c r="S58" s="192">
        <f t="shared" si="7"/>
        <v>4264.0899999999983</v>
      </c>
      <c r="U58" s="232"/>
      <c r="V58" s="230"/>
      <c r="W58" s="20"/>
      <c r="X58" s="95"/>
      <c r="Y58" s="624"/>
      <c r="Z58" s="109">
        <f t="shared" si="2"/>
        <v>0</v>
      </c>
      <c r="AA58" s="110"/>
      <c r="AB58" s="111"/>
      <c r="AC58" s="192">
        <f t="shared" si="9"/>
        <v>828.3</v>
      </c>
    </row>
    <row r="59" spans="1:29" x14ac:dyDescent="0.25">
      <c r="A59" s="232"/>
      <c r="B59" s="230"/>
      <c r="C59" s="20"/>
      <c r="D59" s="95"/>
      <c r="E59" s="624"/>
      <c r="F59" s="109">
        <f t="shared" si="13"/>
        <v>0</v>
      </c>
      <c r="G59" s="110"/>
      <c r="H59" s="111"/>
      <c r="I59" s="192">
        <f t="shared" si="5"/>
        <v>4.5474735088646412E-13</v>
      </c>
      <c r="K59" s="232"/>
      <c r="L59" s="230"/>
      <c r="M59" s="20"/>
      <c r="N59" s="95"/>
      <c r="O59" s="624"/>
      <c r="P59" s="109">
        <f t="shared" si="1"/>
        <v>0</v>
      </c>
      <c r="Q59" s="110"/>
      <c r="R59" s="111"/>
      <c r="S59" s="192">
        <f t="shared" si="7"/>
        <v>4264.0899999999983</v>
      </c>
      <c r="U59" s="232"/>
      <c r="V59" s="230"/>
      <c r="W59" s="20"/>
      <c r="X59" s="95"/>
      <c r="Y59" s="624"/>
      <c r="Z59" s="109">
        <f t="shared" si="2"/>
        <v>0</v>
      </c>
      <c r="AA59" s="110"/>
      <c r="AB59" s="111"/>
      <c r="AC59" s="192">
        <f t="shared" si="9"/>
        <v>828.3</v>
      </c>
    </row>
    <row r="60" spans="1:29" x14ac:dyDescent="0.25">
      <c r="A60" s="232"/>
      <c r="B60" s="230"/>
      <c r="C60" s="20"/>
      <c r="D60" s="95"/>
      <c r="E60" s="624"/>
      <c r="F60" s="109">
        <f t="shared" si="13"/>
        <v>0</v>
      </c>
      <c r="G60" s="110"/>
      <c r="H60" s="111"/>
      <c r="I60" s="192">
        <f t="shared" si="5"/>
        <v>4.5474735088646412E-13</v>
      </c>
      <c r="K60" s="232"/>
      <c r="L60" s="230"/>
      <c r="M60" s="20"/>
      <c r="N60" s="95"/>
      <c r="O60" s="624"/>
      <c r="P60" s="109">
        <f t="shared" si="1"/>
        <v>0</v>
      </c>
      <c r="Q60" s="110"/>
      <c r="R60" s="111"/>
      <c r="S60" s="192">
        <f t="shared" si="7"/>
        <v>4264.0899999999983</v>
      </c>
      <c r="U60" s="232"/>
      <c r="V60" s="230"/>
      <c r="W60" s="20"/>
      <c r="X60" s="95"/>
      <c r="Y60" s="624"/>
      <c r="Z60" s="109">
        <f t="shared" si="2"/>
        <v>0</v>
      </c>
      <c r="AA60" s="110"/>
      <c r="AB60" s="111"/>
      <c r="AC60" s="192">
        <f t="shared" si="9"/>
        <v>828.3</v>
      </c>
    </row>
    <row r="61" spans="1:29" x14ac:dyDescent="0.25">
      <c r="A61" s="232"/>
      <c r="B61" s="230"/>
      <c r="C61" s="20"/>
      <c r="D61" s="95"/>
      <c r="E61" s="624"/>
      <c r="F61" s="109">
        <f t="shared" si="13"/>
        <v>0</v>
      </c>
      <c r="G61" s="110"/>
      <c r="H61" s="111"/>
      <c r="I61" s="192">
        <f t="shared" si="5"/>
        <v>4.5474735088646412E-13</v>
      </c>
      <c r="K61" s="232"/>
      <c r="L61" s="230"/>
      <c r="M61" s="20"/>
      <c r="N61" s="95"/>
      <c r="O61" s="624"/>
      <c r="P61" s="109">
        <f t="shared" si="1"/>
        <v>0</v>
      </c>
      <c r="Q61" s="110"/>
      <c r="R61" s="111"/>
      <c r="S61" s="192">
        <f t="shared" si="7"/>
        <v>4264.0899999999983</v>
      </c>
      <c r="U61" s="232"/>
      <c r="V61" s="230"/>
      <c r="W61" s="20"/>
      <c r="X61" s="95"/>
      <c r="Y61" s="624"/>
      <c r="Z61" s="109">
        <f t="shared" si="2"/>
        <v>0</v>
      </c>
      <c r="AA61" s="110"/>
      <c r="AB61" s="111"/>
      <c r="AC61" s="192">
        <f t="shared" si="9"/>
        <v>828.3</v>
      </c>
    </row>
    <row r="62" spans="1:29" x14ac:dyDescent="0.25">
      <c r="A62" s="232"/>
      <c r="B62" s="230"/>
      <c r="C62" s="20"/>
      <c r="D62" s="95"/>
      <c r="E62" s="624"/>
      <c r="F62" s="109">
        <f t="shared" si="13"/>
        <v>0</v>
      </c>
      <c r="G62" s="110"/>
      <c r="H62" s="111"/>
      <c r="I62" s="192">
        <f t="shared" si="5"/>
        <v>4.5474735088646412E-13</v>
      </c>
      <c r="K62" s="232"/>
      <c r="L62" s="230"/>
      <c r="M62" s="20"/>
      <c r="N62" s="95"/>
      <c r="O62" s="624"/>
      <c r="P62" s="109">
        <f t="shared" si="1"/>
        <v>0</v>
      </c>
      <c r="Q62" s="110"/>
      <c r="R62" s="111"/>
      <c r="S62" s="192">
        <f t="shared" si="7"/>
        <v>4264.0899999999983</v>
      </c>
      <c r="U62" s="232"/>
      <c r="V62" s="230"/>
      <c r="W62" s="20"/>
      <c r="X62" s="95"/>
      <c r="Y62" s="624"/>
      <c r="Z62" s="109">
        <f t="shared" si="2"/>
        <v>0</v>
      </c>
      <c r="AA62" s="110"/>
      <c r="AB62" s="111"/>
      <c r="AC62" s="192">
        <f t="shared" si="9"/>
        <v>828.3</v>
      </c>
    </row>
    <row r="63" spans="1:29" x14ac:dyDescent="0.25">
      <c r="A63" s="232"/>
      <c r="B63" s="7"/>
      <c r="C63" s="20"/>
      <c r="D63" s="95"/>
      <c r="E63" s="624"/>
      <c r="F63" s="109">
        <f t="shared" si="13"/>
        <v>0</v>
      </c>
      <c r="G63" s="110"/>
      <c r="H63" s="111"/>
      <c r="I63" s="192">
        <f t="shared" si="5"/>
        <v>4.5474735088646412E-13</v>
      </c>
      <c r="K63" s="232"/>
      <c r="L63" s="7"/>
      <c r="M63" s="20"/>
      <c r="N63" s="95"/>
      <c r="O63" s="624"/>
      <c r="P63" s="109">
        <f t="shared" si="1"/>
        <v>0</v>
      </c>
      <c r="Q63" s="110"/>
      <c r="R63" s="111"/>
      <c r="S63" s="192">
        <f t="shared" si="7"/>
        <v>4264.0899999999983</v>
      </c>
      <c r="U63" s="232"/>
      <c r="V63" s="7"/>
      <c r="W63" s="20"/>
      <c r="X63" s="95"/>
      <c r="Y63" s="624"/>
      <c r="Z63" s="109">
        <f t="shared" si="2"/>
        <v>0</v>
      </c>
      <c r="AA63" s="110"/>
      <c r="AB63" s="111"/>
      <c r="AC63" s="192">
        <f t="shared" si="9"/>
        <v>828.3</v>
      </c>
    </row>
    <row r="64" spans="1:29" x14ac:dyDescent="0.25">
      <c r="A64" s="232"/>
      <c r="B64" s="7"/>
      <c r="C64" s="20"/>
      <c r="D64" s="95"/>
      <c r="E64" s="624"/>
      <c r="F64" s="109">
        <f t="shared" si="13"/>
        <v>0</v>
      </c>
      <c r="G64" s="110"/>
      <c r="H64" s="111"/>
      <c r="I64" s="192">
        <f t="shared" si="5"/>
        <v>4.5474735088646412E-13</v>
      </c>
      <c r="K64" s="232"/>
      <c r="L64" s="7"/>
      <c r="M64" s="20"/>
      <c r="N64" s="95"/>
      <c r="O64" s="624"/>
      <c r="P64" s="109">
        <f t="shared" si="1"/>
        <v>0</v>
      </c>
      <c r="Q64" s="110"/>
      <c r="R64" s="111"/>
      <c r="S64" s="192">
        <f t="shared" si="7"/>
        <v>4264.0899999999983</v>
      </c>
      <c r="U64" s="232"/>
      <c r="V64" s="7"/>
      <c r="W64" s="20"/>
      <c r="X64" s="95"/>
      <c r="Y64" s="624"/>
      <c r="Z64" s="109">
        <f t="shared" si="2"/>
        <v>0</v>
      </c>
      <c r="AA64" s="110"/>
      <c r="AB64" s="111"/>
      <c r="AC64" s="192">
        <f t="shared" si="9"/>
        <v>828.3</v>
      </c>
    </row>
    <row r="65" spans="1:29" x14ac:dyDescent="0.25">
      <c r="A65" s="232"/>
      <c r="B65" s="7"/>
      <c r="C65" s="20"/>
      <c r="D65" s="95"/>
      <c r="E65" s="624"/>
      <c r="F65" s="109">
        <f t="shared" si="13"/>
        <v>0</v>
      </c>
      <c r="G65" s="110"/>
      <c r="H65" s="111"/>
      <c r="I65" s="192">
        <f t="shared" si="5"/>
        <v>4.5474735088646412E-13</v>
      </c>
      <c r="K65" s="232"/>
      <c r="L65" s="7"/>
      <c r="M65" s="20"/>
      <c r="N65" s="95"/>
      <c r="O65" s="624"/>
      <c r="P65" s="109">
        <f t="shared" si="1"/>
        <v>0</v>
      </c>
      <c r="Q65" s="110"/>
      <c r="R65" s="111"/>
      <c r="S65" s="192">
        <f t="shared" si="7"/>
        <v>4264.0899999999983</v>
      </c>
      <c r="U65" s="232"/>
      <c r="V65" s="7"/>
      <c r="W65" s="20"/>
      <c r="X65" s="95"/>
      <c r="Y65" s="624"/>
      <c r="Z65" s="109">
        <f t="shared" si="2"/>
        <v>0</v>
      </c>
      <c r="AA65" s="110"/>
      <c r="AB65" s="111"/>
      <c r="AC65" s="192">
        <f t="shared" si="9"/>
        <v>828.3</v>
      </c>
    </row>
    <row r="66" spans="1:29" x14ac:dyDescent="0.25">
      <c r="A66" s="232"/>
      <c r="B66" s="7"/>
      <c r="C66" s="20"/>
      <c r="D66" s="95"/>
      <c r="E66" s="624"/>
      <c r="F66" s="109">
        <f t="shared" si="13"/>
        <v>0</v>
      </c>
      <c r="G66" s="110"/>
      <c r="H66" s="111"/>
      <c r="I66" s="192">
        <f t="shared" si="5"/>
        <v>4.5474735088646412E-13</v>
      </c>
      <c r="K66" s="232"/>
      <c r="L66" s="7"/>
      <c r="M66" s="20"/>
      <c r="N66" s="95"/>
      <c r="O66" s="624"/>
      <c r="P66" s="109">
        <f t="shared" si="1"/>
        <v>0</v>
      </c>
      <c r="Q66" s="110"/>
      <c r="R66" s="111"/>
      <c r="S66" s="192">
        <f t="shared" si="7"/>
        <v>4264.0899999999983</v>
      </c>
      <c r="U66" s="232"/>
      <c r="V66" s="7"/>
      <c r="W66" s="20"/>
      <c r="X66" s="95"/>
      <c r="Y66" s="624"/>
      <c r="Z66" s="109">
        <f t="shared" si="2"/>
        <v>0</v>
      </c>
      <c r="AA66" s="110"/>
      <c r="AB66" s="111"/>
      <c r="AC66" s="192">
        <f t="shared" si="9"/>
        <v>828.3</v>
      </c>
    </row>
    <row r="67" spans="1:29" x14ac:dyDescent="0.25">
      <c r="A67" s="232"/>
      <c r="B67" s="7"/>
      <c r="C67" s="20"/>
      <c r="D67" s="95"/>
      <c r="E67" s="624"/>
      <c r="F67" s="109">
        <f t="shared" si="13"/>
        <v>0</v>
      </c>
      <c r="G67" s="110"/>
      <c r="H67" s="111"/>
      <c r="I67" s="192">
        <f t="shared" si="5"/>
        <v>4.5474735088646412E-13</v>
      </c>
      <c r="K67" s="232"/>
      <c r="L67" s="7"/>
      <c r="M67" s="20"/>
      <c r="N67" s="95"/>
      <c r="O67" s="624"/>
      <c r="P67" s="109">
        <f t="shared" si="1"/>
        <v>0</v>
      </c>
      <c r="Q67" s="110"/>
      <c r="R67" s="111"/>
      <c r="S67" s="192">
        <f t="shared" si="7"/>
        <v>4264.0899999999983</v>
      </c>
      <c r="U67" s="232"/>
      <c r="V67" s="7"/>
      <c r="W67" s="20"/>
      <c r="X67" s="95"/>
      <c r="Y67" s="624"/>
      <c r="Z67" s="109">
        <f t="shared" si="2"/>
        <v>0</v>
      </c>
      <c r="AA67" s="110"/>
      <c r="AB67" s="111"/>
      <c r="AC67" s="192">
        <f t="shared" si="9"/>
        <v>828.3</v>
      </c>
    </row>
    <row r="68" spans="1:29" x14ac:dyDescent="0.25">
      <c r="A68" s="232"/>
      <c r="B68" s="7"/>
      <c r="C68" s="20"/>
      <c r="D68" s="95"/>
      <c r="E68" s="624"/>
      <c r="F68" s="109">
        <f t="shared" si="13"/>
        <v>0</v>
      </c>
      <c r="G68" s="110"/>
      <c r="H68" s="111"/>
      <c r="I68" s="192">
        <f t="shared" si="5"/>
        <v>4.5474735088646412E-13</v>
      </c>
      <c r="K68" s="232"/>
      <c r="L68" s="7"/>
      <c r="M68" s="20"/>
      <c r="N68" s="95"/>
      <c r="O68" s="624"/>
      <c r="P68" s="109">
        <f t="shared" si="1"/>
        <v>0</v>
      </c>
      <c r="Q68" s="110"/>
      <c r="R68" s="111"/>
      <c r="S68" s="192">
        <f t="shared" si="7"/>
        <v>4264.0899999999983</v>
      </c>
      <c r="U68" s="232"/>
      <c r="V68" s="7"/>
      <c r="W68" s="20"/>
      <c r="X68" s="95"/>
      <c r="Y68" s="624"/>
      <c r="Z68" s="109">
        <f t="shared" si="2"/>
        <v>0</v>
      </c>
      <c r="AA68" s="110"/>
      <c r="AB68" s="111"/>
      <c r="AC68" s="192">
        <f t="shared" si="9"/>
        <v>828.3</v>
      </c>
    </row>
    <row r="69" spans="1:29" x14ac:dyDescent="0.25">
      <c r="A69" s="232"/>
      <c r="B69" s="7"/>
      <c r="C69" s="20"/>
      <c r="D69" s="95"/>
      <c r="E69" s="624"/>
      <c r="F69" s="109">
        <f t="shared" si="13"/>
        <v>0</v>
      </c>
      <c r="G69" s="110"/>
      <c r="H69" s="111"/>
      <c r="I69" s="192">
        <f t="shared" si="5"/>
        <v>4.5474735088646412E-13</v>
      </c>
      <c r="K69" s="232"/>
      <c r="L69" s="7"/>
      <c r="M69" s="20"/>
      <c r="N69" s="95"/>
      <c r="O69" s="624"/>
      <c r="P69" s="109">
        <f t="shared" si="1"/>
        <v>0</v>
      </c>
      <c r="Q69" s="110"/>
      <c r="R69" s="111"/>
      <c r="S69" s="192">
        <f t="shared" si="7"/>
        <v>4264.0899999999983</v>
      </c>
      <c r="U69" s="232"/>
      <c r="V69" s="7"/>
      <c r="W69" s="20"/>
      <c r="X69" s="95"/>
      <c r="Y69" s="624"/>
      <c r="Z69" s="109">
        <f t="shared" si="2"/>
        <v>0</v>
      </c>
      <c r="AA69" s="110"/>
      <c r="AB69" s="111"/>
      <c r="AC69" s="192">
        <f t="shared" si="9"/>
        <v>828.3</v>
      </c>
    </row>
    <row r="70" spans="1:29" x14ac:dyDescent="0.25">
      <c r="A70" s="232"/>
      <c r="B70" s="7"/>
      <c r="C70" s="20"/>
      <c r="D70" s="95"/>
      <c r="E70" s="624"/>
      <c r="F70" s="109">
        <f t="shared" si="13"/>
        <v>0</v>
      </c>
      <c r="G70" s="110"/>
      <c r="H70" s="111"/>
      <c r="I70" s="192">
        <f t="shared" si="5"/>
        <v>4.5474735088646412E-13</v>
      </c>
      <c r="K70" s="232"/>
      <c r="L70" s="7"/>
      <c r="M70" s="20"/>
      <c r="N70" s="95"/>
      <c r="O70" s="624"/>
      <c r="P70" s="109">
        <f t="shared" si="1"/>
        <v>0</v>
      </c>
      <c r="Q70" s="110"/>
      <c r="R70" s="111"/>
      <c r="S70" s="192">
        <f t="shared" si="7"/>
        <v>4264.0899999999983</v>
      </c>
      <c r="U70" s="232"/>
      <c r="V70" s="7"/>
      <c r="W70" s="20"/>
      <c r="X70" s="95"/>
      <c r="Y70" s="624"/>
      <c r="Z70" s="109">
        <f t="shared" si="2"/>
        <v>0</v>
      </c>
      <c r="AA70" s="110"/>
      <c r="AB70" s="111"/>
      <c r="AC70" s="192">
        <f t="shared" si="9"/>
        <v>828.3</v>
      </c>
    </row>
    <row r="71" spans="1:29" x14ac:dyDescent="0.25">
      <c r="A71" s="232"/>
      <c r="B71" s="7"/>
      <c r="C71" s="20"/>
      <c r="D71" s="95"/>
      <c r="E71" s="624"/>
      <c r="F71" s="109">
        <f t="shared" si="13"/>
        <v>0</v>
      </c>
      <c r="G71" s="110"/>
      <c r="H71" s="111"/>
      <c r="I71" s="192">
        <f t="shared" si="5"/>
        <v>4.5474735088646412E-13</v>
      </c>
      <c r="K71" s="232"/>
      <c r="L71" s="7"/>
      <c r="M71" s="20"/>
      <c r="N71" s="95"/>
      <c r="O71" s="624"/>
      <c r="P71" s="109">
        <f t="shared" si="1"/>
        <v>0</v>
      </c>
      <c r="Q71" s="110"/>
      <c r="R71" s="111"/>
      <c r="S71" s="192">
        <f t="shared" si="7"/>
        <v>4264.0899999999983</v>
      </c>
      <c r="U71" s="232"/>
      <c r="V71" s="7"/>
      <c r="W71" s="20"/>
      <c r="X71" s="95"/>
      <c r="Y71" s="624"/>
      <c r="Z71" s="109">
        <f t="shared" si="2"/>
        <v>0</v>
      </c>
      <c r="AA71" s="110"/>
      <c r="AB71" s="111"/>
      <c r="AC71" s="192">
        <f t="shared" si="9"/>
        <v>828.3</v>
      </c>
    </row>
    <row r="72" spans="1:29" x14ac:dyDescent="0.25">
      <c r="A72" s="232"/>
      <c r="B72" s="7"/>
      <c r="C72" s="20"/>
      <c r="D72" s="95"/>
      <c r="E72" s="624"/>
      <c r="F72" s="109">
        <f t="shared" si="13"/>
        <v>0</v>
      </c>
      <c r="G72" s="110"/>
      <c r="H72" s="111"/>
      <c r="I72" s="192">
        <f t="shared" si="5"/>
        <v>4.5474735088646412E-13</v>
      </c>
      <c r="K72" s="232"/>
      <c r="L72" s="7"/>
      <c r="M72" s="20"/>
      <c r="N72" s="95"/>
      <c r="O72" s="624"/>
      <c r="P72" s="109">
        <f t="shared" si="1"/>
        <v>0</v>
      </c>
      <c r="Q72" s="110"/>
      <c r="R72" s="111"/>
      <c r="S72" s="192">
        <f t="shared" si="7"/>
        <v>4264.0899999999983</v>
      </c>
      <c r="U72" s="232"/>
      <c r="V72" s="7"/>
      <c r="W72" s="20"/>
      <c r="X72" s="95"/>
      <c r="Y72" s="624"/>
      <c r="Z72" s="109">
        <f t="shared" si="2"/>
        <v>0</v>
      </c>
      <c r="AA72" s="110"/>
      <c r="AB72" s="111"/>
      <c r="AC72" s="192">
        <f t="shared" si="9"/>
        <v>828.3</v>
      </c>
    </row>
    <row r="73" spans="1:29" x14ac:dyDescent="0.25">
      <c r="A73" s="232"/>
      <c r="B73" s="7"/>
      <c r="C73" s="20"/>
      <c r="D73" s="95"/>
      <c r="E73" s="624"/>
      <c r="F73" s="109">
        <f>D73</f>
        <v>0</v>
      </c>
      <c r="G73" s="110"/>
      <c r="H73" s="111"/>
      <c r="I73" s="192">
        <f t="shared" si="5"/>
        <v>4.5474735088646412E-13</v>
      </c>
      <c r="K73" s="232"/>
      <c r="L73" s="7"/>
      <c r="M73" s="20"/>
      <c r="N73" s="95"/>
      <c r="O73" s="624"/>
      <c r="P73" s="109">
        <f>N73</f>
        <v>0</v>
      </c>
      <c r="Q73" s="110"/>
      <c r="R73" s="111"/>
      <c r="S73" s="192">
        <f t="shared" si="7"/>
        <v>4264.0899999999983</v>
      </c>
      <c r="U73" s="232"/>
      <c r="V73" s="7"/>
      <c r="W73" s="20"/>
      <c r="X73" s="95"/>
      <c r="Y73" s="624"/>
      <c r="Z73" s="109">
        <f>X73</f>
        <v>0</v>
      </c>
      <c r="AA73" s="110"/>
      <c r="AB73" s="111"/>
      <c r="AC73" s="192">
        <f t="shared" si="9"/>
        <v>828.3</v>
      </c>
    </row>
    <row r="74" spans="1:29" x14ac:dyDescent="0.25">
      <c r="A74" s="232"/>
      <c r="B74" s="7"/>
      <c r="C74" s="20"/>
      <c r="D74" s="95"/>
      <c r="E74" s="624"/>
      <c r="F74" s="109">
        <f>D74</f>
        <v>0</v>
      </c>
      <c r="G74" s="110"/>
      <c r="H74" s="111"/>
      <c r="I74" s="192">
        <f t="shared" si="5"/>
        <v>4.5474735088646412E-13</v>
      </c>
      <c r="K74" s="232"/>
      <c r="L74" s="7"/>
      <c r="M74" s="20"/>
      <c r="N74" s="95"/>
      <c r="O74" s="624"/>
      <c r="P74" s="109">
        <f>N74</f>
        <v>0</v>
      </c>
      <c r="Q74" s="110"/>
      <c r="R74" s="111"/>
      <c r="S74" s="192">
        <f t="shared" si="7"/>
        <v>4264.0899999999983</v>
      </c>
      <c r="U74" s="232"/>
      <c r="V74" s="7"/>
      <c r="W74" s="20"/>
      <c r="X74" s="95"/>
      <c r="Y74" s="624"/>
      <c r="Z74" s="109">
        <f>X74</f>
        <v>0</v>
      </c>
      <c r="AA74" s="110"/>
      <c r="AB74" s="111"/>
      <c r="AC74" s="192">
        <f t="shared" si="9"/>
        <v>828.3</v>
      </c>
    </row>
    <row r="75" spans="1:29" x14ac:dyDescent="0.25">
      <c r="A75" s="232"/>
      <c r="B75" s="7"/>
      <c r="C75" s="20"/>
      <c r="D75" s="95"/>
      <c r="E75" s="624"/>
      <c r="F75" s="109">
        <f>D75</f>
        <v>0</v>
      </c>
      <c r="G75" s="110"/>
      <c r="H75" s="111"/>
      <c r="I75" s="192">
        <f t="shared" ref="I75" si="14">I74-F75</f>
        <v>4.5474735088646412E-13</v>
      </c>
      <c r="K75" s="232"/>
      <c r="L75" s="7"/>
      <c r="M75" s="20"/>
      <c r="N75" s="95"/>
      <c r="O75" s="624"/>
      <c r="P75" s="109">
        <f>N75</f>
        <v>0</v>
      </c>
      <c r="Q75" s="110"/>
      <c r="R75" s="111"/>
      <c r="S75" s="192">
        <f t="shared" ref="S75" si="15">S74-P75</f>
        <v>4264.0899999999983</v>
      </c>
      <c r="U75" s="232"/>
      <c r="V75" s="7"/>
      <c r="W75" s="20"/>
      <c r="X75" s="95"/>
      <c r="Y75" s="624"/>
      <c r="Z75" s="109">
        <f>X75</f>
        <v>0</v>
      </c>
      <c r="AA75" s="110"/>
      <c r="AB75" s="111"/>
      <c r="AC75" s="192">
        <f t="shared" ref="AC75" si="16">AC74-Z75</f>
        <v>828.3</v>
      </c>
    </row>
    <row r="76" spans="1:29" ht="15.75" thickBot="1" x14ac:dyDescent="0.3">
      <c r="A76" s="232"/>
      <c r="B76" s="21"/>
      <c r="C76" s="77"/>
      <c r="D76" s="195"/>
      <c r="E76" s="539"/>
      <c r="F76" s="187"/>
      <c r="G76" s="188"/>
      <c r="H76" s="96"/>
      <c r="K76" s="232"/>
      <c r="L76" s="21"/>
      <c r="M76" s="77"/>
      <c r="N76" s="195"/>
      <c r="O76" s="539"/>
      <c r="P76" s="187"/>
      <c r="Q76" s="188"/>
      <c r="R76" s="96"/>
      <c r="S76" s="507"/>
      <c r="U76" s="232"/>
      <c r="V76" s="21"/>
      <c r="W76" s="77"/>
      <c r="X76" s="195"/>
      <c r="Y76" s="539"/>
      <c r="Z76" s="187"/>
      <c r="AA76" s="188"/>
      <c r="AB76" s="96"/>
      <c r="AC76" s="507"/>
    </row>
    <row r="77" spans="1:29" x14ac:dyDescent="0.25">
      <c r="C77" s="79">
        <f>SUM(C9:C76)</f>
        <v>552</v>
      </c>
      <c r="D77" s="9">
        <f>SUM(D9:D76)</f>
        <v>15798.480000000003</v>
      </c>
      <c r="F77" s="9">
        <f>SUM(F9:F76)</f>
        <v>16127.960000000003</v>
      </c>
      <c r="M77" s="79">
        <f>SUM(M9:M76)</f>
        <v>376</v>
      </c>
      <c r="N77" s="9">
        <f>SUM(N9:N76)</f>
        <v>10862.65</v>
      </c>
      <c r="P77" s="9">
        <f>SUM(P9:P76)</f>
        <v>10862.65</v>
      </c>
      <c r="S77" s="507"/>
      <c r="W77" s="79">
        <f>SUM(W9:W76)</f>
        <v>0</v>
      </c>
      <c r="X77" s="9">
        <f>SUM(X9:X76)</f>
        <v>0</v>
      </c>
      <c r="Z77" s="9">
        <f>SUM(Z9:Z76)</f>
        <v>0</v>
      </c>
      <c r="AC77" s="507"/>
    </row>
    <row r="78" spans="1:29" x14ac:dyDescent="0.25">
      <c r="S78" s="507"/>
      <c r="AC78" s="507"/>
    </row>
    <row r="79" spans="1:29" ht="15.75" thickBot="1" x14ac:dyDescent="0.3">
      <c r="S79" s="507"/>
      <c r="AC79" s="507"/>
    </row>
    <row r="80" spans="1:29" ht="15.75" thickBot="1" x14ac:dyDescent="0.3">
      <c r="D80" s="61" t="s">
        <v>4</v>
      </c>
      <c r="E80" s="90">
        <f>F5+F6-C77+F7</f>
        <v>0</v>
      </c>
      <c r="N80" s="61" t="s">
        <v>4</v>
      </c>
      <c r="O80" s="90">
        <f>P5+P6-M77+P7</f>
        <v>144</v>
      </c>
      <c r="S80" s="507"/>
      <c r="X80" s="61" t="s">
        <v>4</v>
      </c>
      <c r="Y80" s="90">
        <f>Z5+Z6-W77+Z7+Z4</f>
        <v>350</v>
      </c>
      <c r="AC80" s="507"/>
    </row>
    <row r="81" spans="3:29" ht="15.75" thickBot="1" x14ac:dyDescent="0.3">
      <c r="S81" s="507"/>
      <c r="AC81" s="507"/>
    </row>
    <row r="82" spans="3:29" ht="15.75" thickBot="1" x14ac:dyDescent="0.3">
      <c r="C82" s="854" t="s">
        <v>11</v>
      </c>
      <c r="D82" s="855"/>
      <c r="E82" s="92">
        <f>E5+E6-F77+E7</f>
        <v>-2.9558577807620168E-12</v>
      </c>
      <c r="F82" s="119"/>
      <c r="G82" s="16"/>
      <c r="M82" s="854" t="s">
        <v>11</v>
      </c>
      <c r="N82" s="855"/>
      <c r="O82" s="92">
        <f>O5+O6-P77+O7</f>
        <v>4264.09</v>
      </c>
      <c r="P82" s="119"/>
      <c r="Q82" s="16"/>
      <c r="S82" s="507"/>
      <c r="W82" s="854" t="s">
        <v>11</v>
      </c>
      <c r="X82" s="855"/>
      <c r="Y82" s="92">
        <f>Y5+Y6-Z77+Y7+Y4</f>
        <v>9841.91</v>
      </c>
      <c r="Z82" s="119"/>
      <c r="AA82" s="16"/>
      <c r="AC82" s="507"/>
    </row>
    <row r="83" spans="3:29" x14ac:dyDescent="0.25">
      <c r="S83" s="507"/>
      <c r="AC83" s="507"/>
    </row>
  </sheetData>
  <mergeCells count="9">
    <mergeCell ref="A1:G1"/>
    <mergeCell ref="A5:A6"/>
    <mergeCell ref="C82:D82"/>
    <mergeCell ref="U1:AA1"/>
    <mergeCell ref="U5:U6"/>
    <mergeCell ref="W82:X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18" activePane="bottomLeft" state="frozen"/>
      <selection pane="bottomLeft" activeCell="D28" sqref="D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07"/>
  </cols>
  <sheetData>
    <row r="1" spans="1:9" ht="40.5" x14ac:dyDescent="0.55000000000000004">
      <c r="A1" s="853" t="s">
        <v>211</v>
      </c>
      <c r="B1" s="853"/>
      <c r="C1" s="853"/>
      <c r="D1" s="853"/>
      <c r="E1" s="853"/>
      <c r="F1" s="853"/>
      <c r="G1" s="853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19"/>
      <c r="H4" s="319"/>
    </row>
    <row r="5" spans="1:9" x14ac:dyDescent="0.25">
      <c r="A5" s="848" t="s">
        <v>98</v>
      </c>
      <c r="B5" s="856" t="s">
        <v>157</v>
      </c>
      <c r="C5" s="731">
        <v>54.5</v>
      </c>
      <c r="D5" s="262">
        <v>43412</v>
      </c>
      <c r="E5" s="147">
        <v>1631.63</v>
      </c>
      <c r="F5" s="99">
        <v>84</v>
      </c>
      <c r="G5" s="787">
        <f>F77</f>
        <v>1631.63</v>
      </c>
      <c r="H5" t="s">
        <v>41</v>
      </c>
    </row>
    <row r="6" spans="1:9" ht="15.75" x14ac:dyDescent="0.25">
      <c r="A6" s="848"/>
      <c r="B6" s="856"/>
      <c r="C6" s="317"/>
      <c r="D6" s="378"/>
      <c r="E6" s="147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1"/>
      <c r="D7" s="313"/>
      <c r="E7" s="147"/>
      <c r="F7" s="99"/>
      <c r="G7" s="16"/>
    </row>
    <row r="8" spans="1: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08">
        <f>F6-C9+F5</f>
        <v>83</v>
      </c>
      <c r="C9" s="20">
        <v>1</v>
      </c>
      <c r="D9" s="109">
        <v>16.600000000000001</v>
      </c>
      <c r="E9" s="569">
        <v>43421</v>
      </c>
      <c r="F9" s="109">
        <f t="shared" ref="F9:F72" si="0">D9</f>
        <v>16.600000000000001</v>
      </c>
      <c r="G9" s="110" t="s">
        <v>179</v>
      </c>
      <c r="H9" s="111">
        <v>54</v>
      </c>
      <c r="I9" s="147">
        <f>E6-F9+E5</f>
        <v>1615.0300000000002</v>
      </c>
    </row>
    <row r="10" spans="1:9" x14ac:dyDescent="0.25">
      <c r="A10" s="516"/>
      <c r="B10" s="508">
        <f>B9-C10</f>
        <v>81</v>
      </c>
      <c r="C10" s="20">
        <v>2</v>
      </c>
      <c r="D10" s="109">
        <v>37.46</v>
      </c>
      <c r="E10" s="569">
        <v>43426</v>
      </c>
      <c r="F10" s="109">
        <f t="shared" si="0"/>
        <v>37.46</v>
      </c>
      <c r="G10" s="110" t="s">
        <v>192</v>
      </c>
      <c r="H10" s="111">
        <v>54</v>
      </c>
      <c r="I10" s="147">
        <f>I9-F10</f>
        <v>1577.5700000000002</v>
      </c>
    </row>
    <row r="11" spans="1:9" x14ac:dyDescent="0.25">
      <c r="A11" s="461"/>
      <c r="B11" s="508">
        <f t="shared" ref="B11:B21" si="1">B10-C11</f>
        <v>73</v>
      </c>
      <c r="C11" s="20">
        <v>8</v>
      </c>
      <c r="D11" s="109">
        <v>150.15</v>
      </c>
      <c r="E11" s="569">
        <v>43434</v>
      </c>
      <c r="F11" s="109">
        <f t="shared" si="0"/>
        <v>150.15</v>
      </c>
      <c r="G11" s="110" t="s">
        <v>206</v>
      </c>
      <c r="H11" s="111">
        <v>54</v>
      </c>
      <c r="I11" s="147">
        <f t="shared" ref="I11:I74" si="2">I10-F11</f>
        <v>1427.42</v>
      </c>
    </row>
    <row r="12" spans="1:9" x14ac:dyDescent="0.25">
      <c r="A12" s="153" t="s">
        <v>33</v>
      </c>
      <c r="B12" s="508">
        <f t="shared" si="1"/>
        <v>65</v>
      </c>
      <c r="C12" s="20">
        <v>8</v>
      </c>
      <c r="D12" s="488">
        <v>149.38</v>
      </c>
      <c r="E12" s="742">
        <v>43437</v>
      </c>
      <c r="F12" s="488">
        <f t="shared" si="0"/>
        <v>149.38</v>
      </c>
      <c r="G12" s="743" t="s">
        <v>461</v>
      </c>
      <c r="H12" s="489">
        <v>54</v>
      </c>
      <c r="I12" s="147">
        <f t="shared" si="2"/>
        <v>1278.04</v>
      </c>
    </row>
    <row r="13" spans="1:9" x14ac:dyDescent="0.25">
      <c r="A13" s="277"/>
      <c r="B13" s="508">
        <f t="shared" si="1"/>
        <v>54</v>
      </c>
      <c r="C13" s="20">
        <v>11</v>
      </c>
      <c r="D13" s="488">
        <v>213.27</v>
      </c>
      <c r="E13" s="742">
        <v>43439</v>
      </c>
      <c r="F13" s="488">
        <f t="shared" si="0"/>
        <v>213.27</v>
      </c>
      <c r="G13" s="743" t="s">
        <v>476</v>
      </c>
      <c r="H13" s="489">
        <v>54</v>
      </c>
      <c r="I13" s="147">
        <f t="shared" si="2"/>
        <v>1064.77</v>
      </c>
    </row>
    <row r="14" spans="1:9" x14ac:dyDescent="0.25">
      <c r="A14" s="277"/>
      <c r="B14" s="508">
        <f t="shared" si="1"/>
        <v>51</v>
      </c>
      <c r="C14" s="20">
        <v>3</v>
      </c>
      <c r="D14" s="488">
        <v>55.78</v>
      </c>
      <c r="E14" s="742">
        <v>43439</v>
      </c>
      <c r="F14" s="488">
        <f t="shared" si="0"/>
        <v>55.78</v>
      </c>
      <c r="G14" s="743" t="s">
        <v>476</v>
      </c>
      <c r="H14" s="489">
        <v>54</v>
      </c>
      <c r="I14" s="147">
        <f t="shared" si="2"/>
        <v>1008.99</v>
      </c>
    </row>
    <row r="15" spans="1:9" x14ac:dyDescent="0.25">
      <c r="B15" s="508">
        <f t="shared" si="1"/>
        <v>41</v>
      </c>
      <c r="C15" s="20">
        <v>10</v>
      </c>
      <c r="D15" s="488">
        <v>201.83</v>
      </c>
      <c r="E15" s="742">
        <v>43441</v>
      </c>
      <c r="F15" s="488">
        <f t="shared" si="0"/>
        <v>201.83</v>
      </c>
      <c r="G15" s="743" t="s">
        <v>503</v>
      </c>
      <c r="H15" s="489">
        <v>60</v>
      </c>
      <c r="I15" s="147">
        <f t="shared" si="2"/>
        <v>807.16</v>
      </c>
    </row>
    <row r="16" spans="1:9" x14ac:dyDescent="0.25">
      <c r="B16" s="508">
        <f t="shared" si="1"/>
        <v>31</v>
      </c>
      <c r="C16" s="20">
        <v>10</v>
      </c>
      <c r="D16" s="488">
        <v>193.84</v>
      </c>
      <c r="E16" s="742">
        <v>43446</v>
      </c>
      <c r="F16" s="488">
        <f t="shared" si="0"/>
        <v>193.84</v>
      </c>
      <c r="G16" s="743" t="s">
        <v>493</v>
      </c>
      <c r="H16" s="489">
        <v>60</v>
      </c>
      <c r="I16" s="147">
        <f t="shared" si="2"/>
        <v>613.31999999999994</v>
      </c>
    </row>
    <row r="17" spans="1:9" x14ac:dyDescent="0.25">
      <c r="A17" s="232"/>
      <c r="B17" s="508">
        <f t="shared" si="1"/>
        <v>30</v>
      </c>
      <c r="C17" s="20">
        <v>1</v>
      </c>
      <c r="D17" s="488">
        <v>18.68</v>
      </c>
      <c r="E17" s="742">
        <v>43451</v>
      </c>
      <c r="F17" s="488">
        <f t="shared" si="0"/>
        <v>18.68</v>
      </c>
      <c r="G17" s="743" t="s">
        <v>569</v>
      </c>
      <c r="H17" s="489">
        <v>60</v>
      </c>
      <c r="I17" s="147">
        <f t="shared" si="2"/>
        <v>594.64</v>
      </c>
    </row>
    <row r="18" spans="1:9" x14ac:dyDescent="0.25">
      <c r="A18" s="232"/>
      <c r="B18" s="508">
        <f t="shared" si="1"/>
        <v>10</v>
      </c>
      <c r="C18" s="20">
        <v>20</v>
      </c>
      <c r="D18" s="488">
        <v>392.27</v>
      </c>
      <c r="E18" s="742">
        <v>43455</v>
      </c>
      <c r="F18" s="488">
        <f t="shared" si="0"/>
        <v>392.27</v>
      </c>
      <c r="G18" s="743" t="s">
        <v>606</v>
      </c>
      <c r="H18" s="489">
        <v>60</v>
      </c>
      <c r="I18" s="147">
        <f t="shared" si="2"/>
        <v>202.37</v>
      </c>
    </row>
    <row r="19" spans="1:9" x14ac:dyDescent="0.25">
      <c r="A19" s="232"/>
      <c r="B19" s="508">
        <f t="shared" si="1"/>
        <v>8</v>
      </c>
      <c r="C19" s="20">
        <v>2</v>
      </c>
      <c r="D19" s="488">
        <v>42.49</v>
      </c>
      <c r="E19" s="742">
        <v>43456</v>
      </c>
      <c r="F19" s="488">
        <f t="shared" si="0"/>
        <v>42.49</v>
      </c>
      <c r="G19" s="743" t="s">
        <v>610</v>
      </c>
      <c r="H19" s="489">
        <v>60</v>
      </c>
      <c r="I19" s="147">
        <f t="shared" si="2"/>
        <v>159.88</v>
      </c>
    </row>
    <row r="20" spans="1:9" x14ac:dyDescent="0.25">
      <c r="A20" s="232"/>
      <c r="B20" s="508">
        <f t="shared" si="1"/>
        <v>0</v>
      </c>
      <c r="C20" s="20">
        <v>8</v>
      </c>
      <c r="D20" s="488">
        <v>159.88</v>
      </c>
      <c r="E20" s="742">
        <v>43456</v>
      </c>
      <c r="F20" s="488">
        <f t="shared" si="0"/>
        <v>159.88</v>
      </c>
      <c r="G20" s="743" t="s">
        <v>619</v>
      </c>
      <c r="H20" s="489">
        <v>60</v>
      </c>
      <c r="I20" s="147">
        <f t="shared" si="2"/>
        <v>0</v>
      </c>
    </row>
    <row r="21" spans="1:9" x14ac:dyDescent="0.25">
      <c r="A21" s="232"/>
      <c r="B21" s="508">
        <f t="shared" si="1"/>
        <v>0</v>
      </c>
      <c r="C21" s="20"/>
      <c r="D21" s="488"/>
      <c r="E21" s="742"/>
      <c r="F21" s="488">
        <f t="shared" si="0"/>
        <v>0</v>
      </c>
      <c r="G21" s="806"/>
      <c r="H21" s="807"/>
      <c r="I21" s="147">
        <f t="shared" si="2"/>
        <v>0</v>
      </c>
    </row>
    <row r="22" spans="1:9" x14ac:dyDescent="0.25">
      <c r="A22" s="233"/>
      <c r="B22" s="508">
        <f>B21-C22</f>
        <v>0</v>
      </c>
      <c r="C22" s="20"/>
      <c r="D22" s="488"/>
      <c r="E22" s="742"/>
      <c r="F22" s="488">
        <f t="shared" si="0"/>
        <v>0</v>
      </c>
      <c r="G22" s="806"/>
      <c r="H22" s="807"/>
      <c r="I22" s="147">
        <f t="shared" si="2"/>
        <v>0</v>
      </c>
    </row>
    <row r="23" spans="1:9" x14ac:dyDescent="0.25">
      <c r="A23" s="232"/>
      <c r="B23" s="508">
        <f t="shared" ref="B23:B53" si="3">B22-C23</f>
        <v>0</v>
      </c>
      <c r="C23" s="20"/>
      <c r="D23" s="488"/>
      <c r="E23" s="742"/>
      <c r="F23" s="488">
        <f t="shared" si="0"/>
        <v>0</v>
      </c>
      <c r="G23" s="806"/>
      <c r="H23" s="807"/>
      <c r="I23" s="147">
        <f t="shared" si="2"/>
        <v>0</v>
      </c>
    </row>
    <row r="24" spans="1:9" x14ac:dyDescent="0.25">
      <c r="A24" s="232"/>
      <c r="B24" s="508">
        <f t="shared" si="3"/>
        <v>0</v>
      </c>
      <c r="C24" s="20"/>
      <c r="D24" s="488"/>
      <c r="E24" s="742"/>
      <c r="F24" s="488">
        <f t="shared" si="0"/>
        <v>0</v>
      </c>
      <c r="G24" s="806"/>
      <c r="H24" s="807"/>
      <c r="I24" s="147">
        <f t="shared" si="2"/>
        <v>0</v>
      </c>
    </row>
    <row r="25" spans="1:9" x14ac:dyDescent="0.25">
      <c r="A25" s="232"/>
      <c r="B25" s="508">
        <f t="shared" si="3"/>
        <v>0</v>
      </c>
      <c r="C25" s="20"/>
      <c r="D25" s="488"/>
      <c r="E25" s="742"/>
      <c r="F25" s="488">
        <f t="shared" si="0"/>
        <v>0</v>
      </c>
      <c r="G25" s="806"/>
      <c r="H25" s="807"/>
      <c r="I25" s="147">
        <f t="shared" si="2"/>
        <v>0</v>
      </c>
    </row>
    <row r="26" spans="1:9" x14ac:dyDescent="0.25">
      <c r="A26" s="232"/>
      <c r="B26" s="508">
        <f t="shared" si="3"/>
        <v>0</v>
      </c>
      <c r="C26" s="20"/>
      <c r="D26" s="488"/>
      <c r="E26" s="742"/>
      <c r="F26" s="488">
        <f t="shared" si="0"/>
        <v>0</v>
      </c>
      <c r="G26" s="743"/>
      <c r="H26" s="489"/>
      <c r="I26" s="147">
        <f t="shared" si="2"/>
        <v>0</v>
      </c>
    </row>
    <row r="27" spans="1:9" x14ac:dyDescent="0.25">
      <c r="A27" s="232"/>
      <c r="B27" s="508">
        <f t="shared" si="3"/>
        <v>0</v>
      </c>
      <c r="C27" s="20"/>
      <c r="D27" s="488"/>
      <c r="E27" s="742"/>
      <c r="F27" s="488">
        <f t="shared" si="0"/>
        <v>0</v>
      </c>
      <c r="G27" s="743"/>
      <c r="H27" s="489"/>
      <c r="I27" s="147">
        <f t="shared" si="2"/>
        <v>0</v>
      </c>
    </row>
    <row r="28" spans="1:9" x14ac:dyDescent="0.25">
      <c r="A28" s="232"/>
      <c r="B28" s="508">
        <f t="shared" si="3"/>
        <v>0</v>
      </c>
      <c r="C28" s="20"/>
      <c r="D28" s="488"/>
      <c r="E28" s="742"/>
      <c r="F28" s="488">
        <f t="shared" si="0"/>
        <v>0</v>
      </c>
      <c r="G28" s="743"/>
      <c r="H28" s="489"/>
      <c r="I28" s="147">
        <f t="shared" si="2"/>
        <v>0</v>
      </c>
    </row>
    <row r="29" spans="1:9" x14ac:dyDescent="0.25">
      <c r="A29" s="232"/>
      <c r="B29" s="508">
        <f t="shared" si="3"/>
        <v>0</v>
      </c>
      <c r="C29" s="20"/>
      <c r="D29" s="488"/>
      <c r="E29" s="742"/>
      <c r="F29" s="488">
        <f t="shared" si="0"/>
        <v>0</v>
      </c>
      <c r="G29" s="743"/>
      <c r="H29" s="489"/>
      <c r="I29" s="147">
        <f t="shared" si="2"/>
        <v>0</v>
      </c>
    </row>
    <row r="30" spans="1:9" x14ac:dyDescent="0.25">
      <c r="A30" s="232"/>
      <c r="B30" s="508">
        <f t="shared" si="3"/>
        <v>0</v>
      </c>
      <c r="C30" s="20"/>
      <c r="D30" s="488"/>
      <c r="E30" s="742"/>
      <c r="F30" s="488">
        <f t="shared" si="0"/>
        <v>0</v>
      </c>
      <c r="G30" s="743"/>
      <c r="H30" s="111"/>
      <c r="I30" s="147">
        <f t="shared" si="2"/>
        <v>0</v>
      </c>
    </row>
    <row r="31" spans="1:9" x14ac:dyDescent="0.25">
      <c r="A31" s="232"/>
      <c r="B31" s="508">
        <f t="shared" si="3"/>
        <v>0</v>
      </c>
      <c r="C31" s="20"/>
      <c r="D31" s="488"/>
      <c r="E31" s="742"/>
      <c r="F31" s="488">
        <f t="shared" si="0"/>
        <v>0</v>
      </c>
      <c r="G31" s="743"/>
      <c r="H31" s="111"/>
      <c r="I31" s="147">
        <f t="shared" si="2"/>
        <v>0</v>
      </c>
    </row>
    <row r="32" spans="1:9" x14ac:dyDescent="0.25">
      <c r="A32" s="232"/>
      <c r="B32" s="508">
        <f t="shared" si="3"/>
        <v>0</v>
      </c>
      <c r="C32" s="20"/>
      <c r="D32" s="109"/>
      <c r="E32" s="569"/>
      <c r="F32" s="109">
        <f t="shared" si="0"/>
        <v>0</v>
      </c>
      <c r="G32" s="110"/>
      <c r="H32" s="111"/>
      <c r="I32" s="147">
        <f t="shared" si="2"/>
        <v>0</v>
      </c>
    </row>
    <row r="33" spans="1:9" x14ac:dyDescent="0.25">
      <c r="A33" s="232"/>
      <c r="B33" s="508">
        <f t="shared" si="3"/>
        <v>0</v>
      </c>
      <c r="C33" s="20"/>
      <c r="D33" s="109"/>
      <c r="E33" s="569"/>
      <c r="F33" s="109">
        <f t="shared" si="0"/>
        <v>0</v>
      </c>
      <c r="G33" s="110"/>
      <c r="H33" s="111"/>
      <c r="I33" s="147">
        <f t="shared" si="2"/>
        <v>0</v>
      </c>
    </row>
    <row r="34" spans="1:9" x14ac:dyDescent="0.25">
      <c r="A34" s="232"/>
      <c r="B34" s="508">
        <f t="shared" si="3"/>
        <v>0</v>
      </c>
      <c r="C34" s="20"/>
      <c r="D34" s="109"/>
      <c r="E34" s="569"/>
      <c r="F34" s="109">
        <f t="shared" si="0"/>
        <v>0</v>
      </c>
      <c r="G34" s="110"/>
      <c r="H34" s="111"/>
      <c r="I34" s="147">
        <f t="shared" si="2"/>
        <v>0</v>
      </c>
    </row>
    <row r="35" spans="1:9" x14ac:dyDescent="0.25">
      <c r="A35" s="232" t="s">
        <v>22</v>
      </c>
      <c r="B35" s="508">
        <f t="shared" si="3"/>
        <v>0</v>
      </c>
      <c r="C35" s="20"/>
      <c r="D35" s="109"/>
      <c r="E35" s="569"/>
      <c r="F35" s="109">
        <f t="shared" si="0"/>
        <v>0</v>
      </c>
      <c r="G35" s="110"/>
      <c r="H35" s="111"/>
      <c r="I35" s="147">
        <f t="shared" si="2"/>
        <v>0</v>
      </c>
    </row>
    <row r="36" spans="1:9" x14ac:dyDescent="0.25">
      <c r="A36" s="233"/>
      <c r="B36" s="508">
        <f t="shared" si="3"/>
        <v>0</v>
      </c>
      <c r="C36" s="20"/>
      <c r="D36" s="109"/>
      <c r="E36" s="569"/>
      <c r="F36" s="109">
        <f t="shared" si="0"/>
        <v>0</v>
      </c>
      <c r="G36" s="110"/>
      <c r="H36" s="111"/>
      <c r="I36" s="147">
        <f t="shared" si="2"/>
        <v>0</v>
      </c>
    </row>
    <row r="37" spans="1:9" x14ac:dyDescent="0.25">
      <c r="A37" s="232"/>
      <c r="B37" s="508">
        <f t="shared" si="3"/>
        <v>0</v>
      </c>
      <c r="C37" s="20"/>
      <c r="D37" s="109"/>
      <c r="E37" s="569"/>
      <c r="F37" s="109">
        <f t="shared" si="0"/>
        <v>0</v>
      </c>
      <c r="G37" s="110"/>
      <c r="H37" s="111"/>
      <c r="I37" s="147">
        <f t="shared" si="2"/>
        <v>0</v>
      </c>
    </row>
    <row r="38" spans="1:9" x14ac:dyDescent="0.25">
      <c r="A38" s="232"/>
      <c r="B38" s="508">
        <f t="shared" si="3"/>
        <v>0</v>
      </c>
      <c r="C38" s="20"/>
      <c r="D38" s="109"/>
      <c r="E38" s="569"/>
      <c r="F38" s="109">
        <f t="shared" si="0"/>
        <v>0</v>
      </c>
      <c r="G38" s="110"/>
      <c r="H38" s="111"/>
      <c r="I38" s="147">
        <f t="shared" si="2"/>
        <v>0</v>
      </c>
    </row>
    <row r="39" spans="1:9" x14ac:dyDescent="0.25">
      <c r="A39" s="232"/>
      <c r="B39" s="508">
        <f t="shared" si="3"/>
        <v>0</v>
      </c>
      <c r="C39" s="20"/>
      <c r="D39" s="109"/>
      <c r="E39" s="569"/>
      <c r="F39" s="109">
        <f t="shared" si="0"/>
        <v>0</v>
      </c>
      <c r="G39" s="110"/>
      <c r="H39" s="111"/>
      <c r="I39" s="147">
        <f t="shared" si="2"/>
        <v>0</v>
      </c>
    </row>
    <row r="40" spans="1:9" x14ac:dyDescent="0.25">
      <c r="A40" s="232"/>
      <c r="B40" s="508">
        <f t="shared" si="3"/>
        <v>0</v>
      </c>
      <c r="C40" s="20"/>
      <c r="D40" s="109"/>
      <c r="E40" s="569"/>
      <c r="F40" s="109">
        <f t="shared" si="0"/>
        <v>0</v>
      </c>
      <c r="G40" s="110"/>
      <c r="H40" s="111"/>
      <c r="I40" s="147">
        <f t="shared" si="2"/>
        <v>0</v>
      </c>
    </row>
    <row r="41" spans="1:9" x14ac:dyDescent="0.25">
      <c r="A41" s="232"/>
      <c r="B41" s="508">
        <f t="shared" si="3"/>
        <v>0</v>
      </c>
      <c r="C41" s="20"/>
      <c r="D41" s="109"/>
      <c r="E41" s="569"/>
      <c r="F41" s="109">
        <f t="shared" si="0"/>
        <v>0</v>
      </c>
      <c r="G41" s="110"/>
      <c r="H41" s="111"/>
      <c r="I41" s="147">
        <f t="shared" si="2"/>
        <v>0</v>
      </c>
    </row>
    <row r="42" spans="1:9" x14ac:dyDescent="0.25">
      <c r="A42" s="232"/>
      <c r="B42" s="508">
        <f t="shared" si="3"/>
        <v>0</v>
      </c>
      <c r="C42" s="20"/>
      <c r="D42" s="109"/>
      <c r="E42" s="569"/>
      <c r="F42" s="109">
        <f t="shared" si="0"/>
        <v>0</v>
      </c>
      <c r="G42" s="110"/>
      <c r="H42" s="111"/>
      <c r="I42" s="147">
        <f t="shared" si="2"/>
        <v>0</v>
      </c>
    </row>
    <row r="43" spans="1:9" x14ac:dyDescent="0.25">
      <c r="A43" s="232"/>
      <c r="B43" s="508">
        <f t="shared" si="3"/>
        <v>0</v>
      </c>
      <c r="C43" s="20"/>
      <c r="D43" s="109"/>
      <c r="E43" s="569"/>
      <c r="F43" s="109">
        <f t="shared" si="0"/>
        <v>0</v>
      </c>
      <c r="G43" s="110"/>
      <c r="H43" s="111"/>
      <c r="I43" s="147">
        <f t="shared" si="2"/>
        <v>0</v>
      </c>
    </row>
    <row r="44" spans="1:9" x14ac:dyDescent="0.25">
      <c r="A44" s="232"/>
      <c r="B44" s="508">
        <f t="shared" si="3"/>
        <v>0</v>
      </c>
      <c r="C44" s="20"/>
      <c r="D44" s="109"/>
      <c r="E44" s="569"/>
      <c r="F44" s="109">
        <f t="shared" si="0"/>
        <v>0</v>
      </c>
      <c r="G44" s="110"/>
      <c r="H44" s="111"/>
      <c r="I44" s="147">
        <f t="shared" si="2"/>
        <v>0</v>
      </c>
    </row>
    <row r="45" spans="1:9" x14ac:dyDescent="0.25">
      <c r="A45" s="232"/>
      <c r="B45" s="508">
        <f t="shared" si="3"/>
        <v>0</v>
      </c>
      <c r="C45" s="20"/>
      <c r="D45" s="109"/>
      <c r="E45" s="569"/>
      <c r="F45" s="109">
        <f t="shared" si="0"/>
        <v>0</v>
      </c>
      <c r="G45" s="110"/>
      <c r="H45" s="111"/>
      <c r="I45" s="147">
        <f t="shared" si="2"/>
        <v>0</v>
      </c>
    </row>
    <row r="46" spans="1:9" x14ac:dyDescent="0.25">
      <c r="A46" s="232"/>
      <c r="B46" s="508">
        <f t="shared" si="3"/>
        <v>0</v>
      </c>
      <c r="C46" s="20"/>
      <c r="D46" s="109"/>
      <c r="E46" s="569"/>
      <c r="F46" s="109">
        <f t="shared" si="0"/>
        <v>0</v>
      </c>
      <c r="G46" s="110"/>
      <c r="H46" s="111"/>
      <c r="I46" s="147">
        <f t="shared" si="2"/>
        <v>0</v>
      </c>
    </row>
    <row r="47" spans="1:9" x14ac:dyDescent="0.25">
      <c r="A47" s="232"/>
      <c r="B47" s="508">
        <f t="shared" si="3"/>
        <v>0</v>
      </c>
      <c r="C47" s="20"/>
      <c r="D47" s="109"/>
      <c r="E47" s="569"/>
      <c r="F47" s="109">
        <f t="shared" si="0"/>
        <v>0</v>
      </c>
      <c r="G47" s="110"/>
      <c r="H47" s="111"/>
      <c r="I47" s="147">
        <f t="shared" si="2"/>
        <v>0</v>
      </c>
    </row>
    <row r="48" spans="1:9" x14ac:dyDescent="0.25">
      <c r="A48" s="232"/>
      <c r="B48" s="508">
        <f t="shared" si="3"/>
        <v>0</v>
      </c>
      <c r="C48" s="20"/>
      <c r="D48" s="109"/>
      <c r="E48" s="569"/>
      <c r="F48" s="109">
        <f t="shared" si="0"/>
        <v>0</v>
      </c>
      <c r="G48" s="110"/>
      <c r="H48" s="111"/>
      <c r="I48" s="147">
        <f t="shared" si="2"/>
        <v>0</v>
      </c>
    </row>
    <row r="49" spans="1:9" x14ac:dyDescent="0.25">
      <c r="A49" s="232"/>
      <c r="B49" s="508">
        <f t="shared" si="3"/>
        <v>0</v>
      </c>
      <c r="C49" s="20"/>
      <c r="D49" s="109"/>
      <c r="E49" s="569"/>
      <c r="F49" s="109">
        <f t="shared" si="0"/>
        <v>0</v>
      </c>
      <c r="G49" s="110"/>
      <c r="H49" s="111"/>
      <c r="I49" s="147">
        <f t="shared" si="2"/>
        <v>0</v>
      </c>
    </row>
    <row r="50" spans="1:9" x14ac:dyDescent="0.25">
      <c r="A50" s="232"/>
      <c r="B50" s="508">
        <f t="shared" si="3"/>
        <v>0</v>
      </c>
      <c r="C50" s="20"/>
      <c r="D50" s="109"/>
      <c r="E50" s="569"/>
      <c r="F50" s="109">
        <f t="shared" si="0"/>
        <v>0</v>
      </c>
      <c r="G50" s="110"/>
      <c r="H50" s="111"/>
      <c r="I50" s="147">
        <f t="shared" si="2"/>
        <v>0</v>
      </c>
    </row>
    <row r="51" spans="1:9" x14ac:dyDescent="0.25">
      <c r="A51" s="232"/>
      <c r="B51" s="508">
        <f t="shared" si="3"/>
        <v>0</v>
      </c>
      <c r="C51" s="20"/>
      <c r="D51" s="109"/>
      <c r="E51" s="569"/>
      <c r="F51" s="109">
        <f t="shared" si="0"/>
        <v>0</v>
      </c>
      <c r="G51" s="110"/>
      <c r="H51" s="111"/>
      <c r="I51" s="147">
        <f t="shared" si="2"/>
        <v>0</v>
      </c>
    </row>
    <row r="52" spans="1:9" x14ac:dyDescent="0.25">
      <c r="A52" s="232"/>
      <c r="B52" s="508">
        <f t="shared" si="3"/>
        <v>0</v>
      </c>
      <c r="C52" s="20"/>
      <c r="D52" s="109"/>
      <c r="E52" s="569"/>
      <c r="F52" s="109">
        <f t="shared" si="0"/>
        <v>0</v>
      </c>
      <c r="G52" s="110"/>
      <c r="H52" s="111"/>
      <c r="I52" s="147">
        <f t="shared" si="2"/>
        <v>0</v>
      </c>
    </row>
    <row r="53" spans="1:9" x14ac:dyDescent="0.25">
      <c r="A53" s="232"/>
      <c r="B53" s="508">
        <f t="shared" si="3"/>
        <v>0</v>
      </c>
      <c r="C53" s="20"/>
      <c r="D53" s="109"/>
      <c r="E53" s="569"/>
      <c r="F53" s="109">
        <f t="shared" si="0"/>
        <v>0</v>
      </c>
      <c r="G53" s="110"/>
      <c r="H53" s="111"/>
      <c r="I53" s="147">
        <f t="shared" si="2"/>
        <v>0</v>
      </c>
    </row>
    <row r="54" spans="1:9" x14ac:dyDescent="0.25">
      <c r="A54" s="232"/>
      <c r="B54" s="230"/>
      <c r="C54" s="20"/>
      <c r="D54" s="109"/>
      <c r="E54" s="569"/>
      <c r="F54" s="109">
        <f t="shared" si="0"/>
        <v>0</v>
      </c>
      <c r="G54" s="110"/>
      <c r="H54" s="111"/>
      <c r="I54" s="147">
        <f t="shared" si="2"/>
        <v>0</v>
      </c>
    </row>
    <row r="55" spans="1:9" x14ac:dyDescent="0.25">
      <c r="A55" s="232"/>
      <c r="B55" s="230"/>
      <c r="C55" s="20"/>
      <c r="D55" s="109"/>
      <c r="E55" s="569"/>
      <c r="F55" s="109">
        <f t="shared" si="0"/>
        <v>0</v>
      </c>
      <c r="G55" s="110"/>
      <c r="H55" s="111"/>
      <c r="I55" s="147">
        <f t="shared" si="2"/>
        <v>0</v>
      </c>
    </row>
    <row r="56" spans="1:9" x14ac:dyDescent="0.25">
      <c r="A56" s="232"/>
      <c r="B56" s="230"/>
      <c r="C56" s="20"/>
      <c r="D56" s="109"/>
      <c r="E56" s="569"/>
      <c r="F56" s="109">
        <f t="shared" si="0"/>
        <v>0</v>
      </c>
      <c r="G56" s="110"/>
      <c r="H56" s="111"/>
      <c r="I56" s="147">
        <f t="shared" si="2"/>
        <v>0</v>
      </c>
    </row>
    <row r="57" spans="1:9" x14ac:dyDescent="0.25">
      <c r="A57" s="232"/>
      <c r="B57" s="230"/>
      <c r="C57" s="20"/>
      <c r="D57" s="109"/>
      <c r="E57" s="569"/>
      <c r="F57" s="109">
        <f t="shared" si="0"/>
        <v>0</v>
      </c>
      <c r="G57" s="110"/>
      <c r="H57" s="111"/>
      <c r="I57" s="147">
        <f t="shared" si="2"/>
        <v>0</v>
      </c>
    </row>
    <row r="58" spans="1:9" x14ac:dyDescent="0.25">
      <c r="A58" s="232"/>
      <c r="B58" s="230"/>
      <c r="C58" s="20"/>
      <c r="D58" s="109"/>
      <c r="E58" s="569"/>
      <c r="F58" s="109">
        <f t="shared" si="0"/>
        <v>0</v>
      </c>
      <c r="G58" s="110"/>
      <c r="H58" s="111"/>
      <c r="I58" s="147">
        <f t="shared" si="2"/>
        <v>0</v>
      </c>
    </row>
    <row r="59" spans="1:9" x14ac:dyDescent="0.25">
      <c r="A59" s="232"/>
      <c r="B59" s="230"/>
      <c r="C59" s="20"/>
      <c r="D59" s="109"/>
      <c r="E59" s="569"/>
      <c r="F59" s="109">
        <f t="shared" si="0"/>
        <v>0</v>
      </c>
      <c r="G59" s="110"/>
      <c r="H59" s="111"/>
      <c r="I59" s="147">
        <f t="shared" si="2"/>
        <v>0</v>
      </c>
    </row>
    <row r="60" spans="1:9" x14ac:dyDescent="0.25">
      <c r="A60" s="232"/>
      <c r="B60" s="230"/>
      <c r="C60" s="20"/>
      <c r="D60" s="109"/>
      <c r="E60" s="569"/>
      <c r="F60" s="109">
        <f t="shared" si="0"/>
        <v>0</v>
      </c>
      <c r="G60" s="110"/>
      <c r="H60" s="111"/>
      <c r="I60" s="147">
        <f t="shared" si="2"/>
        <v>0</v>
      </c>
    </row>
    <row r="61" spans="1:9" x14ac:dyDescent="0.25">
      <c r="A61" s="232"/>
      <c r="B61" s="230"/>
      <c r="C61" s="20"/>
      <c r="D61" s="109"/>
      <c r="E61" s="569"/>
      <c r="F61" s="109">
        <f t="shared" si="0"/>
        <v>0</v>
      </c>
      <c r="G61" s="110"/>
      <c r="H61" s="111"/>
      <c r="I61" s="147">
        <f t="shared" si="2"/>
        <v>0</v>
      </c>
    </row>
    <row r="62" spans="1:9" x14ac:dyDescent="0.25">
      <c r="A62" s="232"/>
      <c r="B62" s="230"/>
      <c r="C62" s="20"/>
      <c r="D62" s="109"/>
      <c r="E62" s="569"/>
      <c r="F62" s="109">
        <f t="shared" si="0"/>
        <v>0</v>
      </c>
      <c r="G62" s="110"/>
      <c r="H62" s="111"/>
      <c r="I62" s="147">
        <f t="shared" si="2"/>
        <v>0</v>
      </c>
    </row>
    <row r="63" spans="1:9" x14ac:dyDescent="0.25">
      <c r="A63" s="232"/>
      <c r="B63" s="7"/>
      <c r="C63" s="20"/>
      <c r="D63" s="109"/>
      <c r="E63" s="569"/>
      <c r="F63" s="109">
        <f t="shared" si="0"/>
        <v>0</v>
      </c>
      <c r="G63" s="110"/>
      <c r="H63" s="111"/>
      <c r="I63" s="147">
        <f t="shared" si="2"/>
        <v>0</v>
      </c>
    </row>
    <row r="64" spans="1:9" x14ac:dyDescent="0.25">
      <c r="A64" s="232"/>
      <c r="B64" s="7"/>
      <c r="C64" s="20"/>
      <c r="D64" s="109"/>
      <c r="E64" s="569"/>
      <c r="F64" s="109">
        <f t="shared" si="0"/>
        <v>0</v>
      </c>
      <c r="G64" s="110"/>
      <c r="H64" s="111"/>
      <c r="I64" s="147">
        <f t="shared" si="2"/>
        <v>0</v>
      </c>
    </row>
    <row r="65" spans="1:9" x14ac:dyDescent="0.25">
      <c r="A65" s="232"/>
      <c r="B65" s="7"/>
      <c r="C65" s="20"/>
      <c r="D65" s="109"/>
      <c r="E65" s="569"/>
      <c r="F65" s="109">
        <f t="shared" si="0"/>
        <v>0</v>
      </c>
      <c r="G65" s="110"/>
      <c r="H65" s="111"/>
      <c r="I65" s="147">
        <f t="shared" si="2"/>
        <v>0</v>
      </c>
    </row>
    <row r="66" spans="1:9" x14ac:dyDescent="0.25">
      <c r="A66" s="232"/>
      <c r="B66" s="7"/>
      <c r="C66" s="20"/>
      <c r="D66" s="109"/>
      <c r="E66" s="569"/>
      <c r="F66" s="109">
        <f t="shared" si="0"/>
        <v>0</v>
      </c>
      <c r="G66" s="110"/>
      <c r="H66" s="111"/>
      <c r="I66" s="147">
        <f t="shared" si="2"/>
        <v>0</v>
      </c>
    </row>
    <row r="67" spans="1:9" x14ac:dyDescent="0.25">
      <c r="A67" s="232"/>
      <c r="B67" s="7"/>
      <c r="C67" s="20"/>
      <c r="D67" s="109"/>
      <c r="E67" s="569"/>
      <c r="F67" s="109">
        <f t="shared" si="0"/>
        <v>0</v>
      </c>
      <c r="G67" s="110"/>
      <c r="H67" s="111"/>
      <c r="I67" s="147">
        <f t="shared" si="2"/>
        <v>0</v>
      </c>
    </row>
    <row r="68" spans="1:9" x14ac:dyDescent="0.25">
      <c r="A68" s="232"/>
      <c r="B68" s="7"/>
      <c r="C68" s="20"/>
      <c r="D68" s="109"/>
      <c r="E68" s="569"/>
      <c r="F68" s="109">
        <f t="shared" si="0"/>
        <v>0</v>
      </c>
      <c r="G68" s="110"/>
      <c r="H68" s="111"/>
      <c r="I68" s="147">
        <f t="shared" si="2"/>
        <v>0</v>
      </c>
    </row>
    <row r="69" spans="1:9" x14ac:dyDescent="0.25">
      <c r="A69" s="232"/>
      <c r="B69" s="7"/>
      <c r="C69" s="20"/>
      <c r="D69" s="109"/>
      <c r="E69" s="569"/>
      <c r="F69" s="109">
        <f t="shared" si="0"/>
        <v>0</v>
      </c>
      <c r="G69" s="110"/>
      <c r="H69" s="111"/>
      <c r="I69" s="147">
        <f t="shared" si="2"/>
        <v>0</v>
      </c>
    </row>
    <row r="70" spans="1:9" x14ac:dyDescent="0.25">
      <c r="A70" s="232"/>
      <c r="B70" s="7"/>
      <c r="C70" s="20"/>
      <c r="D70" s="109"/>
      <c r="E70" s="569"/>
      <c r="F70" s="109">
        <f t="shared" si="0"/>
        <v>0</v>
      </c>
      <c r="G70" s="110"/>
      <c r="H70" s="111"/>
      <c r="I70" s="147">
        <f t="shared" si="2"/>
        <v>0</v>
      </c>
    </row>
    <row r="71" spans="1:9" x14ac:dyDescent="0.25">
      <c r="A71" s="232"/>
      <c r="B71" s="7"/>
      <c r="C71" s="20"/>
      <c r="D71" s="109"/>
      <c r="E71" s="569"/>
      <c r="F71" s="109">
        <f t="shared" si="0"/>
        <v>0</v>
      </c>
      <c r="G71" s="110"/>
      <c r="H71" s="111"/>
      <c r="I71" s="147">
        <f t="shared" si="2"/>
        <v>0</v>
      </c>
    </row>
    <row r="72" spans="1:9" x14ac:dyDescent="0.25">
      <c r="A72" s="232"/>
      <c r="B72" s="7"/>
      <c r="C72" s="20"/>
      <c r="D72" s="109"/>
      <c r="E72" s="569"/>
      <c r="F72" s="109">
        <f t="shared" si="0"/>
        <v>0</v>
      </c>
      <c r="G72" s="110"/>
      <c r="H72" s="111"/>
      <c r="I72" s="147">
        <f t="shared" si="2"/>
        <v>0</v>
      </c>
    </row>
    <row r="73" spans="1:9" x14ac:dyDescent="0.25">
      <c r="A73" s="232"/>
      <c r="B73" s="7"/>
      <c r="C73" s="20"/>
      <c r="D73" s="109"/>
      <c r="E73" s="569"/>
      <c r="F73" s="109">
        <f>D73</f>
        <v>0</v>
      </c>
      <c r="G73" s="110"/>
      <c r="H73" s="111"/>
      <c r="I73" s="147">
        <f t="shared" si="2"/>
        <v>0</v>
      </c>
    </row>
    <row r="74" spans="1:9" x14ac:dyDescent="0.25">
      <c r="A74" s="232"/>
      <c r="B74" s="7"/>
      <c r="C74" s="20"/>
      <c r="D74" s="109"/>
      <c r="E74" s="569"/>
      <c r="F74" s="109">
        <f>D74</f>
        <v>0</v>
      </c>
      <c r="G74" s="110"/>
      <c r="H74" s="111"/>
      <c r="I74" s="147">
        <f t="shared" si="2"/>
        <v>0</v>
      </c>
    </row>
    <row r="75" spans="1:9" x14ac:dyDescent="0.25">
      <c r="A75" s="232"/>
      <c r="B75" s="7"/>
      <c r="C75" s="20"/>
      <c r="D75" s="109"/>
      <c r="E75" s="569"/>
      <c r="F75" s="109">
        <f>D75</f>
        <v>0</v>
      </c>
      <c r="G75" s="110"/>
      <c r="H75" s="111"/>
      <c r="I75" s="147">
        <f t="shared" ref="I75" si="4">I74-F75</f>
        <v>0</v>
      </c>
    </row>
    <row r="76" spans="1:9" ht="15.75" thickBot="1" x14ac:dyDescent="0.3">
      <c r="A76" s="232"/>
      <c r="B76" s="21"/>
      <c r="C76" s="77"/>
      <c r="D76" s="195"/>
      <c r="E76" s="539"/>
      <c r="F76" s="187"/>
      <c r="G76" s="188"/>
      <c r="H76" s="96"/>
    </row>
    <row r="77" spans="1:9" x14ac:dyDescent="0.25">
      <c r="C77" s="79">
        <f>SUM(C9:C76)</f>
        <v>84</v>
      </c>
      <c r="D77" s="9">
        <f>SUM(D9:D76)</f>
        <v>1631.63</v>
      </c>
      <c r="F77" s="9">
        <f>SUM(F9:F76)</f>
        <v>1631.63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0</v>
      </c>
    </row>
    <row r="81" spans="3:7" ht="15.75" thickBot="1" x14ac:dyDescent="0.3"/>
    <row r="82" spans="3:7" ht="15.75" thickBot="1" x14ac:dyDescent="0.3">
      <c r="C82" s="854" t="s">
        <v>11</v>
      </c>
      <c r="D82" s="855"/>
      <c r="E82" s="92">
        <f>E5+E6-F77+E7</f>
        <v>0</v>
      </c>
      <c r="F82" s="119"/>
      <c r="G82" s="16"/>
    </row>
  </sheetData>
  <mergeCells count="4">
    <mergeCell ref="A1:G1"/>
    <mergeCell ref="A5:A6"/>
    <mergeCell ref="C82:D82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4"/>
  <sheetViews>
    <sheetView workbookViewId="0">
      <pane ySplit="7" topLeftCell="A8" activePane="bottomLeft" state="frozen"/>
      <selection pane="bottomLeft" activeCell="C24" sqref="C24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8" width="10.85546875" style="59"/>
    <col min="9" max="9" width="10.85546875" style="129"/>
  </cols>
  <sheetData>
    <row r="1" spans="1:9" ht="40.5" customHeight="1" x14ac:dyDescent="0.55000000000000004">
      <c r="A1" s="847"/>
      <c r="B1" s="847"/>
      <c r="C1" s="847"/>
      <c r="D1" s="847"/>
      <c r="E1" s="847"/>
      <c r="F1" s="847"/>
      <c r="G1" s="847"/>
      <c r="H1" s="14">
        <v>1</v>
      </c>
      <c r="I1" s="126"/>
    </row>
    <row r="2" spans="1:9" ht="15.75" customHeight="1" thickBot="1" x14ac:dyDescent="0.3">
      <c r="A2"/>
      <c r="B2"/>
      <c r="C2"/>
      <c r="D2"/>
      <c r="E2"/>
      <c r="F2"/>
      <c r="G2"/>
      <c r="H2"/>
      <c r="I2" s="126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 s="126"/>
    </row>
    <row r="4" spans="1:9" ht="15.75" customHeight="1" thickTop="1" x14ac:dyDescent="0.25">
      <c r="A4" s="16"/>
      <c r="B4" s="16"/>
      <c r="C4" s="242">
        <v>3168.8</v>
      </c>
      <c r="D4" s="306"/>
      <c r="E4" s="161"/>
      <c r="F4" s="119"/>
      <c r="G4" s="52"/>
      <c r="H4" s="16"/>
      <c r="I4" s="126"/>
    </row>
    <row r="5" spans="1:9" ht="15" customHeight="1" x14ac:dyDescent="0.25">
      <c r="A5" s="366"/>
      <c r="B5" s="744"/>
      <c r="C5" s="320"/>
      <c r="D5" s="306"/>
      <c r="E5" s="246"/>
      <c r="F5" s="119"/>
      <c r="G5" s="163"/>
      <c r="H5" s="10">
        <f>E5-G5+E4+E6</f>
        <v>0</v>
      </c>
      <c r="I5" s="126"/>
    </row>
    <row r="6" spans="1:9" ht="15.75" customHeight="1" thickBot="1" x14ac:dyDescent="0.3">
      <c r="A6" s="16"/>
      <c r="B6" s="119"/>
      <c r="C6" s="320"/>
      <c r="D6" s="306"/>
      <c r="E6" s="246"/>
      <c r="F6" s="119"/>
      <c r="G6" s="16"/>
      <c r="H6"/>
      <c r="I6" s="126"/>
    </row>
    <row r="7" spans="1:9" ht="16.5" customHeight="1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 s="126"/>
    </row>
    <row r="8" spans="1:9" ht="15.75" customHeight="1" thickTop="1" x14ac:dyDescent="0.25">
      <c r="A8" s="89" t="s">
        <v>32</v>
      </c>
      <c r="B8" s="164">
        <v>13.61</v>
      </c>
      <c r="C8" s="20"/>
      <c r="D8" s="109">
        <f>C8*B8</f>
        <v>0</v>
      </c>
      <c r="E8" s="150"/>
      <c r="F8" s="192">
        <f t="shared" ref="F8:F39" si="0">D8</f>
        <v>0</v>
      </c>
      <c r="G8" s="110"/>
      <c r="H8" s="111"/>
      <c r="I8" s="727">
        <f>E5-F8</f>
        <v>0</v>
      </c>
    </row>
    <row r="9" spans="1:9" ht="15" customHeight="1" x14ac:dyDescent="0.25">
      <c r="A9" s="16"/>
      <c r="B9" s="164">
        <v>13.61</v>
      </c>
      <c r="C9" s="20"/>
      <c r="D9" s="109">
        <f>C9*B9</f>
        <v>0</v>
      </c>
      <c r="E9" s="150"/>
      <c r="F9" s="192">
        <f t="shared" ref="F9:F21" si="1">D9</f>
        <v>0</v>
      </c>
      <c r="G9" s="110"/>
      <c r="H9" s="111"/>
      <c r="I9" s="727">
        <f>I8-F9</f>
        <v>0</v>
      </c>
    </row>
    <row r="10" spans="1:9" ht="15" customHeight="1" x14ac:dyDescent="0.25">
      <c r="B10" s="164">
        <v>13.61</v>
      </c>
      <c r="C10" s="20"/>
      <c r="D10" s="109">
        <f t="shared" ref="D10:D39" si="2">C10*B10</f>
        <v>0</v>
      </c>
      <c r="E10" s="150"/>
      <c r="F10" s="192">
        <f t="shared" si="0"/>
        <v>0</v>
      </c>
      <c r="G10" s="110"/>
      <c r="H10" s="111"/>
      <c r="I10" s="727">
        <f t="shared" ref="I10:I38" si="3">I9-F10</f>
        <v>0</v>
      </c>
    </row>
    <row r="11" spans="1:9" ht="15" customHeight="1" x14ac:dyDescent="0.25">
      <c r="A11" s="141" t="s">
        <v>33</v>
      </c>
      <c r="B11" s="164">
        <v>13.61</v>
      </c>
      <c r="C11" s="20"/>
      <c r="D11" s="109">
        <f t="shared" si="2"/>
        <v>0</v>
      </c>
      <c r="E11" s="150"/>
      <c r="F11" s="192">
        <f t="shared" si="1"/>
        <v>0</v>
      </c>
      <c r="G11" s="110"/>
      <c r="H11" s="111"/>
      <c r="I11" s="727">
        <f t="shared" si="3"/>
        <v>0</v>
      </c>
    </row>
    <row r="12" spans="1:9" ht="15" customHeight="1" x14ac:dyDescent="0.25">
      <c r="B12" s="164">
        <v>13.61</v>
      </c>
      <c r="C12" s="20"/>
      <c r="D12" s="109">
        <f t="shared" si="2"/>
        <v>0</v>
      </c>
      <c r="E12" s="150"/>
      <c r="F12" s="192">
        <f t="shared" si="0"/>
        <v>0</v>
      </c>
      <c r="G12" s="110"/>
      <c r="H12" s="111"/>
      <c r="I12" s="727">
        <f t="shared" si="3"/>
        <v>0</v>
      </c>
    </row>
    <row r="13" spans="1:9" ht="15" customHeight="1" x14ac:dyDescent="0.25">
      <c r="A13" s="170"/>
      <c r="B13" s="164">
        <v>13.61</v>
      </c>
      <c r="C13" s="255"/>
      <c r="D13" s="109">
        <f t="shared" si="2"/>
        <v>0</v>
      </c>
      <c r="E13" s="150"/>
      <c r="F13" s="192">
        <f t="shared" si="1"/>
        <v>0</v>
      </c>
      <c r="G13" s="110"/>
      <c r="H13" s="111"/>
      <c r="I13" s="727">
        <f t="shared" si="3"/>
        <v>0</v>
      </c>
    </row>
    <row r="14" spans="1:9" ht="15" customHeight="1" x14ac:dyDescent="0.25">
      <c r="B14" s="164">
        <v>13.61</v>
      </c>
      <c r="C14" s="20"/>
      <c r="D14" s="109">
        <f t="shared" si="2"/>
        <v>0</v>
      </c>
      <c r="E14" s="150"/>
      <c r="F14" s="192">
        <f t="shared" si="0"/>
        <v>0</v>
      </c>
      <c r="G14" s="110"/>
      <c r="H14" s="111"/>
      <c r="I14" s="727">
        <f t="shared" si="3"/>
        <v>0</v>
      </c>
    </row>
    <row r="15" spans="1:9" ht="15" customHeight="1" x14ac:dyDescent="0.25">
      <c r="B15" s="164">
        <v>13.61</v>
      </c>
      <c r="C15" s="20"/>
      <c r="D15" s="109">
        <f t="shared" si="2"/>
        <v>0</v>
      </c>
      <c r="E15" s="150"/>
      <c r="F15" s="192">
        <f t="shared" si="1"/>
        <v>0</v>
      </c>
      <c r="G15" s="110"/>
      <c r="H15" s="111"/>
      <c r="I15" s="727">
        <f t="shared" si="3"/>
        <v>0</v>
      </c>
    </row>
    <row r="16" spans="1:9" ht="15" customHeight="1" x14ac:dyDescent="0.25">
      <c r="B16" s="164">
        <v>13.61</v>
      </c>
      <c r="C16" s="20"/>
      <c r="D16" s="109">
        <f t="shared" si="2"/>
        <v>0</v>
      </c>
      <c r="E16" s="150"/>
      <c r="F16" s="192">
        <f t="shared" si="0"/>
        <v>0</v>
      </c>
      <c r="G16" s="110"/>
      <c r="H16" s="111"/>
      <c r="I16" s="727">
        <f t="shared" si="3"/>
        <v>0</v>
      </c>
    </row>
    <row r="17" spans="1:9" ht="15" customHeight="1" x14ac:dyDescent="0.25">
      <c r="B17" s="164">
        <v>13.61</v>
      </c>
      <c r="C17" s="20"/>
      <c r="D17" s="109">
        <f t="shared" si="2"/>
        <v>0</v>
      </c>
      <c r="E17" s="150"/>
      <c r="F17" s="192">
        <f t="shared" si="1"/>
        <v>0</v>
      </c>
      <c r="G17" s="110"/>
      <c r="H17" s="111"/>
      <c r="I17" s="728">
        <f t="shared" si="3"/>
        <v>0</v>
      </c>
    </row>
    <row r="18" spans="1:9" ht="15" customHeight="1" x14ac:dyDescent="0.25">
      <c r="B18" s="164">
        <v>13.61</v>
      </c>
      <c r="C18" s="20"/>
      <c r="D18" s="109">
        <f t="shared" si="2"/>
        <v>0</v>
      </c>
      <c r="E18" s="150"/>
      <c r="F18" s="192">
        <f t="shared" si="0"/>
        <v>0</v>
      </c>
      <c r="G18" s="110"/>
      <c r="H18" s="111"/>
      <c r="I18" s="728">
        <f t="shared" si="3"/>
        <v>0</v>
      </c>
    </row>
    <row r="19" spans="1:9" ht="15" customHeight="1" x14ac:dyDescent="0.25">
      <c r="B19" s="164">
        <v>13.61</v>
      </c>
      <c r="C19" s="20"/>
      <c r="D19" s="109">
        <f t="shared" si="2"/>
        <v>0</v>
      </c>
      <c r="E19" s="150"/>
      <c r="F19" s="192">
        <f t="shared" si="1"/>
        <v>0</v>
      </c>
      <c r="G19" s="110"/>
      <c r="H19" s="111"/>
      <c r="I19" s="728">
        <f t="shared" si="3"/>
        <v>0</v>
      </c>
    </row>
    <row r="20" spans="1:9" ht="15" customHeight="1" x14ac:dyDescent="0.25">
      <c r="B20" s="164">
        <v>13.61</v>
      </c>
      <c r="C20" s="20"/>
      <c r="D20" s="109">
        <f t="shared" si="2"/>
        <v>0</v>
      </c>
      <c r="E20" s="150"/>
      <c r="F20" s="192">
        <f t="shared" si="0"/>
        <v>0</v>
      </c>
      <c r="G20" s="110"/>
      <c r="H20" s="111"/>
      <c r="I20" s="728">
        <f t="shared" si="3"/>
        <v>0</v>
      </c>
    </row>
    <row r="21" spans="1:9" ht="15" customHeight="1" x14ac:dyDescent="0.25">
      <c r="B21" s="164">
        <v>13.61</v>
      </c>
      <c r="C21" s="20"/>
      <c r="D21" s="109">
        <f t="shared" si="2"/>
        <v>0</v>
      </c>
      <c r="E21" s="150"/>
      <c r="F21" s="192">
        <f t="shared" si="1"/>
        <v>0</v>
      </c>
      <c r="G21" s="110"/>
      <c r="H21" s="111"/>
      <c r="I21" s="728">
        <f t="shared" si="3"/>
        <v>0</v>
      </c>
    </row>
    <row r="22" spans="1:9" ht="15" customHeight="1" x14ac:dyDescent="0.25">
      <c r="B22" s="164">
        <v>13.61</v>
      </c>
      <c r="C22" s="20"/>
      <c r="D22" s="109">
        <f t="shared" si="2"/>
        <v>0</v>
      </c>
      <c r="E22" s="150"/>
      <c r="F22" s="192">
        <f t="shared" si="0"/>
        <v>0</v>
      </c>
      <c r="G22" s="110"/>
      <c r="H22" s="111"/>
      <c r="I22" s="727">
        <f t="shared" si="3"/>
        <v>0</v>
      </c>
    </row>
    <row r="23" spans="1:9" ht="15" customHeight="1" x14ac:dyDescent="0.25">
      <c r="B23" s="164">
        <v>13.61</v>
      </c>
      <c r="C23" s="20"/>
      <c r="D23" s="109">
        <f t="shared" si="2"/>
        <v>0</v>
      </c>
      <c r="E23" s="150"/>
      <c r="F23" s="192">
        <f t="shared" si="0"/>
        <v>0</v>
      </c>
      <c r="G23" s="110"/>
      <c r="H23" s="111"/>
      <c r="I23" s="727">
        <f t="shared" si="3"/>
        <v>0</v>
      </c>
    </row>
    <row r="24" spans="1:9" ht="15" customHeight="1" x14ac:dyDescent="0.25">
      <c r="B24" s="164">
        <v>13.61</v>
      </c>
      <c r="C24" s="20"/>
      <c r="D24" s="109">
        <f t="shared" si="2"/>
        <v>0</v>
      </c>
      <c r="E24" s="150"/>
      <c r="F24" s="192">
        <f t="shared" si="0"/>
        <v>0</v>
      </c>
      <c r="G24" s="110"/>
      <c r="H24" s="111"/>
      <c r="I24" s="727">
        <f t="shared" si="3"/>
        <v>0</v>
      </c>
    </row>
    <row r="25" spans="1:9" ht="15" customHeight="1" x14ac:dyDescent="0.25">
      <c r="B25" s="164">
        <v>13.61</v>
      </c>
      <c r="C25" s="20"/>
      <c r="D25" s="109">
        <f t="shared" si="2"/>
        <v>0</v>
      </c>
      <c r="E25" s="150"/>
      <c r="F25" s="192">
        <f t="shared" si="0"/>
        <v>0</v>
      </c>
      <c r="G25" s="110"/>
      <c r="H25" s="111"/>
      <c r="I25" s="727">
        <f t="shared" si="3"/>
        <v>0</v>
      </c>
    </row>
    <row r="26" spans="1:9" ht="15" customHeight="1" x14ac:dyDescent="0.25">
      <c r="B26" s="164">
        <v>13.61</v>
      </c>
      <c r="C26" s="20"/>
      <c r="D26" s="109">
        <f t="shared" si="2"/>
        <v>0</v>
      </c>
      <c r="E26" s="150"/>
      <c r="F26" s="192">
        <f t="shared" si="0"/>
        <v>0</v>
      </c>
      <c r="G26" s="110"/>
      <c r="H26" s="111"/>
      <c r="I26" s="727">
        <f t="shared" si="3"/>
        <v>0</v>
      </c>
    </row>
    <row r="27" spans="1:9" ht="15" customHeight="1" x14ac:dyDescent="0.25">
      <c r="B27" s="164">
        <v>13.61</v>
      </c>
      <c r="C27" s="20"/>
      <c r="D27" s="109">
        <f t="shared" si="2"/>
        <v>0</v>
      </c>
      <c r="E27" s="150"/>
      <c r="F27" s="192">
        <f t="shared" si="0"/>
        <v>0</v>
      </c>
      <c r="G27" s="110"/>
      <c r="H27" s="111"/>
      <c r="I27" s="727">
        <f t="shared" si="3"/>
        <v>0</v>
      </c>
    </row>
    <row r="28" spans="1:9" ht="15" customHeight="1" x14ac:dyDescent="0.25">
      <c r="B28" s="164">
        <v>13.61</v>
      </c>
      <c r="C28" s="20"/>
      <c r="D28" s="109">
        <f t="shared" si="2"/>
        <v>0</v>
      </c>
      <c r="E28" s="150"/>
      <c r="F28" s="192">
        <f t="shared" si="0"/>
        <v>0</v>
      </c>
      <c r="G28" s="110"/>
      <c r="H28" s="111"/>
      <c r="I28" s="727">
        <f t="shared" si="3"/>
        <v>0</v>
      </c>
    </row>
    <row r="29" spans="1:9" ht="15" customHeight="1" x14ac:dyDescent="0.25">
      <c r="A29" s="173"/>
      <c r="B29" s="164">
        <v>13.61</v>
      </c>
      <c r="C29" s="20"/>
      <c r="D29" s="109">
        <f t="shared" si="2"/>
        <v>0</v>
      </c>
      <c r="E29" s="150"/>
      <c r="F29" s="192">
        <f t="shared" si="0"/>
        <v>0</v>
      </c>
      <c r="G29" s="110"/>
      <c r="H29" s="111"/>
      <c r="I29" s="727">
        <f t="shared" si="3"/>
        <v>0</v>
      </c>
    </row>
    <row r="30" spans="1:9" ht="15" customHeight="1" x14ac:dyDescent="0.25">
      <c r="A30" s="173"/>
      <c r="B30" s="164">
        <v>13.61</v>
      </c>
      <c r="C30" s="20"/>
      <c r="D30" s="109">
        <f t="shared" si="2"/>
        <v>0</v>
      </c>
      <c r="E30" s="150"/>
      <c r="F30" s="192">
        <f t="shared" si="0"/>
        <v>0</v>
      </c>
      <c r="G30" s="110"/>
      <c r="H30" s="111"/>
      <c r="I30" s="727">
        <f t="shared" si="3"/>
        <v>0</v>
      </c>
    </row>
    <row r="31" spans="1:9" ht="15" customHeight="1" x14ac:dyDescent="0.25">
      <c r="A31" s="173"/>
      <c r="B31" s="164">
        <v>13.61</v>
      </c>
      <c r="C31" s="20"/>
      <c r="D31" s="109">
        <f t="shared" si="2"/>
        <v>0</v>
      </c>
      <c r="E31" s="150"/>
      <c r="F31" s="192">
        <f t="shared" si="0"/>
        <v>0</v>
      </c>
      <c r="G31" s="110"/>
      <c r="H31" s="111"/>
      <c r="I31" s="727">
        <f t="shared" si="3"/>
        <v>0</v>
      </c>
    </row>
    <row r="32" spans="1:9" ht="15" customHeight="1" x14ac:dyDescent="0.25">
      <c r="A32" s="173"/>
      <c r="B32" s="164">
        <v>13.61</v>
      </c>
      <c r="C32" s="20"/>
      <c r="D32" s="109">
        <f t="shared" si="2"/>
        <v>0</v>
      </c>
      <c r="E32" s="150"/>
      <c r="F32" s="192">
        <f t="shared" si="0"/>
        <v>0</v>
      </c>
      <c r="G32" s="110"/>
      <c r="H32" s="111"/>
      <c r="I32" s="727">
        <f t="shared" si="3"/>
        <v>0</v>
      </c>
    </row>
    <row r="33" spans="1:9" ht="15" customHeight="1" x14ac:dyDescent="0.25">
      <c r="A33" s="173"/>
      <c r="B33" s="164">
        <v>13.61</v>
      </c>
      <c r="C33" s="20"/>
      <c r="D33" s="109">
        <f t="shared" si="2"/>
        <v>0</v>
      </c>
      <c r="E33" s="150"/>
      <c r="F33" s="192">
        <f t="shared" si="0"/>
        <v>0</v>
      </c>
      <c r="G33" s="110"/>
      <c r="H33" s="111"/>
      <c r="I33" s="727">
        <f t="shared" si="3"/>
        <v>0</v>
      </c>
    </row>
    <row r="34" spans="1:9" ht="15" customHeight="1" x14ac:dyDescent="0.25">
      <c r="A34" s="173"/>
      <c r="B34" s="164">
        <v>13.61</v>
      </c>
      <c r="C34" s="20"/>
      <c r="D34" s="109">
        <f t="shared" si="2"/>
        <v>0</v>
      </c>
      <c r="E34" s="150"/>
      <c r="F34" s="192">
        <f t="shared" si="0"/>
        <v>0</v>
      </c>
      <c r="G34" s="110"/>
      <c r="H34" s="111"/>
      <c r="I34" s="727">
        <f t="shared" si="3"/>
        <v>0</v>
      </c>
    </row>
    <row r="35" spans="1:9" ht="15" customHeight="1" x14ac:dyDescent="0.25">
      <c r="A35" s="173"/>
      <c r="B35" s="164">
        <v>13.61</v>
      </c>
      <c r="C35" s="20"/>
      <c r="D35" s="109">
        <f t="shared" si="2"/>
        <v>0</v>
      </c>
      <c r="E35" s="150"/>
      <c r="F35" s="192">
        <f t="shared" si="0"/>
        <v>0</v>
      </c>
      <c r="G35" s="110"/>
      <c r="H35" s="111"/>
      <c r="I35" s="727">
        <f t="shared" si="3"/>
        <v>0</v>
      </c>
    </row>
    <row r="36" spans="1:9" ht="15.75" x14ac:dyDescent="0.25">
      <c r="A36" s="173"/>
      <c r="B36" s="164">
        <v>13.61</v>
      </c>
      <c r="C36" s="20"/>
      <c r="D36" s="109">
        <f t="shared" si="2"/>
        <v>0</v>
      </c>
      <c r="E36" s="150"/>
      <c r="F36" s="192">
        <f t="shared" si="0"/>
        <v>0</v>
      </c>
      <c r="G36" s="110"/>
      <c r="H36" s="111"/>
      <c r="I36" s="727">
        <f t="shared" si="3"/>
        <v>0</v>
      </c>
    </row>
    <row r="37" spans="1:9" ht="15.75" x14ac:dyDescent="0.25">
      <c r="A37" s="173"/>
      <c r="B37" s="164">
        <v>13.61</v>
      </c>
      <c r="C37" s="20"/>
      <c r="D37" s="109">
        <f t="shared" si="2"/>
        <v>0</v>
      </c>
      <c r="E37" s="150"/>
      <c r="F37" s="192">
        <f t="shared" si="0"/>
        <v>0</v>
      </c>
      <c r="G37" s="110"/>
      <c r="H37" s="111"/>
      <c r="I37" s="727">
        <f t="shared" si="3"/>
        <v>0</v>
      </c>
    </row>
    <row r="38" spans="1:9" ht="15.75" x14ac:dyDescent="0.25">
      <c r="A38" s="173"/>
      <c r="B38" s="164">
        <v>13.61</v>
      </c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  <c r="I38" s="727">
        <f t="shared" si="3"/>
        <v>0</v>
      </c>
    </row>
    <row r="39" spans="1:9" ht="15.75" thickBot="1" x14ac:dyDescent="0.3">
      <c r="A39" s="228"/>
      <c r="B39" s="164">
        <v>13.61</v>
      </c>
      <c r="C39" s="48"/>
      <c r="D39" s="109">
        <f t="shared" si="2"/>
        <v>0</v>
      </c>
      <c r="E39" s="574"/>
      <c r="F39" s="575">
        <f t="shared" si="0"/>
        <v>0</v>
      </c>
      <c r="G39" s="269"/>
      <c r="H39" s="576"/>
      <c r="I39" s="729"/>
    </row>
    <row r="40" spans="1:9" ht="15.75" thickTop="1" x14ac:dyDescent="0.25">
      <c r="A40" s="63">
        <f>SUM(A29:A39)</f>
        <v>0</v>
      </c>
      <c r="B40" s="16"/>
      <c r="C40" s="119">
        <f>SUM(C8:C39)</f>
        <v>0</v>
      </c>
      <c r="D40" s="192">
        <f>SUM(D8:D39)</f>
        <v>0</v>
      </c>
      <c r="E40" s="128"/>
      <c r="F40" s="192">
        <f>SUM(F8:F39)</f>
        <v>0</v>
      </c>
      <c r="G40" s="16"/>
      <c r="H40" s="16"/>
      <c r="I40" s="126"/>
    </row>
    <row r="41" spans="1:9" ht="15.75" thickBot="1" x14ac:dyDescent="0.3">
      <c r="A41" s="160"/>
      <c r="B41"/>
      <c r="C41"/>
      <c r="G41"/>
      <c r="H41"/>
      <c r="I41" s="126"/>
    </row>
    <row r="42" spans="1:9" x14ac:dyDescent="0.25">
      <c r="A42"/>
      <c r="B42" s="6"/>
      <c r="C42"/>
      <c r="D42" s="849" t="s">
        <v>21</v>
      </c>
      <c r="E42" s="850"/>
      <c r="F42" s="272">
        <f>E4+E5-F40+E6</f>
        <v>0</v>
      </c>
      <c r="G42"/>
      <c r="H42"/>
      <c r="I42" s="126"/>
    </row>
    <row r="43" spans="1:9" ht="15.75" thickBot="1" x14ac:dyDescent="0.3">
      <c r="A43" s="237"/>
      <c r="B43"/>
      <c r="C43"/>
      <c r="D43" s="615" t="s">
        <v>4</v>
      </c>
      <c r="E43" s="616"/>
      <c r="F43" s="66">
        <f>F4+F5-C40+F6</f>
        <v>0</v>
      </c>
      <c r="G43"/>
      <c r="H43"/>
      <c r="I43" s="126"/>
    </row>
    <row r="44" spans="1:9" x14ac:dyDescent="0.25">
      <c r="A44"/>
      <c r="B44" s="6"/>
      <c r="C44"/>
      <c r="D44"/>
      <c r="E44"/>
      <c r="F44"/>
      <c r="G44"/>
      <c r="H44"/>
      <c r="I44" s="126"/>
    </row>
  </sheetData>
  <mergeCells count="2">
    <mergeCell ref="A1:G1"/>
    <mergeCell ref="D42:E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4"/>
  <sheetViews>
    <sheetView topLeftCell="E1" workbookViewId="0">
      <selection activeCell="L9" sqref="L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47" t="s">
        <v>250</v>
      </c>
      <c r="B1" s="847"/>
      <c r="C1" s="847"/>
      <c r="D1" s="847"/>
      <c r="E1" s="847"/>
      <c r="F1" s="847"/>
      <c r="G1" s="847"/>
      <c r="H1" s="14">
        <v>1</v>
      </c>
      <c r="J1" s="847" t="s">
        <v>250</v>
      </c>
      <c r="K1" s="847"/>
      <c r="L1" s="847"/>
      <c r="M1" s="847"/>
      <c r="N1" s="847"/>
      <c r="O1" s="847"/>
      <c r="P1" s="847"/>
      <c r="Q1" s="14">
        <v>1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242">
        <v>252</v>
      </c>
      <c r="D4" s="306">
        <v>43447</v>
      </c>
      <c r="E4" s="161">
        <v>4.42</v>
      </c>
      <c r="F4" s="119">
        <v>1</v>
      </c>
      <c r="G4" s="52"/>
      <c r="H4" s="16"/>
      <c r="J4" s="16"/>
      <c r="K4" s="16"/>
      <c r="L4" s="242"/>
      <c r="M4" s="306"/>
      <c r="N4" s="161"/>
      <c r="O4" s="119"/>
      <c r="P4" s="52"/>
      <c r="Q4" s="16"/>
    </row>
    <row r="5" spans="1:17" ht="29.25" customHeight="1" x14ac:dyDescent="0.25">
      <c r="A5" s="716" t="s">
        <v>306</v>
      </c>
      <c r="B5" s="758" t="s">
        <v>307</v>
      </c>
      <c r="C5" s="320">
        <v>282</v>
      </c>
      <c r="D5" s="306">
        <v>43447</v>
      </c>
      <c r="E5" s="246">
        <v>5</v>
      </c>
      <c r="F5" s="119">
        <v>1</v>
      </c>
      <c r="G5" s="797">
        <f>D40</f>
        <v>9.42</v>
      </c>
      <c r="H5" s="10">
        <f>E5-G5+E4+E6</f>
        <v>0</v>
      </c>
      <c r="J5" s="757" t="s">
        <v>306</v>
      </c>
      <c r="K5" s="759" t="s">
        <v>308</v>
      </c>
      <c r="L5" s="320">
        <v>252</v>
      </c>
      <c r="M5" s="306">
        <v>43447</v>
      </c>
      <c r="N5" s="246">
        <v>4.42</v>
      </c>
      <c r="O5" s="119">
        <v>1</v>
      </c>
      <c r="P5" s="797">
        <f>M40</f>
        <v>4.42</v>
      </c>
      <c r="Q5" s="10">
        <f>N5-P5+N4+N6</f>
        <v>0</v>
      </c>
    </row>
    <row r="6" spans="1:17" ht="15.75" thickBot="1" x14ac:dyDescent="0.3">
      <c r="A6" s="16"/>
      <c r="B6" s="744"/>
      <c r="C6" s="320"/>
      <c r="D6" s="306"/>
      <c r="E6" s="246"/>
      <c r="F6" s="119"/>
      <c r="G6" s="792"/>
      <c r="H6"/>
      <c r="J6" s="16"/>
      <c r="K6" s="744"/>
      <c r="L6" s="320"/>
      <c r="M6" s="306"/>
      <c r="N6" s="246"/>
      <c r="O6" s="119"/>
      <c r="P6" s="792"/>
      <c r="Q6"/>
    </row>
    <row r="7" spans="1:17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2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89" t="s">
        <v>32</v>
      </c>
      <c r="B8" s="164"/>
      <c r="C8" s="20">
        <v>1</v>
      </c>
      <c r="D8" s="109">
        <v>5</v>
      </c>
      <c r="E8" s="150">
        <v>43455</v>
      </c>
      <c r="F8" s="192">
        <f>D8</f>
        <v>5</v>
      </c>
      <c r="G8" s="110" t="s">
        <v>607</v>
      </c>
      <c r="H8" s="111">
        <v>330</v>
      </c>
      <c r="J8" s="89" t="s">
        <v>32</v>
      </c>
      <c r="K8" s="164"/>
      <c r="L8" s="20">
        <v>1</v>
      </c>
      <c r="M8" s="109">
        <v>4.42</v>
      </c>
      <c r="N8" s="150">
        <v>43455</v>
      </c>
      <c r="O8" s="192">
        <f t="shared" ref="O8:O39" si="0">M8</f>
        <v>4.42</v>
      </c>
      <c r="P8" s="110" t="s">
        <v>607</v>
      </c>
      <c r="Q8" s="111">
        <v>300</v>
      </c>
    </row>
    <row r="9" spans="1:17" x14ac:dyDescent="0.25">
      <c r="A9" s="16"/>
      <c r="B9" s="164"/>
      <c r="C9" s="20">
        <v>1</v>
      </c>
      <c r="D9" s="109">
        <v>4.42</v>
      </c>
      <c r="E9" s="150">
        <v>43455</v>
      </c>
      <c r="F9" s="192">
        <f t="shared" ref="F9:F39" si="1">D9</f>
        <v>4.42</v>
      </c>
      <c r="G9" s="110" t="s">
        <v>607</v>
      </c>
      <c r="H9" s="111">
        <v>300</v>
      </c>
      <c r="J9" s="16"/>
      <c r="K9" s="164"/>
      <c r="L9" s="20"/>
      <c r="M9" s="109"/>
      <c r="N9" s="150"/>
      <c r="O9" s="192">
        <f t="shared" si="0"/>
        <v>0</v>
      </c>
      <c r="P9" s="110"/>
      <c r="Q9" s="111"/>
    </row>
    <row r="10" spans="1:17" x14ac:dyDescent="0.25">
      <c r="B10" s="164"/>
      <c r="C10" s="20"/>
      <c r="D10" s="109"/>
      <c r="E10" s="150"/>
      <c r="F10" s="192">
        <f t="shared" si="1"/>
        <v>0</v>
      </c>
      <c r="G10" s="110"/>
      <c r="H10" s="111"/>
      <c r="K10" s="164"/>
      <c r="L10" s="20"/>
      <c r="M10" s="109"/>
      <c r="N10" s="150"/>
      <c r="O10" s="192">
        <f t="shared" si="0"/>
        <v>0</v>
      </c>
      <c r="P10" s="110"/>
      <c r="Q10" s="111"/>
    </row>
    <row r="11" spans="1:17" x14ac:dyDescent="0.25">
      <c r="A11" s="141" t="s">
        <v>33</v>
      </c>
      <c r="B11" s="164"/>
      <c r="C11" s="20"/>
      <c r="D11" s="109"/>
      <c r="E11" s="150"/>
      <c r="F11" s="192">
        <f t="shared" si="1"/>
        <v>0</v>
      </c>
      <c r="G11" s="110"/>
      <c r="H11" s="111"/>
      <c r="J11" s="141" t="s">
        <v>33</v>
      </c>
      <c r="K11" s="164"/>
      <c r="L11" s="20"/>
      <c r="M11" s="109"/>
      <c r="N11" s="150"/>
      <c r="O11" s="192">
        <f t="shared" si="0"/>
        <v>0</v>
      </c>
      <c r="P11" s="110"/>
      <c r="Q11" s="111"/>
    </row>
    <row r="12" spans="1:17" x14ac:dyDescent="0.25">
      <c r="B12" s="164"/>
      <c r="C12" s="20"/>
      <c r="D12" s="109"/>
      <c r="E12" s="150"/>
      <c r="F12" s="192">
        <f t="shared" si="1"/>
        <v>0</v>
      </c>
      <c r="G12" s="110"/>
      <c r="H12" s="111"/>
      <c r="K12" s="164"/>
      <c r="L12" s="20"/>
      <c r="M12" s="109"/>
      <c r="N12" s="150"/>
      <c r="O12" s="192">
        <f t="shared" si="0"/>
        <v>0</v>
      </c>
      <c r="P12" s="110"/>
      <c r="Q12" s="111"/>
    </row>
    <row r="13" spans="1:17" x14ac:dyDescent="0.25">
      <c r="A13" s="170"/>
      <c r="B13" s="164"/>
      <c r="C13" s="255"/>
      <c r="D13" s="109"/>
      <c r="E13" s="150"/>
      <c r="F13" s="192">
        <f t="shared" si="1"/>
        <v>0</v>
      </c>
      <c r="G13" s="110"/>
      <c r="H13" s="111"/>
      <c r="J13" s="170"/>
      <c r="K13" s="164"/>
      <c r="L13" s="255"/>
      <c r="M13" s="109"/>
      <c r="N13" s="150"/>
      <c r="O13" s="192">
        <f t="shared" si="0"/>
        <v>0</v>
      </c>
      <c r="P13" s="110"/>
      <c r="Q13" s="111"/>
    </row>
    <row r="14" spans="1:17" x14ac:dyDescent="0.25">
      <c r="B14" s="164"/>
      <c r="C14" s="20"/>
      <c r="D14" s="109"/>
      <c r="E14" s="150"/>
      <c r="F14" s="192">
        <f t="shared" si="1"/>
        <v>0</v>
      </c>
      <c r="G14" s="110"/>
      <c r="H14" s="111"/>
      <c r="K14" s="164"/>
      <c r="L14" s="20"/>
      <c r="M14" s="109"/>
      <c r="N14" s="150"/>
      <c r="O14" s="192">
        <f t="shared" si="0"/>
        <v>0</v>
      </c>
      <c r="P14" s="110"/>
      <c r="Q14" s="111"/>
    </row>
    <row r="15" spans="1:17" x14ac:dyDescent="0.25">
      <c r="B15" s="164"/>
      <c r="C15" s="20"/>
      <c r="D15" s="109"/>
      <c r="E15" s="150"/>
      <c r="F15" s="192">
        <f t="shared" si="1"/>
        <v>0</v>
      </c>
      <c r="G15" s="110"/>
      <c r="H15" s="111"/>
      <c r="K15" s="164"/>
      <c r="L15" s="20"/>
      <c r="M15" s="109"/>
      <c r="N15" s="150"/>
      <c r="O15" s="192">
        <f t="shared" si="0"/>
        <v>0</v>
      </c>
      <c r="P15" s="110"/>
      <c r="Q15" s="111"/>
    </row>
    <row r="16" spans="1:17" x14ac:dyDescent="0.25">
      <c r="B16" s="164"/>
      <c r="C16" s="20"/>
      <c r="D16" s="109"/>
      <c r="E16" s="150"/>
      <c r="F16" s="192">
        <f t="shared" si="1"/>
        <v>0</v>
      </c>
      <c r="G16" s="110"/>
      <c r="H16" s="111"/>
      <c r="K16" s="164"/>
      <c r="L16" s="20"/>
      <c r="M16" s="109"/>
      <c r="N16" s="150"/>
      <c r="O16" s="192">
        <f t="shared" si="0"/>
        <v>0</v>
      </c>
      <c r="P16" s="110"/>
      <c r="Q16" s="111"/>
    </row>
    <row r="17" spans="1:17" x14ac:dyDescent="0.25">
      <c r="B17" s="164"/>
      <c r="C17" s="20"/>
      <c r="D17" s="109"/>
      <c r="E17" s="150"/>
      <c r="F17" s="192">
        <f t="shared" si="1"/>
        <v>0</v>
      </c>
      <c r="G17" s="110"/>
      <c r="H17" s="111"/>
      <c r="K17" s="164"/>
      <c r="L17" s="20"/>
      <c r="M17" s="109"/>
      <c r="N17" s="150"/>
      <c r="O17" s="192">
        <f t="shared" si="0"/>
        <v>0</v>
      </c>
      <c r="P17" s="110"/>
      <c r="Q17" s="111"/>
    </row>
    <row r="18" spans="1:17" x14ac:dyDescent="0.25">
      <c r="B18" s="164"/>
      <c r="C18" s="20"/>
      <c r="D18" s="109"/>
      <c r="E18" s="150"/>
      <c r="F18" s="192">
        <f t="shared" si="1"/>
        <v>0</v>
      </c>
      <c r="G18" s="110"/>
      <c r="H18" s="111"/>
      <c r="K18" s="164"/>
      <c r="L18" s="20"/>
      <c r="M18" s="109"/>
      <c r="N18" s="150"/>
      <c r="O18" s="192">
        <f t="shared" si="0"/>
        <v>0</v>
      </c>
      <c r="P18" s="110"/>
      <c r="Q18" s="111"/>
    </row>
    <row r="19" spans="1:17" x14ac:dyDescent="0.25">
      <c r="B19" s="164"/>
      <c r="C19" s="20"/>
      <c r="D19" s="109"/>
      <c r="E19" s="150"/>
      <c r="F19" s="192">
        <f t="shared" si="1"/>
        <v>0</v>
      </c>
      <c r="G19" s="110"/>
      <c r="H19" s="111"/>
      <c r="K19" s="164"/>
      <c r="L19" s="20"/>
      <c r="M19" s="109"/>
      <c r="N19" s="150"/>
      <c r="O19" s="192">
        <f t="shared" si="0"/>
        <v>0</v>
      </c>
      <c r="P19" s="110"/>
      <c r="Q19" s="111"/>
    </row>
    <row r="20" spans="1:17" x14ac:dyDescent="0.25">
      <c r="B20" s="164"/>
      <c r="C20" s="20"/>
      <c r="D20" s="109"/>
      <c r="E20" s="150"/>
      <c r="F20" s="192">
        <f t="shared" si="1"/>
        <v>0</v>
      </c>
      <c r="G20" s="110"/>
      <c r="H20" s="111"/>
      <c r="K20" s="164"/>
      <c r="L20" s="20"/>
      <c r="M20" s="109"/>
      <c r="N20" s="150"/>
      <c r="O20" s="192">
        <f t="shared" si="0"/>
        <v>0</v>
      </c>
      <c r="P20" s="110"/>
      <c r="Q20" s="111"/>
    </row>
    <row r="21" spans="1:17" x14ac:dyDescent="0.25">
      <c r="B21" s="164"/>
      <c r="C21" s="20"/>
      <c r="D21" s="109"/>
      <c r="E21" s="150"/>
      <c r="F21" s="192">
        <f t="shared" si="1"/>
        <v>0</v>
      </c>
      <c r="G21" s="110"/>
      <c r="H21" s="111"/>
      <c r="K21" s="164"/>
      <c r="L21" s="20"/>
      <c r="M21" s="109"/>
      <c r="N21" s="150"/>
      <c r="O21" s="192">
        <f t="shared" si="0"/>
        <v>0</v>
      </c>
      <c r="P21" s="110"/>
      <c r="Q21" s="111"/>
    </row>
    <row r="22" spans="1:17" x14ac:dyDescent="0.25">
      <c r="B22" s="164"/>
      <c r="C22" s="20"/>
      <c r="D22" s="109">
        <f t="shared" ref="D22:D24" si="2">C22*B22</f>
        <v>0</v>
      </c>
      <c r="E22" s="150"/>
      <c r="F22" s="192">
        <f t="shared" si="1"/>
        <v>0</v>
      </c>
      <c r="G22" s="110"/>
      <c r="H22" s="111"/>
      <c r="K22" s="164"/>
      <c r="L22" s="20"/>
      <c r="M22" s="109">
        <f t="shared" ref="M22:M24" si="3">L22*K22</f>
        <v>0</v>
      </c>
      <c r="N22" s="150"/>
      <c r="O22" s="192">
        <f t="shared" si="0"/>
        <v>0</v>
      </c>
      <c r="P22" s="110"/>
      <c r="Q22" s="111"/>
    </row>
    <row r="23" spans="1:17" x14ac:dyDescent="0.25">
      <c r="B23" s="164"/>
      <c r="C23" s="20"/>
      <c r="D23" s="109">
        <f t="shared" si="2"/>
        <v>0</v>
      </c>
      <c r="E23" s="150"/>
      <c r="F23" s="192">
        <f t="shared" si="1"/>
        <v>0</v>
      </c>
      <c r="G23" s="110"/>
      <c r="H23" s="111"/>
      <c r="K23" s="164"/>
      <c r="L23" s="20"/>
      <c r="M23" s="109">
        <f t="shared" si="3"/>
        <v>0</v>
      </c>
      <c r="N23" s="150"/>
      <c r="O23" s="192">
        <f t="shared" si="0"/>
        <v>0</v>
      </c>
      <c r="P23" s="110"/>
      <c r="Q23" s="111"/>
    </row>
    <row r="24" spans="1:17" x14ac:dyDescent="0.25">
      <c r="B24" s="164"/>
      <c r="C24" s="20"/>
      <c r="D24" s="109">
        <f t="shared" si="2"/>
        <v>0</v>
      </c>
      <c r="E24" s="150"/>
      <c r="F24" s="192">
        <f t="shared" si="1"/>
        <v>0</v>
      </c>
      <c r="G24" s="110"/>
      <c r="H24" s="111"/>
      <c r="K24" s="164"/>
      <c r="L24" s="20"/>
      <c r="M24" s="109">
        <f t="shared" si="3"/>
        <v>0</v>
      </c>
      <c r="N24" s="150"/>
      <c r="O24" s="192">
        <f t="shared" si="0"/>
        <v>0</v>
      </c>
      <c r="P24" s="110"/>
      <c r="Q24" s="111"/>
    </row>
    <row r="25" spans="1:17" x14ac:dyDescent="0.25">
      <c r="B25" s="164"/>
      <c r="C25" s="20"/>
      <c r="D25" s="109"/>
      <c r="E25" s="150"/>
      <c r="F25" s="192">
        <f t="shared" si="1"/>
        <v>0</v>
      </c>
      <c r="G25" s="110"/>
      <c r="H25" s="111"/>
      <c r="K25" s="164"/>
      <c r="L25" s="20"/>
      <c r="M25" s="109"/>
      <c r="N25" s="150"/>
      <c r="O25" s="192">
        <f t="shared" si="0"/>
        <v>0</v>
      </c>
      <c r="P25" s="110"/>
      <c r="Q25" s="111"/>
    </row>
    <row r="26" spans="1:17" x14ac:dyDescent="0.25">
      <c r="B26" s="164"/>
      <c r="C26" s="20"/>
      <c r="D26" s="109">
        <f t="shared" ref="D26:D38" si="4">C26*B26</f>
        <v>0</v>
      </c>
      <c r="E26" s="150"/>
      <c r="F26" s="192">
        <f t="shared" si="1"/>
        <v>0</v>
      </c>
      <c r="G26" s="110"/>
      <c r="H26" s="111"/>
      <c r="K26" s="164"/>
      <c r="L26" s="20"/>
      <c r="M26" s="109">
        <f t="shared" ref="M26:M38" si="5">L26*K26</f>
        <v>0</v>
      </c>
      <c r="N26" s="150"/>
      <c r="O26" s="192">
        <f t="shared" si="0"/>
        <v>0</v>
      </c>
      <c r="P26" s="110"/>
      <c r="Q26" s="111"/>
    </row>
    <row r="27" spans="1:17" x14ac:dyDescent="0.25">
      <c r="B27" s="164"/>
      <c r="C27" s="20"/>
      <c r="D27" s="109">
        <f t="shared" si="4"/>
        <v>0</v>
      </c>
      <c r="E27" s="150"/>
      <c r="F27" s="192">
        <f t="shared" si="1"/>
        <v>0</v>
      </c>
      <c r="G27" s="110"/>
      <c r="H27" s="111"/>
      <c r="K27" s="164"/>
      <c r="L27" s="20"/>
      <c r="M27" s="109">
        <f t="shared" si="5"/>
        <v>0</v>
      </c>
      <c r="N27" s="150"/>
      <c r="O27" s="192">
        <f t="shared" si="0"/>
        <v>0</v>
      </c>
      <c r="P27" s="110"/>
      <c r="Q27" s="111"/>
    </row>
    <row r="28" spans="1:17" x14ac:dyDescent="0.25">
      <c r="B28" s="164"/>
      <c r="C28" s="20"/>
      <c r="D28" s="109">
        <f t="shared" si="4"/>
        <v>0</v>
      </c>
      <c r="E28" s="150"/>
      <c r="F28" s="192">
        <f t="shared" si="1"/>
        <v>0</v>
      </c>
      <c r="G28" s="110"/>
      <c r="H28" s="111"/>
      <c r="K28" s="164"/>
      <c r="L28" s="20"/>
      <c r="M28" s="109">
        <f t="shared" si="5"/>
        <v>0</v>
      </c>
      <c r="N28" s="150"/>
      <c r="O28" s="192">
        <f t="shared" si="0"/>
        <v>0</v>
      </c>
      <c r="P28" s="110"/>
      <c r="Q28" s="111"/>
    </row>
    <row r="29" spans="1:17" x14ac:dyDescent="0.25">
      <c r="A29" s="173"/>
      <c r="B29" s="164"/>
      <c r="C29" s="20"/>
      <c r="D29" s="109">
        <f t="shared" si="4"/>
        <v>0</v>
      </c>
      <c r="E29" s="150"/>
      <c r="F29" s="192">
        <f t="shared" si="1"/>
        <v>0</v>
      </c>
      <c r="G29" s="110"/>
      <c r="H29" s="111"/>
      <c r="J29" s="173"/>
      <c r="K29" s="164"/>
      <c r="L29" s="20"/>
      <c r="M29" s="109">
        <f t="shared" si="5"/>
        <v>0</v>
      </c>
      <c r="N29" s="150"/>
      <c r="O29" s="192">
        <f t="shared" si="0"/>
        <v>0</v>
      </c>
      <c r="P29" s="110"/>
      <c r="Q29" s="111"/>
    </row>
    <row r="30" spans="1:17" x14ac:dyDescent="0.25">
      <c r="A30" s="173"/>
      <c r="B30" s="164"/>
      <c r="C30" s="20"/>
      <c r="D30" s="109">
        <f t="shared" si="4"/>
        <v>0</v>
      </c>
      <c r="E30" s="150"/>
      <c r="F30" s="192">
        <f t="shared" si="1"/>
        <v>0</v>
      </c>
      <c r="G30" s="110"/>
      <c r="H30" s="111"/>
      <c r="J30" s="173"/>
      <c r="K30" s="164"/>
      <c r="L30" s="20"/>
      <c r="M30" s="109">
        <f t="shared" si="5"/>
        <v>0</v>
      </c>
      <c r="N30" s="150"/>
      <c r="O30" s="192">
        <f t="shared" si="0"/>
        <v>0</v>
      </c>
      <c r="P30" s="110"/>
      <c r="Q30" s="111"/>
    </row>
    <row r="31" spans="1:17" x14ac:dyDescent="0.25">
      <c r="A31" s="173"/>
      <c r="B31" s="164"/>
      <c r="C31" s="20"/>
      <c r="D31" s="109">
        <f t="shared" si="4"/>
        <v>0</v>
      </c>
      <c r="E31" s="150"/>
      <c r="F31" s="192">
        <f t="shared" si="1"/>
        <v>0</v>
      </c>
      <c r="G31" s="110"/>
      <c r="H31" s="111"/>
      <c r="J31" s="173"/>
      <c r="K31" s="164"/>
      <c r="L31" s="20"/>
      <c r="M31" s="109">
        <f t="shared" si="5"/>
        <v>0</v>
      </c>
      <c r="N31" s="150"/>
      <c r="O31" s="192">
        <f t="shared" si="0"/>
        <v>0</v>
      </c>
      <c r="P31" s="110"/>
      <c r="Q31" s="111"/>
    </row>
    <row r="32" spans="1:17" x14ac:dyDescent="0.25">
      <c r="A32" s="173"/>
      <c r="B32" s="164"/>
      <c r="C32" s="20"/>
      <c r="D32" s="109">
        <f t="shared" si="4"/>
        <v>0</v>
      </c>
      <c r="E32" s="150"/>
      <c r="F32" s="192">
        <f t="shared" si="1"/>
        <v>0</v>
      </c>
      <c r="G32" s="110"/>
      <c r="H32" s="111"/>
      <c r="J32" s="173"/>
      <c r="K32" s="164"/>
      <c r="L32" s="20"/>
      <c r="M32" s="109">
        <f t="shared" si="5"/>
        <v>0</v>
      </c>
      <c r="N32" s="150"/>
      <c r="O32" s="192">
        <f t="shared" si="0"/>
        <v>0</v>
      </c>
      <c r="P32" s="110"/>
      <c r="Q32" s="111"/>
    </row>
    <row r="33" spans="1:17" x14ac:dyDescent="0.25">
      <c r="A33" s="173"/>
      <c r="B33" s="164"/>
      <c r="C33" s="20"/>
      <c r="D33" s="109">
        <f t="shared" si="4"/>
        <v>0</v>
      </c>
      <c r="E33" s="150"/>
      <c r="F33" s="192">
        <f t="shared" si="1"/>
        <v>0</v>
      </c>
      <c r="G33" s="110"/>
      <c r="H33" s="111"/>
      <c r="J33" s="173"/>
      <c r="K33" s="164"/>
      <c r="L33" s="20"/>
      <c r="M33" s="109">
        <f t="shared" si="5"/>
        <v>0</v>
      </c>
      <c r="N33" s="150"/>
      <c r="O33" s="192">
        <f t="shared" si="0"/>
        <v>0</v>
      </c>
      <c r="P33" s="110"/>
      <c r="Q33" s="111"/>
    </row>
    <row r="34" spans="1:17" x14ac:dyDescent="0.25">
      <c r="A34" s="173"/>
      <c r="B34" s="164"/>
      <c r="C34" s="20"/>
      <c r="D34" s="109">
        <f t="shared" si="4"/>
        <v>0</v>
      </c>
      <c r="E34" s="150"/>
      <c r="F34" s="192">
        <f t="shared" si="1"/>
        <v>0</v>
      </c>
      <c r="G34" s="110"/>
      <c r="H34" s="111"/>
      <c r="J34" s="173"/>
      <c r="K34" s="164"/>
      <c r="L34" s="20"/>
      <c r="M34" s="109">
        <f t="shared" si="5"/>
        <v>0</v>
      </c>
      <c r="N34" s="150"/>
      <c r="O34" s="192">
        <f t="shared" si="0"/>
        <v>0</v>
      </c>
      <c r="P34" s="110"/>
      <c r="Q34" s="111"/>
    </row>
    <row r="35" spans="1:17" x14ac:dyDescent="0.25">
      <c r="A35" s="173"/>
      <c r="B35" s="164"/>
      <c r="C35" s="20"/>
      <c r="D35" s="109">
        <f t="shared" si="4"/>
        <v>0</v>
      </c>
      <c r="E35" s="150"/>
      <c r="F35" s="192">
        <f t="shared" si="1"/>
        <v>0</v>
      </c>
      <c r="G35" s="110"/>
      <c r="H35" s="111"/>
      <c r="J35" s="173"/>
      <c r="K35" s="164"/>
      <c r="L35" s="20"/>
      <c r="M35" s="109">
        <f t="shared" si="5"/>
        <v>0</v>
      </c>
      <c r="N35" s="150"/>
      <c r="O35" s="192">
        <f t="shared" si="0"/>
        <v>0</v>
      </c>
      <c r="P35" s="110"/>
      <c r="Q35" s="111"/>
    </row>
    <row r="36" spans="1:17" x14ac:dyDescent="0.25">
      <c r="A36" s="173"/>
      <c r="B36" s="164"/>
      <c r="C36" s="20"/>
      <c r="D36" s="109">
        <f t="shared" si="4"/>
        <v>0</v>
      </c>
      <c r="E36" s="150"/>
      <c r="F36" s="192">
        <f t="shared" si="1"/>
        <v>0</v>
      </c>
      <c r="G36" s="110"/>
      <c r="H36" s="111"/>
      <c r="J36" s="173"/>
      <c r="K36" s="164"/>
      <c r="L36" s="20"/>
      <c r="M36" s="109">
        <f t="shared" si="5"/>
        <v>0</v>
      </c>
      <c r="N36" s="150"/>
      <c r="O36" s="192">
        <f t="shared" si="0"/>
        <v>0</v>
      </c>
      <c r="P36" s="110"/>
      <c r="Q36" s="111"/>
    </row>
    <row r="37" spans="1:17" x14ac:dyDescent="0.25">
      <c r="A37" s="173"/>
      <c r="B37" s="164"/>
      <c r="C37" s="20"/>
      <c r="D37" s="109">
        <f t="shared" si="4"/>
        <v>0</v>
      </c>
      <c r="E37" s="150"/>
      <c r="F37" s="192">
        <f t="shared" si="1"/>
        <v>0</v>
      </c>
      <c r="G37" s="110"/>
      <c r="H37" s="111"/>
      <c r="J37" s="173"/>
      <c r="K37" s="164"/>
      <c r="L37" s="20"/>
      <c r="M37" s="109">
        <f t="shared" si="5"/>
        <v>0</v>
      </c>
      <c r="N37" s="150"/>
      <c r="O37" s="192">
        <f t="shared" si="0"/>
        <v>0</v>
      </c>
      <c r="P37" s="110"/>
      <c r="Q37" s="111"/>
    </row>
    <row r="38" spans="1:17" x14ac:dyDescent="0.25">
      <c r="A38" s="173"/>
      <c r="B38" s="164"/>
      <c r="C38" s="20"/>
      <c r="D38" s="109">
        <f t="shared" si="4"/>
        <v>0</v>
      </c>
      <c r="E38" s="150"/>
      <c r="F38" s="192">
        <f t="shared" si="1"/>
        <v>0</v>
      </c>
      <c r="G38" s="110"/>
      <c r="H38" s="111"/>
      <c r="J38" s="173"/>
      <c r="K38" s="164"/>
      <c r="L38" s="20"/>
      <c r="M38" s="109">
        <f t="shared" si="5"/>
        <v>0</v>
      </c>
      <c r="N38" s="150"/>
      <c r="O38" s="192">
        <f t="shared" si="0"/>
        <v>0</v>
      </c>
      <c r="P38" s="110"/>
      <c r="Q38" s="111"/>
    </row>
    <row r="39" spans="1:17" ht="15.75" thickBot="1" x14ac:dyDescent="0.3">
      <c r="A39" s="228"/>
      <c r="B39" s="174"/>
      <c r="C39" s="48"/>
      <c r="D39" s="573">
        <f>B39*C39</f>
        <v>0</v>
      </c>
      <c r="E39" s="574"/>
      <c r="F39" s="575">
        <f t="shared" si="1"/>
        <v>0</v>
      </c>
      <c r="G39" s="269"/>
      <c r="H39" s="576"/>
      <c r="J39" s="228"/>
      <c r="K39" s="174"/>
      <c r="L39" s="48"/>
      <c r="M39" s="573">
        <f>K39*L39</f>
        <v>0</v>
      </c>
      <c r="N39" s="574"/>
      <c r="O39" s="575">
        <f t="shared" si="0"/>
        <v>0</v>
      </c>
      <c r="P39" s="269"/>
      <c r="Q39" s="576"/>
    </row>
    <row r="40" spans="1:17" ht="15.75" thickTop="1" x14ac:dyDescent="0.25">
      <c r="A40" s="63">
        <f>SUM(A29:A39)</f>
        <v>0</v>
      </c>
      <c r="B40" s="16"/>
      <c r="C40" s="119">
        <f>SUM(C8:C39)</f>
        <v>2</v>
      </c>
      <c r="D40" s="192">
        <f>SUM(D8:D39)</f>
        <v>9.42</v>
      </c>
      <c r="E40" s="128"/>
      <c r="F40" s="192">
        <f>SUM(F8:F39)</f>
        <v>9.42</v>
      </c>
      <c r="G40" s="16"/>
      <c r="H40" s="16"/>
      <c r="J40" s="63">
        <f>SUM(J29:J39)</f>
        <v>0</v>
      </c>
      <c r="K40" s="16"/>
      <c r="L40" s="119">
        <f>SUM(L8:L39)</f>
        <v>1</v>
      </c>
      <c r="M40" s="192">
        <f>SUM(M8:M39)</f>
        <v>4.42</v>
      </c>
      <c r="N40" s="128"/>
      <c r="O40" s="192">
        <f>SUM(O8:O39)</f>
        <v>4.42</v>
      </c>
      <c r="P40" s="16"/>
      <c r="Q40" s="16"/>
    </row>
    <row r="41" spans="1:17" ht="15.75" thickBot="1" x14ac:dyDescent="0.3">
      <c r="A41" s="160"/>
      <c r="B41"/>
      <c r="C41"/>
      <c r="G41"/>
      <c r="H41"/>
      <c r="J41" s="160"/>
      <c r="K41"/>
      <c r="L41"/>
      <c r="P41"/>
      <c r="Q41"/>
    </row>
    <row r="42" spans="1:17" x14ac:dyDescent="0.25">
      <c r="A42"/>
      <c r="B42" s="6"/>
      <c r="C42"/>
      <c r="D42" s="849" t="s">
        <v>21</v>
      </c>
      <c r="E42" s="850"/>
      <c r="F42" s="272">
        <f>E4+E5-F40+E6</f>
        <v>0</v>
      </c>
      <c r="G42"/>
      <c r="H42"/>
      <c r="J42"/>
      <c r="K42" s="6"/>
      <c r="L42"/>
      <c r="M42" s="849" t="s">
        <v>21</v>
      </c>
      <c r="N42" s="850"/>
      <c r="O42" s="272">
        <f>N4+N5-O40+N6</f>
        <v>0</v>
      </c>
      <c r="P42"/>
      <c r="Q42"/>
    </row>
    <row r="43" spans="1:17" ht="15.75" thickBot="1" x14ac:dyDescent="0.3">
      <c r="A43" s="237"/>
      <c r="B43"/>
      <c r="C43"/>
      <c r="D43" s="618" t="s">
        <v>4</v>
      </c>
      <c r="E43" s="619"/>
      <c r="F43" s="66">
        <f>F4+F5-C40+F6</f>
        <v>0</v>
      </c>
      <c r="G43"/>
      <c r="H43"/>
      <c r="J43" s="237"/>
      <c r="K43"/>
      <c r="L43"/>
      <c r="M43" s="755" t="s">
        <v>4</v>
      </c>
      <c r="N43" s="756"/>
      <c r="O43" s="66">
        <f>O4+O5-L40+O6</f>
        <v>0</v>
      </c>
      <c r="P43"/>
      <c r="Q43"/>
    </row>
    <row r="44" spans="1:17" x14ac:dyDescent="0.25">
      <c r="A44"/>
      <c r="B44" s="6"/>
      <c r="C44"/>
      <c r="D44"/>
      <c r="E44"/>
      <c r="F44"/>
      <c r="G44"/>
      <c r="H44"/>
      <c r="J44"/>
      <c r="K44" s="6"/>
      <c r="L44"/>
      <c r="M44"/>
      <c r="N44"/>
      <c r="O44"/>
      <c r="P44"/>
      <c r="Q44"/>
    </row>
  </sheetData>
  <mergeCells count="4">
    <mergeCell ref="A1:G1"/>
    <mergeCell ref="D42:E42"/>
    <mergeCell ref="J1:P1"/>
    <mergeCell ref="M42:N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zoomScaleNormal="100" workbookViewId="0">
      <pane ySplit="11" topLeftCell="A30" activePane="bottomLeft" state="frozen"/>
      <selection pane="bottomLeft" activeCell="B31" sqref="B3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47" t="s">
        <v>250</v>
      </c>
      <c r="B1" s="847"/>
      <c r="C1" s="847"/>
      <c r="D1" s="847"/>
      <c r="E1" s="847"/>
      <c r="F1" s="847"/>
      <c r="G1" s="847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19"/>
      <c r="C4" s="320">
        <v>19.5</v>
      </c>
      <c r="D4" s="306">
        <v>43439</v>
      </c>
      <c r="E4" s="246">
        <v>2780.1</v>
      </c>
      <c r="F4" s="119">
        <v>3</v>
      </c>
      <c r="G4" s="52"/>
      <c r="H4" s="16"/>
    </row>
    <row r="5" spans="1:8" x14ac:dyDescent="0.25">
      <c r="A5" s="128"/>
      <c r="B5" s="119"/>
      <c r="C5" s="320">
        <v>19.5</v>
      </c>
      <c r="D5" s="306">
        <v>43442</v>
      </c>
      <c r="E5" s="246">
        <v>3660.6</v>
      </c>
      <c r="F5" s="119">
        <v>4</v>
      </c>
      <c r="G5" s="797">
        <f>F44</f>
        <v>16704.04</v>
      </c>
      <c r="H5" s="10">
        <f>E5-G5+E4+E6+E7+E8+E9+E10</f>
        <v>-1.0000000000786713E-2</v>
      </c>
    </row>
    <row r="6" spans="1:8" x14ac:dyDescent="0.25">
      <c r="A6" s="16" t="s">
        <v>254</v>
      </c>
      <c r="B6" s="513" t="s">
        <v>64</v>
      </c>
      <c r="C6" s="320">
        <v>19.5</v>
      </c>
      <c r="D6" s="306">
        <v>43446</v>
      </c>
      <c r="E6" s="246">
        <v>5761.9</v>
      </c>
      <c r="F6" s="119">
        <v>6</v>
      </c>
      <c r="G6" s="792"/>
      <c r="H6" s="16"/>
    </row>
    <row r="7" spans="1:8" x14ac:dyDescent="0.25">
      <c r="A7" s="16"/>
      <c r="B7" s="513" t="s">
        <v>65</v>
      </c>
      <c r="C7" s="320">
        <v>19.5</v>
      </c>
      <c r="D7" s="306">
        <v>43448</v>
      </c>
      <c r="E7" s="246">
        <v>1785.33</v>
      </c>
      <c r="F7" s="119">
        <v>2</v>
      </c>
      <c r="G7" s="792"/>
      <c r="H7" s="16"/>
    </row>
    <row r="8" spans="1:8" x14ac:dyDescent="0.25">
      <c r="A8" s="16"/>
      <c r="B8" s="119"/>
      <c r="C8" s="320">
        <v>19.5</v>
      </c>
      <c r="D8" s="306">
        <v>43453</v>
      </c>
      <c r="E8" s="246">
        <f>935.8+904.9</f>
        <v>1840.6999999999998</v>
      </c>
      <c r="F8" s="119">
        <v>2</v>
      </c>
      <c r="G8" s="792"/>
      <c r="H8" s="16"/>
    </row>
    <row r="9" spans="1:8" x14ac:dyDescent="0.25">
      <c r="A9" s="16"/>
      <c r="B9" s="119"/>
      <c r="C9" s="320">
        <v>19</v>
      </c>
      <c r="D9" s="306">
        <v>43462</v>
      </c>
      <c r="E9" s="246">
        <v>875.4</v>
      </c>
      <c r="F9" s="119">
        <v>1</v>
      </c>
      <c r="G9" s="792"/>
      <c r="H9" s="16"/>
    </row>
    <row r="10" spans="1:8" ht="15.75" thickBot="1" x14ac:dyDescent="0.3">
      <c r="A10" s="16"/>
      <c r="B10" s="119"/>
      <c r="C10" s="320"/>
      <c r="D10" s="306"/>
      <c r="E10" s="246"/>
      <c r="F10" s="119"/>
      <c r="G10" s="16"/>
      <c r="H10" s="16"/>
    </row>
    <row r="11" spans="1:8" ht="16.5" thickTop="1" thickBot="1" x14ac:dyDescent="0.3">
      <c r="A11"/>
      <c r="B11" s="102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89" t="s">
        <v>32</v>
      </c>
      <c r="B12" s="164"/>
      <c r="C12" s="20">
        <v>1</v>
      </c>
      <c r="D12" s="109">
        <v>900.4</v>
      </c>
      <c r="E12" s="150">
        <v>43439</v>
      </c>
      <c r="F12" s="192">
        <f t="shared" ref="F12" si="0">D12</f>
        <v>900.4</v>
      </c>
      <c r="G12" s="110" t="s">
        <v>501</v>
      </c>
      <c r="H12" s="111">
        <v>20.5</v>
      </c>
    </row>
    <row r="13" spans="1:8" x14ac:dyDescent="0.25">
      <c r="A13" s="16"/>
      <c r="B13" s="164"/>
      <c r="C13" s="20">
        <v>1</v>
      </c>
      <c r="D13" s="109">
        <v>945.3</v>
      </c>
      <c r="E13" s="150">
        <v>43439</v>
      </c>
      <c r="F13" s="192">
        <f>D13</f>
        <v>945.3</v>
      </c>
      <c r="G13" s="110" t="s">
        <v>501</v>
      </c>
      <c r="H13" s="111">
        <v>20.5</v>
      </c>
    </row>
    <row r="14" spans="1:8" x14ac:dyDescent="0.25">
      <c r="B14" s="164"/>
      <c r="C14" s="255">
        <v>1</v>
      </c>
      <c r="D14" s="109">
        <v>934.4</v>
      </c>
      <c r="E14" s="150">
        <v>43439</v>
      </c>
      <c r="F14" s="192">
        <f t="shared" ref="F14:F30" si="1">D14</f>
        <v>934.4</v>
      </c>
      <c r="G14" s="110" t="s">
        <v>501</v>
      </c>
      <c r="H14" s="111">
        <v>20.5</v>
      </c>
    </row>
    <row r="15" spans="1:8" x14ac:dyDescent="0.25">
      <c r="A15" s="141" t="s">
        <v>33</v>
      </c>
      <c r="B15" s="164"/>
      <c r="C15" s="20">
        <v>1</v>
      </c>
      <c r="D15" s="109">
        <v>931.7</v>
      </c>
      <c r="E15" s="150">
        <v>43442</v>
      </c>
      <c r="F15" s="192">
        <f t="shared" si="1"/>
        <v>931.7</v>
      </c>
      <c r="G15" s="110" t="s">
        <v>490</v>
      </c>
      <c r="H15" s="111">
        <v>20.5</v>
      </c>
    </row>
    <row r="16" spans="1:8" x14ac:dyDescent="0.25">
      <c r="B16" s="164"/>
      <c r="C16" s="20">
        <v>1</v>
      </c>
      <c r="D16" s="109">
        <v>929</v>
      </c>
      <c r="E16" s="150">
        <v>43442</v>
      </c>
      <c r="F16" s="192">
        <f t="shared" si="1"/>
        <v>929</v>
      </c>
      <c r="G16" s="110" t="s">
        <v>490</v>
      </c>
      <c r="H16" s="111">
        <v>20.5</v>
      </c>
    </row>
    <row r="17" spans="1:8" x14ac:dyDescent="0.25">
      <c r="A17" s="170"/>
      <c r="B17" s="164"/>
      <c r="C17" s="20">
        <v>1</v>
      </c>
      <c r="D17" s="109">
        <v>894.5</v>
      </c>
      <c r="E17" s="150">
        <v>43442</v>
      </c>
      <c r="F17" s="192">
        <f t="shared" si="1"/>
        <v>894.5</v>
      </c>
      <c r="G17" s="110" t="s">
        <v>490</v>
      </c>
      <c r="H17" s="111">
        <v>20.5</v>
      </c>
    </row>
    <row r="18" spans="1:8" x14ac:dyDescent="0.25">
      <c r="B18" s="164"/>
      <c r="C18" s="20">
        <v>1</v>
      </c>
      <c r="D18" s="109">
        <v>905.4</v>
      </c>
      <c r="E18" s="150">
        <v>43442</v>
      </c>
      <c r="F18" s="192">
        <f t="shared" si="1"/>
        <v>905.4</v>
      </c>
      <c r="G18" s="110" t="s">
        <v>490</v>
      </c>
      <c r="H18" s="111">
        <v>20.5</v>
      </c>
    </row>
    <row r="19" spans="1:8" x14ac:dyDescent="0.25">
      <c r="B19" s="164"/>
      <c r="C19" s="20">
        <v>1</v>
      </c>
      <c r="D19" s="109">
        <v>987.9</v>
      </c>
      <c r="E19" s="150">
        <v>43446</v>
      </c>
      <c r="F19" s="192">
        <f t="shared" si="1"/>
        <v>987.9</v>
      </c>
      <c r="G19" s="110" t="s">
        <v>530</v>
      </c>
      <c r="H19" s="111">
        <v>20.5</v>
      </c>
    </row>
    <row r="20" spans="1:8" x14ac:dyDescent="0.25">
      <c r="B20" s="164"/>
      <c r="C20" s="20">
        <v>1</v>
      </c>
      <c r="D20" s="109">
        <v>992.9</v>
      </c>
      <c r="E20" s="150">
        <v>43446</v>
      </c>
      <c r="F20" s="192">
        <f t="shared" si="1"/>
        <v>992.9</v>
      </c>
      <c r="G20" s="110" t="s">
        <v>530</v>
      </c>
      <c r="H20" s="111">
        <v>20.5</v>
      </c>
    </row>
    <row r="21" spans="1:8" x14ac:dyDescent="0.25">
      <c r="B21" s="164"/>
      <c r="C21" s="20">
        <v>1</v>
      </c>
      <c r="D21" s="109">
        <v>982.5</v>
      </c>
      <c r="E21" s="150">
        <v>43446</v>
      </c>
      <c r="F21" s="192">
        <f t="shared" si="1"/>
        <v>982.5</v>
      </c>
      <c r="G21" s="110" t="s">
        <v>530</v>
      </c>
      <c r="H21" s="111">
        <v>20.5</v>
      </c>
    </row>
    <row r="22" spans="1:8" x14ac:dyDescent="0.25">
      <c r="B22" s="164"/>
      <c r="C22" s="20">
        <v>1</v>
      </c>
      <c r="D22" s="109">
        <v>949.8</v>
      </c>
      <c r="E22" s="150">
        <v>43446</v>
      </c>
      <c r="F22" s="192">
        <f t="shared" si="1"/>
        <v>949.8</v>
      </c>
      <c r="G22" s="110" t="s">
        <v>530</v>
      </c>
      <c r="H22" s="111">
        <v>20.5</v>
      </c>
    </row>
    <row r="23" spans="1:8" x14ac:dyDescent="0.25">
      <c r="B23" s="164"/>
      <c r="C23" s="20">
        <v>1</v>
      </c>
      <c r="D23" s="109">
        <v>975.2</v>
      </c>
      <c r="E23" s="150">
        <v>43446</v>
      </c>
      <c r="F23" s="192">
        <f t="shared" si="1"/>
        <v>975.2</v>
      </c>
      <c r="G23" s="110" t="s">
        <v>530</v>
      </c>
      <c r="H23" s="111">
        <v>20.5</v>
      </c>
    </row>
    <row r="24" spans="1:8" x14ac:dyDescent="0.25">
      <c r="B24" s="164"/>
      <c r="C24" s="20">
        <v>1</v>
      </c>
      <c r="D24" s="109">
        <v>873.6</v>
      </c>
      <c r="E24" s="150">
        <v>43446</v>
      </c>
      <c r="F24" s="192">
        <f t="shared" si="1"/>
        <v>873.6</v>
      </c>
      <c r="G24" s="110" t="s">
        <v>530</v>
      </c>
      <c r="H24" s="111">
        <v>20.5</v>
      </c>
    </row>
    <row r="25" spans="1:8" x14ac:dyDescent="0.25">
      <c r="B25" s="164"/>
      <c r="C25" s="20">
        <v>1</v>
      </c>
      <c r="D25" s="109">
        <v>894.03</v>
      </c>
      <c r="E25" s="150">
        <v>43448</v>
      </c>
      <c r="F25" s="192">
        <f t="shared" si="1"/>
        <v>894.03</v>
      </c>
      <c r="G25" s="110" t="s">
        <v>544</v>
      </c>
      <c r="H25" s="111">
        <v>20.5</v>
      </c>
    </row>
    <row r="26" spans="1:8" x14ac:dyDescent="0.25">
      <c r="B26" s="164"/>
      <c r="C26" s="20">
        <v>1</v>
      </c>
      <c r="D26" s="109">
        <v>891.3</v>
      </c>
      <c r="E26" s="150">
        <v>43448</v>
      </c>
      <c r="F26" s="192">
        <f t="shared" si="1"/>
        <v>891.3</v>
      </c>
      <c r="G26" s="110" t="s">
        <v>544</v>
      </c>
      <c r="H26" s="111">
        <v>20.5</v>
      </c>
    </row>
    <row r="27" spans="1:8" x14ac:dyDescent="0.25">
      <c r="B27" s="164"/>
      <c r="C27" s="20">
        <v>1</v>
      </c>
      <c r="D27" s="109">
        <v>935.8</v>
      </c>
      <c r="E27" s="150">
        <v>43453</v>
      </c>
      <c r="F27" s="192">
        <f t="shared" si="1"/>
        <v>935.8</v>
      </c>
      <c r="G27" s="110" t="s">
        <v>587</v>
      </c>
      <c r="H27" s="111">
        <v>20.5</v>
      </c>
    </row>
    <row r="28" spans="1:8" x14ac:dyDescent="0.25">
      <c r="B28" s="164"/>
      <c r="C28" s="20">
        <v>1</v>
      </c>
      <c r="D28" s="109">
        <v>904.91</v>
      </c>
      <c r="E28" s="150">
        <v>43453</v>
      </c>
      <c r="F28" s="192">
        <f t="shared" si="1"/>
        <v>904.91</v>
      </c>
      <c r="G28" s="110" t="s">
        <v>587</v>
      </c>
      <c r="H28" s="111">
        <v>20.5</v>
      </c>
    </row>
    <row r="29" spans="1:8" x14ac:dyDescent="0.25">
      <c r="B29" s="164"/>
      <c r="C29" s="20">
        <v>1</v>
      </c>
      <c r="D29" s="109">
        <v>875.4</v>
      </c>
      <c r="E29" s="150">
        <v>43462</v>
      </c>
      <c r="F29" s="192">
        <f t="shared" si="1"/>
        <v>875.4</v>
      </c>
      <c r="G29" s="110" t="s">
        <v>656</v>
      </c>
      <c r="H29" s="111">
        <v>20</v>
      </c>
    </row>
    <row r="30" spans="1:8" x14ac:dyDescent="0.25">
      <c r="B30" s="164"/>
      <c r="C30" s="20"/>
      <c r="D30" s="109"/>
      <c r="E30" s="150"/>
      <c r="F30" s="192">
        <f t="shared" si="1"/>
        <v>0</v>
      </c>
      <c r="G30" s="110"/>
      <c r="H30" s="111" t="s">
        <v>41</v>
      </c>
    </row>
    <row r="31" spans="1:8" x14ac:dyDescent="0.25">
      <c r="B31" s="164"/>
      <c r="C31" s="20"/>
      <c r="D31" s="109"/>
      <c r="E31" s="150"/>
      <c r="F31" s="192">
        <f t="shared" ref="F31:F43" si="2">D31</f>
        <v>0</v>
      </c>
      <c r="G31" s="110"/>
      <c r="H31" s="111"/>
    </row>
    <row r="32" spans="1:8" x14ac:dyDescent="0.25">
      <c r="B32" s="164"/>
      <c r="C32" s="20"/>
      <c r="D32" s="109"/>
      <c r="E32" s="150"/>
      <c r="F32" s="192">
        <f t="shared" si="2"/>
        <v>0</v>
      </c>
      <c r="G32" s="110"/>
      <c r="H32" s="111"/>
    </row>
    <row r="33" spans="1:8" x14ac:dyDescent="0.25">
      <c r="A33" s="173"/>
      <c r="B33" s="164"/>
      <c r="C33" s="20"/>
      <c r="D33" s="109"/>
      <c r="E33" s="150"/>
      <c r="F33" s="192">
        <f t="shared" si="2"/>
        <v>0</v>
      </c>
      <c r="G33" s="110"/>
      <c r="H33" s="111"/>
    </row>
    <row r="34" spans="1:8" x14ac:dyDescent="0.25">
      <c r="A34" s="173"/>
      <c r="B34" s="164"/>
      <c r="C34" s="20"/>
      <c r="D34" s="109"/>
      <c r="E34" s="150"/>
      <c r="F34" s="192">
        <f t="shared" si="2"/>
        <v>0</v>
      </c>
      <c r="G34" s="110"/>
      <c r="H34" s="111"/>
    </row>
    <row r="35" spans="1:8" x14ac:dyDescent="0.25">
      <c r="A35" s="173"/>
      <c r="B35" s="164"/>
      <c r="C35" s="20"/>
      <c r="D35" s="109"/>
      <c r="E35" s="150"/>
      <c r="F35" s="192">
        <f t="shared" si="2"/>
        <v>0</v>
      </c>
      <c r="G35" s="110"/>
      <c r="H35" s="111"/>
    </row>
    <row r="36" spans="1:8" x14ac:dyDescent="0.25">
      <c r="A36" s="173"/>
      <c r="B36" s="164"/>
      <c r="C36" s="20"/>
      <c r="D36" s="109"/>
      <c r="E36" s="150"/>
      <c r="F36" s="192">
        <f t="shared" si="2"/>
        <v>0</v>
      </c>
      <c r="G36" s="110"/>
      <c r="H36" s="111"/>
    </row>
    <row r="37" spans="1:8" x14ac:dyDescent="0.25">
      <c r="A37" s="173"/>
      <c r="B37" s="164"/>
      <c r="C37" s="20"/>
      <c r="D37" s="109"/>
      <c r="E37" s="150"/>
      <c r="F37" s="192">
        <f t="shared" si="2"/>
        <v>0</v>
      </c>
      <c r="G37" s="110"/>
      <c r="H37" s="111"/>
    </row>
    <row r="38" spans="1:8" x14ac:dyDescent="0.25">
      <c r="A38" s="173"/>
      <c r="B38" s="164"/>
      <c r="C38" s="20"/>
      <c r="D38" s="109"/>
      <c r="E38" s="150"/>
      <c r="F38" s="192">
        <f t="shared" si="2"/>
        <v>0</v>
      </c>
      <c r="G38" s="110"/>
      <c r="H38" s="111"/>
    </row>
    <row r="39" spans="1:8" x14ac:dyDescent="0.25">
      <c r="A39" s="173"/>
      <c r="B39" s="164"/>
      <c r="C39" s="20"/>
      <c r="D39" s="109"/>
      <c r="E39" s="150"/>
      <c r="F39" s="192">
        <f t="shared" si="2"/>
        <v>0</v>
      </c>
      <c r="G39" s="110"/>
      <c r="H39" s="111"/>
    </row>
    <row r="40" spans="1:8" x14ac:dyDescent="0.25">
      <c r="A40" s="173"/>
      <c r="B40" s="164"/>
      <c r="C40" s="20"/>
      <c r="D40" s="109">
        <f t="shared" ref="D40:D42" si="3">C40*B40</f>
        <v>0</v>
      </c>
      <c r="E40" s="150"/>
      <c r="F40" s="192">
        <f t="shared" si="2"/>
        <v>0</v>
      </c>
      <c r="G40" s="110"/>
      <c r="H40" s="111"/>
    </row>
    <row r="41" spans="1:8" x14ac:dyDescent="0.25">
      <c r="A41" s="173"/>
      <c r="B41" s="164"/>
      <c r="C41" s="20"/>
      <c r="D41" s="109">
        <f t="shared" si="3"/>
        <v>0</v>
      </c>
      <c r="E41" s="150"/>
      <c r="F41" s="192">
        <f t="shared" si="2"/>
        <v>0</v>
      </c>
      <c r="G41" s="110"/>
      <c r="H41" s="111"/>
    </row>
    <row r="42" spans="1:8" x14ac:dyDescent="0.25">
      <c r="A42" s="173"/>
      <c r="B42" s="164"/>
      <c r="C42" s="20"/>
      <c r="D42" s="109">
        <f t="shared" si="3"/>
        <v>0</v>
      </c>
      <c r="E42" s="150"/>
      <c r="F42" s="192">
        <f t="shared" si="2"/>
        <v>0</v>
      </c>
      <c r="G42" s="110"/>
      <c r="H42" s="111"/>
    </row>
    <row r="43" spans="1:8" ht="15.75" thickBot="1" x14ac:dyDescent="0.3">
      <c r="A43" s="228"/>
      <c r="B43" s="174"/>
      <c r="C43" s="48"/>
      <c r="D43" s="437">
        <f>B43*C43</f>
        <v>0</v>
      </c>
      <c r="E43" s="438"/>
      <c r="F43" s="439">
        <f t="shared" si="2"/>
        <v>0</v>
      </c>
      <c r="G43" s="188"/>
      <c r="H43" s="381"/>
    </row>
    <row r="44" spans="1:8" ht="15.75" thickTop="1" x14ac:dyDescent="0.25">
      <c r="A44" s="63">
        <f>SUM(A33:A43)</f>
        <v>0</v>
      </c>
      <c r="B44" s="16"/>
      <c r="C44" s="119">
        <f>SUM(C12:C43)</f>
        <v>18</v>
      </c>
      <c r="D44" s="192">
        <f>SUM(D12:D43)</f>
        <v>16704.04</v>
      </c>
      <c r="E44" s="128"/>
      <c r="F44" s="192">
        <f>SUM(F12:F43)</f>
        <v>16704.04</v>
      </c>
      <c r="G44" s="16"/>
      <c r="H44" s="16"/>
    </row>
    <row r="45" spans="1:8" ht="15.75" thickBot="1" x14ac:dyDescent="0.3">
      <c r="A45" s="160"/>
      <c r="B45"/>
      <c r="C45"/>
      <c r="G45"/>
      <c r="H45"/>
    </row>
    <row r="46" spans="1:8" x14ac:dyDescent="0.25">
      <c r="A46"/>
      <c r="B46" s="6"/>
      <c r="C46"/>
      <c r="D46" s="849" t="s">
        <v>21</v>
      </c>
      <c r="E46" s="850"/>
      <c r="F46" s="272">
        <f>E4+E5-F44+E6+E7+E8+E9+E10</f>
        <v>-1.0000000000786713E-2</v>
      </c>
      <c r="G46"/>
      <c r="H46"/>
    </row>
    <row r="47" spans="1:8" ht="15.75" thickBot="1" x14ac:dyDescent="0.3">
      <c r="A47" s="237"/>
      <c r="B47"/>
      <c r="C47"/>
      <c r="D47" s="517" t="s">
        <v>4</v>
      </c>
      <c r="E47" s="518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topLeftCell="B1" workbookViewId="0">
      <pane ySplit="7" topLeftCell="A8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47" t="s">
        <v>250</v>
      </c>
      <c r="B1" s="847"/>
      <c r="C1" s="847"/>
      <c r="D1" s="847"/>
      <c r="E1" s="847"/>
      <c r="F1" s="847"/>
      <c r="G1" s="847"/>
      <c r="H1" s="14">
        <v>1</v>
      </c>
    </row>
    <row r="2" spans="1:9" ht="15.75" thickBot="1" x14ac:dyDescent="0.3">
      <c r="A2" t="s">
        <v>89</v>
      </c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6"/>
      <c r="F4" s="415"/>
      <c r="G4" s="52"/>
      <c r="H4" s="16"/>
    </row>
    <row r="5" spans="1:9" ht="18.75" x14ac:dyDescent="0.3">
      <c r="A5" s="848" t="s">
        <v>309</v>
      </c>
      <c r="B5" s="620" t="s">
        <v>310</v>
      </c>
      <c r="C5" s="210"/>
      <c r="D5" s="262">
        <v>43447</v>
      </c>
      <c r="E5" s="456">
        <v>44.12</v>
      </c>
      <c r="F5" s="415">
        <v>10</v>
      </c>
      <c r="G5" s="797">
        <f>F29</f>
        <v>44.120000000000005</v>
      </c>
      <c r="H5" s="10">
        <f>E5-G5+E4+E6</f>
        <v>-7.1054273576010019E-15</v>
      </c>
    </row>
    <row r="6" spans="1:9" ht="16.5" thickBot="1" x14ac:dyDescent="0.3">
      <c r="A6" s="848"/>
      <c r="B6" s="445"/>
      <c r="C6" s="245"/>
      <c r="D6" s="17"/>
      <c r="E6" s="457"/>
      <c r="F6" s="415"/>
      <c r="G6" s="792"/>
      <c r="H6"/>
    </row>
    <row r="7" spans="1:9" ht="16.5" thickTop="1" thickBot="1" x14ac:dyDescent="0.3">
      <c r="A7"/>
      <c r="B7" s="460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1"/>
      <c r="C8" s="20">
        <v>1</v>
      </c>
      <c r="D8" s="109">
        <v>5.05</v>
      </c>
      <c r="E8" s="150">
        <v>43455</v>
      </c>
      <c r="F8" s="192">
        <f t="shared" ref="F8:F28" si="0">D8</f>
        <v>5.05</v>
      </c>
      <c r="G8" s="110" t="s">
        <v>607</v>
      </c>
      <c r="H8" s="111">
        <v>590</v>
      </c>
      <c r="I8" s="173">
        <f>E5+E6-F8</f>
        <v>39.07</v>
      </c>
    </row>
    <row r="9" spans="1:9" x14ac:dyDescent="0.25">
      <c r="A9" s="16"/>
      <c r="B9" s="461"/>
      <c r="C9" s="20">
        <v>1</v>
      </c>
      <c r="D9" s="109">
        <v>4.8600000000000003</v>
      </c>
      <c r="E9" s="150">
        <v>43455</v>
      </c>
      <c r="F9" s="192">
        <f t="shared" si="0"/>
        <v>4.8600000000000003</v>
      </c>
      <c r="G9" s="110" t="s">
        <v>607</v>
      </c>
      <c r="H9" s="111">
        <v>640</v>
      </c>
      <c r="I9" s="173">
        <f>I8-F9</f>
        <v>34.21</v>
      </c>
    </row>
    <row r="10" spans="1:9" x14ac:dyDescent="0.25">
      <c r="B10" s="461"/>
      <c r="C10" s="20">
        <v>1</v>
      </c>
      <c r="D10" s="109">
        <v>5.08</v>
      </c>
      <c r="E10" s="150">
        <v>43455</v>
      </c>
      <c r="F10" s="192">
        <f t="shared" si="0"/>
        <v>5.08</v>
      </c>
      <c r="G10" s="110" t="s">
        <v>607</v>
      </c>
      <c r="H10" s="111">
        <v>560</v>
      </c>
      <c r="I10" s="173">
        <f t="shared" ref="I10:I28" si="1">I9-F10</f>
        <v>29.130000000000003</v>
      </c>
    </row>
    <row r="11" spans="1:9" x14ac:dyDescent="0.25">
      <c r="A11" s="141" t="s">
        <v>33</v>
      </c>
      <c r="B11" s="461"/>
      <c r="C11" s="20">
        <v>1</v>
      </c>
      <c r="D11" s="109">
        <v>5.16</v>
      </c>
      <c r="E11" s="150">
        <v>43455</v>
      </c>
      <c r="F11" s="192">
        <f t="shared" si="0"/>
        <v>5.16</v>
      </c>
      <c r="G11" s="110" t="s">
        <v>607</v>
      </c>
      <c r="H11" s="111">
        <v>573</v>
      </c>
      <c r="I11" s="173">
        <f t="shared" si="1"/>
        <v>23.970000000000002</v>
      </c>
    </row>
    <row r="12" spans="1:9" x14ac:dyDescent="0.25">
      <c r="B12" s="461"/>
      <c r="C12" s="20">
        <v>1</v>
      </c>
      <c r="D12" s="109">
        <v>5.0199999999999996</v>
      </c>
      <c r="E12" s="150">
        <v>43455</v>
      </c>
      <c r="F12" s="192">
        <f t="shared" si="0"/>
        <v>5.0199999999999996</v>
      </c>
      <c r="G12" s="110" t="s">
        <v>607</v>
      </c>
      <c r="H12" s="111">
        <v>440</v>
      </c>
      <c r="I12" s="173">
        <f t="shared" si="1"/>
        <v>18.950000000000003</v>
      </c>
    </row>
    <row r="13" spans="1:9" x14ac:dyDescent="0.25">
      <c r="A13" s="170"/>
      <c r="B13" s="461"/>
      <c r="C13" s="20">
        <v>1</v>
      </c>
      <c r="D13" s="109">
        <v>5.01</v>
      </c>
      <c r="E13" s="150">
        <v>43455</v>
      </c>
      <c r="F13" s="192">
        <f t="shared" si="0"/>
        <v>5.01</v>
      </c>
      <c r="G13" s="110" t="s">
        <v>607</v>
      </c>
      <c r="H13" s="111">
        <v>534</v>
      </c>
      <c r="I13" s="173">
        <f t="shared" si="1"/>
        <v>13.940000000000003</v>
      </c>
    </row>
    <row r="14" spans="1:9" x14ac:dyDescent="0.25">
      <c r="A14" s="170"/>
      <c r="B14" s="461"/>
      <c r="C14" s="20">
        <v>1</v>
      </c>
      <c r="D14" s="109">
        <v>5.0199999999999996</v>
      </c>
      <c r="E14" s="150">
        <v>43455</v>
      </c>
      <c r="F14" s="192">
        <f t="shared" si="0"/>
        <v>5.0199999999999996</v>
      </c>
      <c r="G14" s="110" t="s">
        <v>607</v>
      </c>
      <c r="H14" s="111">
        <v>291</v>
      </c>
      <c r="I14" s="173">
        <f t="shared" si="1"/>
        <v>8.9200000000000035</v>
      </c>
    </row>
    <row r="15" spans="1:9" x14ac:dyDescent="0.25">
      <c r="A15" s="170"/>
      <c r="B15" s="461"/>
      <c r="C15" s="20">
        <v>1</v>
      </c>
      <c r="D15" s="109">
        <v>4.84</v>
      </c>
      <c r="E15" s="150">
        <v>43455</v>
      </c>
      <c r="F15" s="192">
        <f t="shared" si="0"/>
        <v>4.84</v>
      </c>
      <c r="G15" s="110" t="s">
        <v>607</v>
      </c>
      <c r="H15" s="111">
        <v>460</v>
      </c>
      <c r="I15" s="173">
        <f t="shared" si="1"/>
        <v>4.0800000000000036</v>
      </c>
    </row>
    <row r="16" spans="1:9" x14ac:dyDescent="0.25">
      <c r="A16" s="170"/>
      <c r="B16" s="461"/>
      <c r="C16" s="20">
        <v>1</v>
      </c>
      <c r="D16" s="109">
        <v>2.14</v>
      </c>
      <c r="E16" s="150">
        <v>43455</v>
      </c>
      <c r="F16" s="192">
        <f t="shared" si="0"/>
        <v>2.14</v>
      </c>
      <c r="G16" s="110" t="s">
        <v>607</v>
      </c>
      <c r="H16" s="111">
        <v>150</v>
      </c>
      <c r="I16" s="173">
        <f t="shared" si="1"/>
        <v>1.9400000000000035</v>
      </c>
    </row>
    <row r="17" spans="1:9" x14ac:dyDescent="0.25">
      <c r="A17" s="170"/>
      <c r="B17" s="461"/>
      <c r="C17" s="20">
        <v>1</v>
      </c>
      <c r="D17" s="109">
        <v>1.94</v>
      </c>
      <c r="E17" s="150">
        <v>43455</v>
      </c>
      <c r="F17" s="192">
        <f t="shared" si="0"/>
        <v>1.94</v>
      </c>
      <c r="G17" s="110" t="s">
        <v>607</v>
      </c>
      <c r="H17" s="111">
        <v>160</v>
      </c>
      <c r="I17" s="173">
        <f t="shared" si="1"/>
        <v>3.5527136788005009E-15</v>
      </c>
    </row>
    <row r="18" spans="1:9" x14ac:dyDescent="0.25">
      <c r="A18" s="170"/>
      <c r="B18" s="461"/>
      <c r="C18" s="20"/>
      <c r="D18" s="109">
        <f t="shared" ref="D18:D27" si="2">C18*B18</f>
        <v>0</v>
      </c>
      <c r="E18" s="150"/>
      <c r="F18" s="192">
        <f t="shared" si="0"/>
        <v>0</v>
      </c>
      <c r="G18" s="110"/>
      <c r="H18" s="111"/>
      <c r="I18" s="173">
        <f t="shared" si="1"/>
        <v>3.5527136788005009E-15</v>
      </c>
    </row>
    <row r="19" spans="1:9" x14ac:dyDescent="0.25">
      <c r="A19" s="170"/>
      <c r="B19" s="461"/>
      <c r="C19" s="20"/>
      <c r="D19" s="109">
        <f t="shared" si="2"/>
        <v>0</v>
      </c>
      <c r="E19" s="150"/>
      <c r="F19" s="192">
        <f t="shared" si="0"/>
        <v>0</v>
      </c>
      <c r="G19" s="110"/>
      <c r="H19" s="111"/>
      <c r="I19" s="173">
        <f t="shared" si="1"/>
        <v>3.5527136788005009E-15</v>
      </c>
    </row>
    <row r="20" spans="1:9" x14ac:dyDescent="0.25">
      <c r="A20" s="170"/>
      <c r="B20" s="461"/>
      <c r="C20" s="20"/>
      <c r="D20" s="109">
        <f t="shared" si="2"/>
        <v>0</v>
      </c>
      <c r="E20" s="150"/>
      <c r="F20" s="192">
        <f t="shared" si="0"/>
        <v>0</v>
      </c>
      <c r="G20" s="110"/>
      <c r="H20" s="111"/>
      <c r="I20" s="173">
        <f t="shared" si="1"/>
        <v>3.5527136788005009E-15</v>
      </c>
    </row>
    <row r="21" spans="1:9" x14ac:dyDescent="0.25">
      <c r="A21" s="170"/>
      <c r="B21" s="461"/>
      <c r="C21" s="20"/>
      <c r="D21" s="109">
        <f t="shared" si="2"/>
        <v>0</v>
      </c>
      <c r="E21" s="150"/>
      <c r="F21" s="192">
        <f t="shared" si="0"/>
        <v>0</v>
      </c>
      <c r="G21" s="110"/>
      <c r="H21" s="111"/>
      <c r="I21" s="173">
        <f t="shared" si="1"/>
        <v>3.5527136788005009E-15</v>
      </c>
    </row>
    <row r="22" spans="1:9" x14ac:dyDescent="0.25">
      <c r="A22" s="170"/>
      <c r="B22" s="461"/>
      <c r="C22" s="20"/>
      <c r="D22" s="109">
        <f t="shared" si="2"/>
        <v>0</v>
      </c>
      <c r="E22" s="150"/>
      <c r="F22" s="192">
        <f t="shared" si="0"/>
        <v>0</v>
      </c>
      <c r="G22" s="110"/>
      <c r="H22" s="111"/>
      <c r="I22" s="173">
        <f t="shared" si="1"/>
        <v>3.5527136788005009E-15</v>
      </c>
    </row>
    <row r="23" spans="1:9" x14ac:dyDescent="0.25">
      <c r="A23" s="170"/>
      <c r="B23" s="461"/>
      <c r="C23" s="20"/>
      <c r="D23" s="109">
        <f t="shared" si="2"/>
        <v>0</v>
      </c>
      <c r="E23" s="150"/>
      <c r="F23" s="192">
        <f t="shared" si="0"/>
        <v>0</v>
      </c>
      <c r="G23" s="110"/>
      <c r="H23" s="111"/>
      <c r="I23" s="173">
        <f t="shared" si="1"/>
        <v>3.5527136788005009E-15</v>
      </c>
    </row>
    <row r="24" spans="1:9" x14ac:dyDescent="0.25">
      <c r="A24" s="170"/>
      <c r="B24" s="461"/>
      <c r="C24" s="20"/>
      <c r="D24" s="109">
        <f t="shared" si="2"/>
        <v>0</v>
      </c>
      <c r="E24" s="150"/>
      <c r="F24" s="192">
        <f t="shared" si="0"/>
        <v>0</v>
      </c>
      <c r="G24" s="110"/>
      <c r="H24" s="111"/>
      <c r="I24" s="173">
        <f t="shared" si="1"/>
        <v>3.5527136788005009E-15</v>
      </c>
    </row>
    <row r="25" spans="1:9" x14ac:dyDescent="0.25">
      <c r="A25" s="170"/>
      <c r="B25" s="461"/>
      <c r="C25" s="20"/>
      <c r="D25" s="109">
        <f t="shared" si="2"/>
        <v>0</v>
      </c>
      <c r="E25" s="150"/>
      <c r="F25" s="192">
        <f t="shared" si="0"/>
        <v>0</v>
      </c>
      <c r="G25" s="110"/>
      <c r="H25" s="111"/>
      <c r="I25" s="173">
        <f t="shared" si="1"/>
        <v>3.5527136788005009E-15</v>
      </c>
    </row>
    <row r="26" spans="1:9" x14ac:dyDescent="0.25">
      <c r="A26" s="170"/>
      <c r="B26" s="461"/>
      <c r="C26" s="20"/>
      <c r="D26" s="109">
        <f t="shared" si="2"/>
        <v>0</v>
      </c>
      <c r="E26" s="150"/>
      <c r="F26" s="192">
        <f t="shared" si="0"/>
        <v>0</v>
      </c>
      <c r="G26" s="110"/>
      <c r="H26" s="111"/>
      <c r="I26" s="173">
        <f t="shared" si="1"/>
        <v>3.5527136788005009E-15</v>
      </c>
    </row>
    <row r="27" spans="1:9" x14ac:dyDescent="0.25">
      <c r="B27" s="461"/>
      <c r="C27" s="20"/>
      <c r="D27" s="109">
        <f t="shared" si="2"/>
        <v>0</v>
      </c>
      <c r="E27" s="150"/>
      <c r="F27" s="192">
        <f t="shared" si="0"/>
        <v>0</v>
      </c>
      <c r="G27" s="110"/>
      <c r="H27" s="111"/>
      <c r="I27" s="173">
        <f t="shared" si="1"/>
        <v>3.5527136788005009E-15</v>
      </c>
    </row>
    <row r="28" spans="1:9" ht="15.75" thickBot="1" x14ac:dyDescent="0.3">
      <c r="A28" s="228"/>
      <c r="B28" s="461"/>
      <c r="C28" s="48"/>
      <c r="D28" s="573">
        <f>B28*C28</f>
        <v>0</v>
      </c>
      <c r="E28" s="574"/>
      <c r="F28" s="575">
        <f t="shared" si="0"/>
        <v>0</v>
      </c>
      <c r="G28" s="269"/>
      <c r="H28" s="576"/>
      <c r="I28" s="173">
        <f t="shared" si="1"/>
        <v>3.5527136788005009E-15</v>
      </c>
    </row>
    <row r="29" spans="1:9" ht="15.75" thickTop="1" x14ac:dyDescent="0.25">
      <c r="A29" s="63">
        <f>SUM(A28:A28)</f>
        <v>0</v>
      </c>
      <c r="B29" s="119"/>
      <c r="C29" s="119">
        <f>SUM(C8:C28)</f>
        <v>10</v>
      </c>
      <c r="D29" s="192">
        <f>SUM(D8:D28)</f>
        <v>44.120000000000005</v>
      </c>
      <c r="E29" s="128"/>
      <c r="F29" s="192">
        <f>SUM(F8:F28)</f>
        <v>44.120000000000005</v>
      </c>
      <c r="G29" s="309"/>
      <c r="H29" s="309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3"/>
      <c r="C31"/>
      <c r="D31" s="849" t="s">
        <v>21</v>
      </c>
      <c r="E31" s="850"/>
      <c r="F31" s="272">
        <f>E4+E5-F29+E6</f>
        <v>-7.1054273576010019E-15</v>
      </c>
      <c r="G31"/>
      <c r="H31"/>
    </row>
    <row r="32" spans="1:9" ht="15.75" thickBot="1" x14ac:dyDescent="0.3">
      <c r="A32" s="237"/>
      <c r="B32" s="277"/>
      <c r="C32"/>
      <c r="D32" s="611" t="s">
        <v>4</v>
      </c>
      <c r="E32" s="612"/>
      <c r="F32" s="66">
        <f>F4+F5-C29+F6</f>
        <v>0</v>
      </c>
      <c r="G32"/>
      <c r="H32"/>
    </row>
    <row r="33" spans="1:8" x14ac:dyDescent="0.25">
      <c r="A33"/>
      <c r="B33" s="463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CONTRA   SWIFT     </vt:lpstr>
      <vt:lpstr>CONTRA EXCEL  </vt:lpstr>
      <vt:lpstr>CORBATA SMITHFIELD</vt:lpstr>
      <vt:lpstr>BUCHE  SEABOARD   </vt:lpstr>
      <vt:lpstr>ARRACHERA     </vt:lpstr>
      <vt:lpstr>CUERO PANCETA </vt:lpstr>
      <vt:lpstr>CORTES VARIOS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CABEZA DE CERDO    </vt:lpstr>
      <vt:lpstr>LENGUA DE  CERDO    </vt:lpstr>
      <vt:lpstr>LOMO DE CAÑA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2018-09-06T20:56:50Z</cp:lastPrinted>
  <dcterms:created xsi:type="dcterms:W3CDTF">2008-07-31T16:59:13Z</dcterms:created>
  <dcterms:modified xsi:type="dcterms:W3CDTF">2019-02-06T15:37:49Z</dcterms:modified>
</cp:coreProperties>
</file>