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8093D3D3-3F36-426C-BDC4-14B09485A7DB}" xr6:coauthVersionLast="41" xr6:coauthVersionMax="41" xr10:uidLastSave="{00000000-0000-0000-0000-000000000000}"/>
  <bookViews>
    <workbookView xWindow="-120" yWindow="-120" windowWidth="24240" windowHeight="13140" activeTab="2" xr2:uid="{EAA6B6EC-3FCB-45C6-A727-41E5B05472F2}"/>
  </bookViews>
  <sheets>
    <sheet name="enero" sheetId="1" r:id="rId1"/>
    <sheet name="febrero" sheetId="8" r:id="rId2"/>
    <sheet name="marzo" sheetId="10" r:id="rId3"/>
    <sheet name="abril" sheetId="11" r:id="rId4"/>
    <sheet name="pagos" sheetId="2" r:id="rId5"/>
    <sheet name="cierres" sheetId="3" r:id="rId6"/>
    <sheet name="Seaboard" sheetId="4" r:id="rId7"/>
    <sheet name="Tyson" sheetId="5" r:id="rId8"/>
    <sheet name="smithfield" sheetId="9" r:id="rId9"/>
    <sheet name="Proledo" sheetId="6" r:id="rId10"/>
    <sheet name="Zavaleta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0" i="2" l="1"/>
  <c r="C399" i="2"/>
  <c r="C398" i="2"/>
  <c r="C386" i="2" l="1"/>
  <c r="C397" i="2"/>
  <c r="C396" i="2"/>
  <c r="C393" i="2"/>
  <c r="C392" i="2"/>
  <c r="C391" i="2"/>
  <c r="X83" i="10"/>
  <c r="Y83" i="10"/>
  <c r="Z83" i="10" s="1"/>
  <c r="H83" i="10"/>
  <c r="F85" i="10"/>
  <c r="C1792" i="6"/>
  <c r="P13" i="11" l="1"/>
  <c r="P10" i="11"/>
  <c r="C376" i="2"/>
  <c r="C370" i="2"/>
  <c r="C372" i="2"/>
  <c r="Q96" i="10" l="1"/>
  <c r="Q95" i="10"/>
  <c r="Q94" i="10"/>
  <c r="Q93" i="10"/>
  <c r="Q92" i="10"/>
  <c r="F96" i="10" l="1"/>
  <c r="F95" i="10"/>
  <c r="F94" i="10"/>
  <c r="F93" i="10"/>
  <c r="F92" i="10"/>
  <c r="F5" i="11"/>
  <c r="P6" i="11" l="1"/>
  <c r="P5" i="11"/>
  <c r="B1792" i="6"/>
  <c r="E1792" i="6" l="1"/>
  <c r="G87" i="10" l="1"/>
  <c r="J87" i="10"/>
  <c r="C1779" i="6"/>
  <c r="B1779" i="6"/>
  <c r="C367" i="2"/>
  <c r="P7" i="11"/>
  <c r="C1776" i="6"/>
  <c r="E1776" i="6" s="1"/>
  <c r="B1776" i="6"/>
  <c r="H210" i="5"/>
  <c r="H211" i="5"/>
  <c r="H212" i="5"/>
  <c r="H213" i="5"/>
  <c r="H214" i="5"/>
  <c r="H215" i="5"/>
  <c r="H216" i="5"/>
  <c r="J84" i="10"/>
  <c r="G84" i="10"/>
  <c r="H77" i="11"/>
  <c r="R77" i="11"/>
  <c r="X77" i="11" s="1"/>
  <c r="T77" i="11" s="1"/>
  <c r="Y77" i="11" s="1"/>
  <c r="Z77" i="11" s="1"/>
  <c r="R86" i="11"/>
  <c r="H86" i="11"/>
  <c r="U85" i="11"/>
  <c r="S85" i="11"/>
  <c r="Y85" i="11" s="1"/>
  <c r="Z85" i="11" s="1"/>
  <c r="R85" i="11"/>
  <c r="X85" i="11" s="1"/>
  <c r="T85" i="11" s="1"/>
  <c r="H85" i="11"/>
  <c r="U84" i="11"/>
  <c r="S84" i="11"/>
  <c r="Y84" i="11" s="1"/>
  <c r="Z84" i="11" s="1"/>
  <c r="R84" i="11"/>
  <c r="X84" i="11" s="1"/>
  <c r="T84" i="11" s="1"/>
  <c r="H84" i="11"/>
  <c r="R83" i="11"/>
  <c r="X83" i="11" s="1"/>
  <c r="T83" i="11" s="1"/>
  <c r="Y83" i="11" s="1"/>
  <c r="Z83" i="11" s="1"/>
  <c r="H83" i="11"/>
  <c r="R82" i="11"/>
  <c r="H82" i="11"/>
  <c r="U81" i="11"/>
  <c r="S81" i="11"/>
  <c r="Y81" i="11" s="1"/>
  <c r="Z81" i="11" s="1"/>
  <c r="R81" i="11"/>
  <c r="X81" i="11" s="1"/>
  <c r="T81" i="11" s="1"/>
  <c r="H81" i="11"/>
  <c r="U80" i="11"/>
  <c r="S80" i="11"/>
  <c r="R80" i="11"/>
  <c r="X80" i="11" s="1"/>
  <c r="T80" i="11" s="1"/>
  <c r="Y80" i="11" s="1"/>
  <c r="Z80" i="11" s="1"/>
  <c r="H80" i="11"/>
  <c r="R79" i="11"/>
  <c r="X79" i="11" s="1"/>
  <c r="T79" i="11" s="1"/>
  <c r="Y79" i="11" s="1"/>
  <c r="Z79" i="11" s="1"/>
  <c r="H79" i="11"/>
  <c r="U78" i="11"/>
  <c r="S78" i="11"/>
  <c r="R78" i="11"/>
  <c r="H78" i="11"/>
  <c r="X76" i="11"/>
  <c r="T76" i="11"/>
  <c r="R76" i="11"/>
  <c r="Y76" i="11" s="1"/>
  <c r="Z76" i="11" s="1"/>
  <c r="H76" i="11"/>
  <c r="U75" i="11"/>
  <c r="S75" i="11"/>
  <c r="R75" i="11"/>
  <c r="X75" i="11" s="1"/>
  <c r="T75" i="11" s="1"/>
  <c r="H75" i="11"/>
  <c r="R74" i="11"/>
  <c r="X74" i="11" s="1"/>
  <c r="T74" i="11" s="1"/>
  <c r="Y74" i="11" s="1"/>
  <c r="Z74" i="11" s="1"/>
  <c r="H74" i="11"/>
  <c r="X73" i="11"/>
  <c r="T73" i="11"/>
  <c r="R73" i="11"/>
  <c r="Y73" i="11" s="1"/>
  <c r="Z73" i="11" s="1"/>
  <c r="H73" i="11"/>
  <c r="U72" i="11"/>
  <c r="S72" i="11"/>
  <c r="R72" i="11"/>
  <c r="X72" i="11" s="1"/>
  <c r="T72" i="11" s="1"/>
  <c r="Y72" i="11" s="1"/>
  <c r="Z72" i="11" s="1"/>
  <c r="H72" i="11"/>
  <c r="U71" i="11"/>
  <c r="S71" i="11"/>
  <c r="R71" i="11"/>
  <c r="X71" i="11" s="1"/>
  <c r="T71" i="11" s="1"/>
  <c r="Y71" i="11" s="1"/>
  <c r="Z71" i="11" s="1"/>
  <c r="H71" i="11"/>
  <c r="U70" i="11"/>
  <c r="S70" i="11"/>
  <c r="Y70" i="11" s="1"/>
  <c r="Z70" i="11" s="1"/>
  <c r="R70" i="11"/>
  <c r="X70" i="11" s="1"/>
  <c r="T70" i="11" s="1"/>
  <c r="H70" i="11"/>
  <c r="H45" i="11"/>
  <c r="R45" i="11"/>
  <c r="R68" i="11"/>
  <c r="X68" i="11" s="1"/>
  <c r="T68" i="11" s="1"/>
  <c r="Y68" i="11" s="1"/>
  <c r="Z68" i="11" s="1"/>
  <c r="H68" i="11"/>
  <c r="U67" i="11"/>
  <c r="S67" i="11"/>
  <c r="R67" i="11"/>
  <c r="H67" i="11"/>
  <c r="U66" i="11"/>
  <c r="S66" i="11"/>
  <c r="R66" i="11"/>
  <c r="H66" i="11"/>
  <c r="R65" i="11"/>
  <c r="X65" i="11" s="1"/>
  <c r="T65" i="11" s="1"/>
  <c r="Y65" i="11" s="1"/>
  <c r="Z65" i="11" s="1"/>
  <c r="H65" i="11"/>
  <c r="R64" i="11"/>
  <c r="X64" i="11" s="1"/>
  <c r="T64" i="11" s="1"/>
  <c r="Y64" i="11" s="1"/>
  <c r="Z64" i="11" s="1"/>
  <c r="H64" i="11"/>
  <c r="U63" i="11"/>
  <c r="S63" i="11"/>
  <c r="R63" i="11"/>
  <c r="H63" i="11"/>
  <c r="U62" i="11"/>
  <c r="S62" i="11"/>
  <c r="R62" i="11"/>
  <c r="H62" i="11"/>
  <c r="R61" i="11"/>
  <c r="X61" i="11" s="1"/>
  <c r="T61" i="11" s="1"/>
  <c r="Y61" i="11" s="1"/>
  <c r="Z61" i="11" s="1"/>
  <c r="H61" i="11"/>
  <c r="U60" i="11"/>
  <c r="S60" i="11"/>
  <c r="R60" i="11"/>
  <c r="H60" i="11"/>
  <c r="X59" i="11"/>
  <c r="T59" i="11" s="1"/>
  <c r="Y59" i="11" s="1"/>
  <c r="Z59" i="11" s="1"/>
  <c r="R59" i="11"/>
  <c r="H59" i="11"/>
  <c r="U58" i="11"/>
  <c r="S58" i="11"/>
  <c r="R58" i="11"/>
  <c r="H58" i="11"/>
  <c r="R57" i="11"/>
  <c r="X57" i="11" s="1"/>
  <c r="T57" i="11" s="1"/>
  <c r="Y57" i="11" s="1"/>
  <c r="Z57" i="11" s="1"/>
  <c r="H57" i="11"/>
  <c r="R56" i="11"/>
  <c r="X56" i="11" s="1"/>
  <c r="T56" i="11" s="1"/>
  <c r="Y56" i="11" s="1"/>
  <c r="Z56" i="11" s="1"/>
  <c r="H56" i="11"/>
  <c r="U55" i="11"/>
  <c r="S55" i="11"/>
  <c r="R55" i="11"/>
  <c r="H55" i="11"/>
  <c r="U54" i="11"/>
  <c r="S54" i="11"/>
  <c r="R54" i="11"/>
  <c r="H54" i="11"/>
  <c r="U53" i="11"/>
  <c r="S53" i="11"/>
  <c r="R53" i="11"/>
  <c r="H53" i="11"/>
  <c r="R51" i="11"/>
  <c r="X51" i="11" s="1"/>
  <c r="T51" i="11" s="1"/>
  <c r="Y51" i="11" s="1"/>
  <c r="Z51" i="11" s="1"/>
  <c r="H51" i="11"/>
  <c r="R41" i="11"/>
  <c r="X41" i="11" s="1"/>
  <c r="T41" i="11" s="1"/>
  <c r="Y41" i="11" s="1"/>
  <c r="Z41" i="11" s="1"/>
  <c r="H41" i="11"/>
  <c r="R43" i="11"/>
  <c r="X43" i="11" s="1"/>
  <c r="T43" i="11" s="1"/>
  <c r="Y43" i="11" s="1"/>
  <c r="Z43" i="11" s="1"/>
  <c r="H43" i="11"/>
  <c r="U49" i="11"/>
  <c r="S49" i="11"/>
  <c r="R49" i="11"/>
  <c r="H49" i="11"/>
  <c r="U48" i="11"/>
  <c r="S48" i="11"/>
  <c r="R48" i="11"/>
  <c r="H48" i="11"/>
  <c r="R47" i="11"/>
  <c r="X47" i="11" s="1"/>
  <c r="T47" i="11" s="1"/>
  <c r="Y47" i="11" s="1"/>
  <c r="Z47" i="11" s="1"/>
  <c r="H47" i="11"/>
  <c r="U46" i="11"/>
  <c r="S46" i="11"/>
  <c r="R46" i="11"/>
  <c r="H46" i="11"/>
  <c r="R44" i="11"/>
  <c r="X44" i="11" s="1"/>
  <c r="T44" i="11" s="1"/>
  <c r="Y44" i="11" s="1"/>
  <c r="Z44" i="11" s="1"/>
  <c r="H44" i="11"/>
  <c r="U42" i="11"/>
  <c r="S42" i="11"/>
  <c r="R42" i="11"/>
  <c r="H42" i="11"/>
  <c r="R40" i="11"/>
  <c r="X40" i="11" s="1"/>
  <c r="T40" i="11" s="1"/>
  <c r="H40" i="11"/>
  <c r="R39" i="11"/>
  <c r="X39" i="11" s="1"/>
  <c r="T39" i="11" s="1"/>
  <c r="Y39" i="11" s="1"/>
  <c r="Z39" i="11" s="1"/>
  <c r="H39" i="11"/>
  <c r="U38" i="11"/>
  <c r="S38" i="11"/>
  <c r="R38" i="11"/>
  <c r="H38" i="11"/>
  <c r="U37" i="11"/>
  <c r="S37" i="11"/>
  <c r="R37" i="11"/>
  <c r="H37" i="11"/>
  <c r="U36" i="11"/>
  <c r="S36" i="11"/>
  <c r="R36" i="11"/>
  <c r="H36" i="11"/>
  <c r="H14" i="11"/>
  <c r="R14" i="11"/>
  <c r="X14" i="11" s="1"/>
  <c r="T14" i="11" s="1"/>
  <c r="Y14" i="11" s="1"/>
  <c r="Z14" i="11" s="1"/>
  <c r="E1779" i="6" l="1"/>
  <c r="Y75" i="11"/>
  <c r="Z75" i="11" s="1"/>
  <c r="Y82" i="11"/>
  <c r="Z82" i="11" s="1"/>
  <c r="Y86" i="11"/>
  <c r="Z86" i="11" s="1"/>
  <c r="X78" i="11"/>
  <c r="T78" i="11" s="1"/>
  <c r="Y78" i="11" s="1"/>
  <c r="Z78" i="11" s="1"/>
  <c r="X82" i="11"/>
  <c r="T82" i="11" s="1"/>
  <c r="X86" i="11"/>
  <c r="T86" i="11" s="1"/>
  <c r="X45" i="11"/>
  <c r="T45" i="11" s="1"/>
  <c r="Y45" i="11" s="1"/>
  <c r="Z45" i="11" s="1"/>
  <c r="Y40" i="11"/>
  <c r="Z40" i="11" s="1"/>
  <c r="X58" i="11"/>
  <c r="T58" i="11" s="1"/>
  <c r="X66" i="11"/>
  <c r="T66" i="11" s="1"/>
  <c r="Y66" i="11" s="1"/>
  <c r="Z66" i="11" s="1"/>
  <c r="X67" i="11"/>
  <c r="T67" i="11" s="1"/>
  <c r="Y67" i="11" s="1"/>
  <c r="Z67" i="11" s="1"/>
  <c r="X36" i="11"/>
  <c r="T36" i="11" s="1"/>
  <c r="Y36" i="11" s="1"/>
  <c r="Z36" i="11" s="1"/>
  <c r="X37" i="11"/>
  <c r="T37" i="11" s="1"/>
  <c r="X38" i="11"/>
  <c r="T38" i="11" s="1"/>
  <c r="X46" i="11"/>
  <c r="T46" i="11" s="1"/>
  <c r="Y46" i="11" s="1"/>
  <c r="Z46" i="11" s="1"/>
  <c r="X53" i="11"/>
  <c r="T53" i="11" s="1"/>
  <c r="Y53" i="11" s="1"/>
  <c r="Z53" i="11" s="1"/>
  <c r="X54" i="11"/>
  <c r="T54" i="11" s="1"/>
  <c r="Y54" i="11" s="1"/>
  <c r="Z54" i="11" s="1"/>
  <c r="X55" i="11"/>
  <c r="T55" i="11" s="1"/>
  <c r="Y55" i="11" s="1"/>
  <c r="Z55" i="11" s="1"/>
  <c r="X62" i="11"/>
  <c r="T62" i="11" s="1"/>
  <c r="Y62" i="11" s="1"/>
  <c r="Z62" i="11" s="1"/>
  <c r="X63" i="11"/>
  <c r="T63" i="11" s="1"/>
  <c r="Y63" i="11" s="1"/>
  <c r="Z63" i="11" s="1"/>
  <c r="Y58" i="11"/>
  <c r="Z58" i="11" s="1"/>
  <c r="X60" i="11"/>
  <c r="T60" i="11" s="1"/>
  <c r="Y60" i="11" s="1"/>
  <c r="Z60" i="11" s="1"/>
  <c r="X42" i="11"/>
  <c r="T42" i="11" s="1"/>
  <c r="Y42" i="11" s="1"/>
  <c r="Z42" i="11" s="1"/>
  <c r="X48" i="11"/>
  <c r="T48" i="11" s="1"/>
  <c r="Y48" i="11" s="1"/>
  <c r="Z48" i="11" s="1"/>
  <c r="X49" i="11"/>
  <c r="T49" i="11" s="1"/>
  <c r="Y49" i="11" s="1"/>
  <c r="Z49" i="11" s="1"/>
  <c r="Y37" i="11"/>
  <c r="Z37" i="11" s="1"/>
  <c r="Y38" i="11"/>
  <c r="Z38" i="11" s="1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F89" i="10"/>
  <c r="F88" i="10"/>
  <c r="P99" i="10" l="1"/>
  <c r="C382" i="2" l="1"/>
  <c r="G79" i="10"/>
  <c r="C360" i="2" l="1"/>
  <c r="C1773" i="6" l="1"/>
  <c r="B1773" i="6"/>
  <c r="E1773" i="6" l="1"/>
  <c r="F81" i="10" l="1"/>
  <c r="C1769" i="6" l="1"/>
  <c r="E1769" i="6" s="1"/>
  <c r="B1769" i="6"/>
  <c r="C385" i="2"/>
  <c r="C384" i="2"/>
  <c r="C383" i="2"/>
  <c r="F72" i="10"/>
  <c r="F71" i="10"/>
  <c r="C364" i="2"/>
  <c r="C371" i="2" l="1"/>
  <c r="C363" i="2"/>
  <c r="C350" i="2"/>
  <c r="C359" i="2"/>
  <c r="F86" i="10"/>
  <c r="F80" i="10"/>
  <c r="F82" i="10"/>
  <c r="P86" i="10"/>
  <c r="P89" i="10" l="1"/>
  <c r="P88" i="10"/>
  <c r="B1765" i="6"/>
  <c r="C1765" i="6"/>
  <c r="F75" i="10" l="1"/>
  <c r="C351" i="2"/>
  <c r="P85" i="10"/>
  <c r="P81" i="10"/>
  <c r="P80" i="10"/>
  <c r="B1756" i="6" l="1"/>
  <c r="C1756" i="6"/>
  <c r="E1756" i="6" s="1"/>
  <c r="X53" i="10"/>
  <c r="Y53" i="10"/>
  <c r="Z53" i="10" s="1"/>
  <c r="H53" i="10"/>
  <c r="X39" i="10"/>
  <c r="Y39" i="10"/>
  <c r="F39" i="10"/>
  <c r="H39" i="10" s="1"/>
  <c r="F27" i="10"/>
  <c r="H27" i="10" s="1"/>
  <c r="X27" i="10"/>
  <c r="Y27" i="10"/>
  <c r="Z39" i="10" l="1"/>
  <c r="Z27" i="10"/>
  <c r="H51" i="10"/>
  <c r="X51" i="10"/>
  <c r="Y51" i="10"/>
  <c r="Z51" i="10" s="1"/>
  <c r="C381" i="2"/>
  <c r="C380" i="2"/>
  <c r="C379" i="2"/>
  <c r="C378" i="2"/>
  <c r="X63" i="10" l="1"/>
  <c r="Y63" i="10"/>
  <c r="Z63" i="10" s="1"/>
  <c r="X64" i="10"/>
  <c r="Y64" i="10"/>
  <c r="Z64" i="10" s="1"/>
  <c r="X65" i="10"/>
  <c r="Y65" i="10"/>
  <c r="Z65" i="10" s="1"/>
  <c r="X66" i="10"/>
  <c r="Y66" i="10"/>
  <c r="Z66" i="10" s="1"/>
  <c r="H63" i="10"/>
  <c r="H64" i="10"/>
  <c r="H65" i="10"/>
  <c r="H66" i="10"/>
  <c r="G67" i="10" l="1"/>
  <c r="H67" i="10" s="1"/>
  <c r="C368" i="2" l="1"/>
  <c r="C366" i="2"/>
  <c r="C365" i="2"/>
  <c r="C362" i="2"/>
  <c r="C361" i="2"/>
  <c r="H92" i="10"/>
  <c r="X92" i="10"/>
  <c r="T92" i="10" s="1"/>
  <c r="Y92" i="10" s="1"/>
  <c r="Z92" i="10" s="1"/>
  <c r="X89" i="10"/>
  <c r="T89" i="10" s="1"/>
  <c r="Y89" i="10" s="1"/>
  <c r="Z89" i="10" s="1"/>
  <c r="H89" i="10"/>
  <c r="P82" i="10"/>
  <c r="G59" i="10"/>
  <c r="C346" i="2" l="1"/>
  <c r="C342" i="2"/>
  <c r="F68" i="10"/>
  <c r="P75" i="10" l="1"/>
  <c r="C291" i="2" l="1"/>
  <c r="G58" i="10" l="1"/>
  <c r="B1750" i="6"/>
  <c r="E1750" i="6" s="1"/>
  <c r="C1750" i="6"/>
  <c r="C345" i="2"/>
  <c r="F60" i="10"/>
  <c r="F61" i="10"/>
  <c r="F62" i="10"/>
  <c r="P72" i="10"/>
  <c r="H307" i="4" l="1"/>
  <c r="H308" i="4"/>
  <c r="H309" i="4"/>
  <c r="C330" i="2"/>
  <c r="C336" i="2"/>
  <c r="C337" i="2"/>
  <c r="C331" i="2"/>
  <c r="X96" i="10" l="1"/>
  <c r="T96" i="10" s="1"/>
  <c r="Y96" i="10" s="1"/>
  <c r="Z96" i="10" s="1"/>
  <c r="X95" i="10"/>
  <c r="T95" i="10" s="1"/>
  <c r="Y95" i="10" s="1"/>
  <c r="Z95" i="10" s="1"/>
  <c r="X94" i="10"/>
  <c r="T94" i="10" s="1"/>
  <c r="Y94" i="10" s="1"/>
  <c r="Z94" i="10" s="1"/>
  <c r="X93" i="10"/>
  <c r="T93" i="10" s="1"/>
  <c r="Y93" i="10" s="1"/>
  <c r="Z93" i="10" s="1"/>
  <c r="H93" i="10"/>
  <c r="H94" i="10"/>
  <c r="H95" i="10"/>
  <c r="H96" i="10"/>
  <c r="H80" i="10"/>
  <c r="P71" i="10" l="1"/>
  <c r="P68" i="10"/>
  <c r="C329" i="2"/>
  <c r="F47" i="10"/>
  <c r="C1747" i="6" l="1"/>
  <c r="E1747" i="6" s="1"/>
  <c r="B1747" i="6"/>
  <c r="F48" i="10" l="1"/>
  <c r="F52" i="10"/>
  <c r="F54" i="10"/>
  <c r="C321" i="2" l="1"/>
  <c r="B205" i="5"/>
  <c r="P61" i="10"/>
  <c r="P62" i="10"/>
  <c r="P60" i="10"/>
  <c r="C319" i="2"/>
  <c r="G41" i="10" l="1"/>
  <c r="E1741" i="6" l="1"/>
  <c r="B1741" i="6"/>
  <c r="C1741" i="6"/>
  <c r="F44" i="10"/>
  <c r="F43" i="10"/>
  <c r="F42" i="10"/>
  <c r="C323" i="2" l="1"/>
  <c r="G38" i="10"/>
  <c r="P52" i="10" l="1"/>
  <c r="B1736" i="6"/>
  <c r="C1736" i="6"/>
  <c r="E1736" i="6" s="1"/>
  <c r="C358" i="2"/>
  <c r="C354" i="2"/>
  <c r="C353" i="2"/>
  <c r="E35" i="10"/>
  <c r="G35" i="10"/>
  <c r="C317" i="2" l="1"/>
  <c r="C312" i="2"/>
  <c r="P54" i="10"/>
  <c r="P48" i="10"/>
  <c r="C344" i="2" l="1"/>
  <c r="C1728" i="6"/>
  <c r="B1728" i="6"/>
  <c r="C341" i="2"/>
  <c r="C340" i="2"/>
  <c r="C339" i="2"/>
  <c r="C286" i="2"/>
  <c r="F40" i="10"/>
  <c r="C314" i="2"/>
  <c r="G34" i="10"/>
  <c r="F34" i="10"/>
  <c r="E34" i="10"/>
  <c r="X32" i="10"/>
  <c r="Y32" i="10"/>
  <c r="Z32" i="10" s="1"/>
  <c r="H32" i="10"/>
  <c r="F37" i="10"/>
  <c r="C302" i="2"/>
  <c r="C310" i="2"/>
  <c r="E1728" i="6" l="1"/>
  <c r="F36" i="10"/>
  <c r="R34" i="11" l="1"/>
  <c r="X34" i="11" s="1"/>
  <c r="T34" i="11" s="1"/>
  <c r="Y34" i="11" s="1"/>
  <c r="Z34" i="11" s="1"/>
  <c r="H34" i="11"/>
  <c r="U33" i="11"/>
  <c r="S33" i="11"/>
  <c r="R33" i="11"/>
  <c r="H33" i="11"/>
  <c r="U32" i="11"/>
  <c r="S32" i="11"/>
  <c r="R32" i="11"/>
  <c r="H32" i="11"/>
  <c r="R30" i="11"/>
  <c r="X30" i="11" s="1"/>
  <c r="T30" i="11" s="1"/>
  <c r="H30" i="11"/>
  <c r="U29" i="11"/>
  <c r="S29" i="11"/>
  <c r="R29" i="11"/>
  <c r="H29" i="11"/>
  <c r="U28" i="11"/>
  <c r="S28" i="11"/>
  <c r="R28" i="11"/>
  <c r="H28" i="11"/>
  <c r="R27" i="11"/>
  <c r="X27" i="11" s="1"/>
  <c r="T27" i="11" s="1"/>
  <c r="Y27" i="11" s="1"/>
  <c r="Z27" i="11" s="1"/>
  <c r="H27" i="11"/>
  <c r="U26" i="11"/>
  <c r="S26" i="11"/>
  <c r="R26" i="11"/>
  <c r="H26" i="11"/>
  <c r="R25" i="11"/>
  <c r="X25" i="11" s="1"/>
  <c r="T25" i="11" s="1"/>
  <c r="H25" i="11"/>
  <c r="U24" i="11"/>
  <c r="S24" i="11"/>
  <c r="R24" i="11"/>
  <c r="H24" i="11"/>
  <c r="R31" i="11"/>
  <c r="X31" i="11" s="1"/>
  <c r="T31" i="11" s="1"/>
  <c r="Y31" i="11" s="1"/>
  <c r="Z31" i="11" s="1"/>
  <c r="H31" i="11"/>
  <c r="R23" i="11"/>
  <c r="X23" i="11" s="1"/>
  <c r="T23" i="11" s="1"/>
  <c r="H23" i="11"/>
  <c r="R22" i="11"/>
  <c r="X22" i="11" s="1"/>
  <c r="T22" i="11" s="1"/>
  <c r="Y22" i="11" s="1"/>
  <c r="Z22" i="11" s="1"/>
  <c r="H22" i="11"/>
  <c r="U21" i="11"/>
  <c r="S21" i="11"/>
  <c r="R21" i="11"/>
  <c r="H21" i="11"/>
  <c r="U20" i="11"/>
  <c r="S20" i="11"/>
  <c r="R20" i="11"/>
  <c r="H20" i="11"/>
  <c r="U19" i="11"/>
  <c r="S19" i="11"/>
  <c r="R19" i="11"/>
  <c r="H19" i="11"/>
  <c r="R17" i="11"/>
  <c r="H17" i="11"/>
  <c r="U16" i="11"/>
  <c r="S16" i="11"/>
  <c r="R16" i="11"/>
  <c r="H16" i="11"/>
  <c r="U15" i="11"/>
  <c r="S15" i="11"/>
  <c r="R15" i="11"/>
  <c r="H15" i="11"/>
  <c r="R13" i="11"/>
  <c r="X13" i="11" s="1"/>
  <c r="T13" i="11" s="1"/>
  <c r="H13" i="11"/>
  <c r="U12" i="11"/>
  <c r="S12" i="11"/>
  <c r="R12" i="11"/>
  <c r="H12" i="11"/>
  <c r="U11" i="11"/>
  <c r="S11" i="11"/>
  <c r="R11" i="11"/>
  <c r="H11" i="11"/>
  <c r="R10" i="11"/>
  <c r="H10" i="11"/>
  <c r="U9" i="11"/>
  <c r="S9" i="11"/>
  <c r="R9" i="11"/>
  <c r="H9" i="11"/>
  <c r="U8" i="11"/>
  <c r="S8" i="11"/>
  <c r="R8" i="11"/>
  <c r="H8" i="11"/>
  <c r="R7" i="11"/>
  <c r="H7" i="11"/>
  <c r="R6" i="11"/>
  <c r="X6" i="11" s="1"/>
  <c r="T6" i="11" s="1"/>
  <c r="H6" i="11"/>
  <c r="R5" i="11"/>
  <c r="H5" i="11"/>
  <c r="U4" i="11"/>
  <c r="S4" i="11"/>
  <c r="R4" i="11"/>
  <c r="H4" i="11"/>
  <c r="U102" i="10"/>
  <c r="S102" i="10"/>
  <c r="R102" i="10"/>
  <c r="H102" i="10"/>
  <c r="U101" i="10"/>
  <c r="S101" i="10"/>
  <c r="R101" i="10"/>
  <c r="H101" i="10"/>
  <c r="X15" i="11" l="1"/>
  <c r="T15" i="11" s="1"/>
  <c r="Y15" i="11" s="1"/>
  <c r="Z15" i="11" s="1"/>
  <c r="X9" i="11"/>
  <c r="T9" i="11" s="1"/>
  <c r="Y9" i="11" s="1"/>
  <c r="Z9" i="11" s="1"/>
  <c r="X21" i="11"/>
  <c r="T21" i="11" s="1"/>
  <c r="X24" i="11"/>
  <c r="T24" i="11" s="1"/>
  <c r="Y24" i="11" s="1"/>
  <c r="Z24" i="11" s="1"/>
  <c r="Y25" i="11"/>
  <c r="Z25" i="11" s="1"/>
  <c r="X4" i="11"/>
  <c r="T4" i="11" s="1"/>
  <c r="Y4" i="11" s="1"/>
  <c r="Z4" i="11" s="1"/>
  <c r="Y13" i="11"/>
  <c r="Z13" i="11" s="1"/>
  <c r="X16" i="11"/>
  <c r="T16" i="11" s="1"/>
  <c r="Y16" i="11" s="1"/>
  <c r="Z16" i="11" s="1"/>
  <c r="Y23" i="11"/>
  <c r="Z23" i="11" s="1"/>
  <c r="X28" i="11"/>
  <c r="T28" i="11" s="1"/>
  <c r="Y28" i="11" s="1"/>
  <c r="Z28" i="11" s="1"/>
  <c r="X29" i="11"/>
  <c r="T29" i="11" s="1"/>
  <c r="Y29" i="11" s="1"/>
  <c r="Z29" i="11" s="1"/>
  <c r="Y30" i="11"/>
  <c r="Z30" i="11" s="1"/>
  <c r="X32" i="11"/>
  <c r="T32" i="11" s="1"/>
  <c r="Y32" i="11" s="1"/>
  <c r="Z32" i="11" s="1"/>
  <c r="X19" i="11"/>
  <c r="T19" i="11" s="1"/>
  <c r="Y19" i="11" s="1"/>
  <c r="Z19" i="11" s="1"/>
  <c r="X20" i="11"/>
  <c r="T20" i="11" s="1"/>
  <c r="Y20" i="11" s="1"/>
  <c r="Z20" i="11" s="1"/>
  <c r="X26" i="11"/>
  <c r="T26" i="11" s="1"/>
  <c r="Y26" i="11" s="1"/>
  <c r="Z26" i="11" s="1"/>
  <c r="X33" i="11"/>
  <c r="T33" i="11" s="1"/>
  <c r="Y33" i="11" s="1"/>
  <c r="Z33" i="11" s="1"/>
  <c r="Y21" i="11"/>
  <c r="Z21" i="11" s="1"/>
  <c r="Y6" i="11"/>
  <c r="Z6" i="11" s="1"/>
  <c r="X5" i="11"/>
  <c r="T5" i="11" s="1"/>
  <c r="Y5" i="11" s="1"/>
  <c r="Z5" i="11" s="1"/>
  <c r="X7" i="11"/>
  <c r="T7" i="11" s="1"/>
  <c r="Y7" i="11" s="1"/>
  <c r="Z7" i="11" s="1"/>
  <c r="X8" i="11"/>
  <c r="T8" i="11" s="1"/>
  <c r="Y8" i="11" s="1"/>
  <c r="Z8" i="11" s="1"/>
  <c r="X10" i="11"/>
  <c r="T10" i="11" s="1"/>
  <c r="Y10" i="11" s="1"/>
  <c r="Z10" i="11" s="1"/>
  <c r="X11" i="11"/>
  <c r="T11" i="11" s="1"/>
  <c r="Y11" i="11" s="1"/>
  <c r="Z11" i="11" s="1"/>
  <c r="X12" i="11"/>
  <c r="T12" i="11" s="1"/>
  <c r="Y12" i="11" s="1"/>
  <c r="Z12" i="11" s="1"/>
  <c r="X17" i="11"/>
  <c r="T17" i="11" s="1"/>
  <c r="Y17" i="11" s="1"/>
  <c r="Z17" i="11" s="1"/>
  <c r="X101" i="10"/>
  <c r="T101" i="10" s="1"/>
  <c r="Y101" i="10" s="1"/>
  <c r="Z101" i="10" s="1"/>
  <c r="X102" i="10"/>
  <c r="T102" i="10" s="1"/>
  <c r="Y102" i="10" s="1"/>
  <c r="Z102" i="10" s="1"/>
  <c r="P42" i="10"/>
  <c r="P43" i="10"/>
  <c r="P47" i="10"/>
  <c r="B1723" i="6" l="1"/>
  <c r="C1723" i="6"/>
  <c r="E1723" i="6" l="1"/>
  <c r="F31" i="10" l="1"/>
  <c r="P37" i="10" l="1"/>
  <c r="P40" i="10"/>
  <c r="P36" i="10"/>
  <c r="G23" i="10" l="1"/>
  <c r="F28" i="10"/>
  <c r="R99" i="10" l="1"/>
  <c r="X99" i="10" s="1"/>
  <c r="T99" i="10" s="1"/>
  <c r="Y99" i="10" s="1"/>
  <c r="Z99" i="10" s="1"/>
  <c r="H99" i="10"/>
  <c r="U98" i="10"/>
  <c r="S98" i="10"/>
  <c r="R98" i="10"/>
  <c r="H98" i="10"/>
  <c r="U97" i="10"/>
  <c r="H97" i="10"/>
  <c r="X82" i="10"/>
  <c r="T82" i="10" s="1"/>
  <c r="Y82" i="10" s="1"/>
  <c r="Z82" i="10" s="1"/>
  <c r="H82" i="10"/>
  <c r="X86" i="10"/>
  <c r="T86" i="10" s="1"/>
  <c r="Y86" i="10" s="1"/>
  <c r="Z86" i="10" s="1"/>
  <c r="H86" i="10"/>
  <c r="U91" i="10"/>
  <c r="S91" i="10"/>
  <c r="R91" i="10"/>
  <c r="H91" i="10"/>
  <c r="U90" i="10"/>
  <c r="S90" i="10"/>
  <c r="R90" i="10"/>
  <c r="H90" i="10"/>
  <c r="R88" i="10"/>
  <c r="X88" i="10" s="1"/>
  <c r="T88" i="10" s="1"/>
  <c r="Y88" i="10" s="1"/>
  <c r="Z88" i="10" s="1"/>
  <c r="H88" i="10"/>
  <c r="U87" i="10"/>
  <c r="S87" i="10"/>
  <c r="R87" i="10"/>
  <c r="H87" i="10"/>
  <c r="X85" i="10"/>
  <c r="T85" i="10" s="1"/>
  <c r="Y85" i="10" s="1"/>
  <c r="Z85" i="10" s="1"/>
  <c r="H85" i="10"/>
  <c r="U84" i="10"/>
  <c r="S84" i="10"/>
  <c r="R84" i="10"/>
  <c r="H84" i="10"/>
  <c r="X81" i="10"/>
  <c r="T81" i="10" s="1"/>
  <c r="Y81" i="10" s="1"/>
  <c r="Z81" i="10" s="1"/>
  <c r="H81" i="10"/>
  <c r="X80" i="10"/>
  <c r="T80" i="10" s="1"/>
  <c r="Y80" i="10" s="1"/>
  <c r="Z80" i="10" s="1"/>
  <c r="U79" i="10"/>
  <c r="S79" i="10"/>
  <c r="R79" i="10"/>
  <c r="H79" i="10"/>
  <c r="U78" i="10"/>
  <c r="S78" i="10"/>
  <c r="R78" i="10"/>
  <c r="H78" i="10"/>
  <c r="U77" i="10"/>
  <c r="S77" i="10"/>
  <c r="R77" i="10"/>
  <c r="H77" i="10"/>
  <c r="X75" i="10"/>
  <c r="T75" i="10" s="1"/>
  <c r="H75" i="10"/>
  <c r="U74" i="10"/>
  <c r="S74" i="10"/>
  <c r="R74" i="10"/>
  <c r="H74" i="10"/>
  <c r="U73" i="10"/>
  <c r="H73" i="10"/>
  <c r="X72" i="10"/>
  <c r="T72" i="10" s="1"/>
  <c r="Y72" i="10" s="1"/>
  <c r="Z72" i="10" s="1"/>
  <c r="H72" i="10"/>
  <c r="X71" i="10"/>
  <c r="T71" i="10" s="1"/>
  <c r="H71" i="10"/>
  <c r="U70" i="10"/>
  <c r="S70" i="10"/>
  <c r="R70" i="10"/>
  <c r="H70" i="10"/>
  <c r="U69" i="10"/>
  <c r="S69" i="10"/>
  <c r="R69" i="10"/>
  <c r="H69" i="10"/>
  <c r="X68" i="10"/>
  <c r="T68" i="10" s="1"/>
  <c r="Y68" i="10" s="1"/>
  <c r="Z68" i="10" s="1"/>
  <c r="H68" i="10"/>
  <c r="U67" i="10"/>
  <c r="S67" i="10"/>
  <c r="R67" i="10"/>
  <c r="H62" i="10"/>
  <c r="U59" i="10"/>
  <c r="S59" i="10"/>
  <c r="R59" i="10"/>
  <c r="H59" i="10"/>
  <c r="X61" i="10"/>
  <c r="T61" i="10" s="1"/>
  <c r="Y61" i="10" s="1"/>
  <c r="Z61" i="10" s="1"/>
  <c r="H61" i="10"/>
  <c r="X60" i="10"/>
  <c r="T60" i="10" s="1"/>
  <c r="H60" i="10"/>
  <c r="U58" i="10"/>
  <c r="S58" i="10"/>
  <c r="R58" i="10"/>
  <c r="H58" i="10"/>
  <c r="U57" i="10"/>
  <c r="S57" i="10"/>
  <c r="R57" i="10"/>
  <c r="H57" i="10"/>
  <c r="U56" i="10"/>
  <c r="S56" i="10"/>
  <c r="R56" i="10"/>
  <c r="H56" i="10"/>
  <c r="H54" i="10"/>
  <c r="X44" i="10"/>
  <c r="T44" i="10" s="1"/>
  <c r="Y44" i="10" s="1"/>
  <c r="Z44" i="10" s="1"/>
  <c r="H44" i="10"/>
  <c r="X43" i="10"/>
  <c r="T43" i="10" s="1"/>
  <c r="H43" i="10"/>
  <c r="X59" i="10" l="1"/>
  <c r="T59" i="10" s="1"/>
  <c r="Y59" i="10" s="1"/>
  <c r="Z59" i="10" s="1"/>
  <c r="X73" i="10"/>
  <c r="T73" i="10" s="1"/>
  <c r="Y73" i="10" s="1"/>
  <c r="Z73" i="10" s="1"/>
  <c r="X74" i="10"/>
  <c r="T74" i="10" s="1"/>
  <c r="Y74" i="10" s="1"/>
  <c r="Z74" i="10" s="1"/>
  <c r="X77" i="10"/>
  <c r="T77" i="10" s="1"/>
  <c r="Y77" i="10" s="1"/>
  <c r="Z77" i="10" s="1"/>
  <c r="X78" i="10"/>
  <c r="T78" i="10" s="1"/>
  <c r="Y78" i="10" s="1"/>
  <c r="Z78" i="10" s="1"/>
  <c r="X79" i="10"/>
  <c r="T79" i="10" s="1"/>
  <c r="Y79" i="10" s="1"/>
  <c r="Z79" i="10" s="1"/>
  <c r="X90" i="10"/>
  <c r="T90" i="10" s="1"/>
  <c r="Y90" i="10" s="1"/>
  <c r="Z90" i="10" s="1"/>
  <c r="X91" i="10"/>
  <c r="T91" i="10" s="1"/>
  <c r="Y91" i="10" s="1"/>
  <c r="Z91" i="10" s="1"/>
  <c r="X84" i="10"/>
  <c r="T84" i="10" s="1"/>
  <c r="Y84" i="10" s="1"/>
  <c r="Z84" i="10" s="1"/>
  <c r="X87" i="10"/>
  <c r="T87" i="10" s="1"/>
  <c r="Y87" i="10" s="1"/>
  <c r="Z87" i="10" s="1"/>
  <c r="X97" i="10"/>
  <c r="T97" i="10" s="1"/>
  <c r="Y97" i="10" s="1"/>
  <c r="Z97" i="10" s="1"/>
  <c r="X98" i="10"/>
  <c r="T98" i="10" s="1"/>
  <c r="Y98" i="10" s="1"/>
  <c r="Z98" i="10" s="1"/>
  <c r="X56" i="10"/>
  <c r="T56" i="10" s="1"/>
  <c r="Y56" i="10" s="1"/>
  <c r="Z56" i="10" s="1"/>
  <c r="X58" i="10"/>
  <c r="T58" i="10" s="1"/>
  <c r="Y58" i="10" s="1"/>
  <c r="Z58" i="10" s="1"/>
  <c r="X62" i="10"/>
  <c r="T62" i="10" s="1"/>
  <c r="Y62" i="10" s="1"/>
  <c r="Z62" i="10" s="1"/>
  <c r="X69" i="10"/>
  <c r="T69" i="10" s="1"/>
  <c r="Y69" i="10" s="1"/>
  <c r="Z69" i="10" s="1"/>
  <c r="X70" i="10"/>
  <c r="T70" i="10" s="1"/>
  <c r="Y70" i="10" s="1"/>
  <c r="Z70" i="10" s="1"/>
  <c r="Y71" i="10"/>
  <c r="Z71" i="10" s="1"/>
  <c r="X57" i="10"/>
  <c r="T57" i="10" s="1"/>
  <c r="Y57" i="10" s="1"/>
  <c r="Z57" i="10" s="1"/>
  <c r="Y60" i="10"/>
  <c r="Z60" i="10" s="1"/>
  <c r="Y75" i="10"/>
  <c r="Z75" i="10" s="1"/>
  <c r="X67" i="10"/>
  <c r="T67" i="10" s="1"/>
  <c r="Y67" i="10" s="1"/>
  <c r="Z67" i="10" s="1"/>
  <c r="X54" i="10"/>
  <c r="T54" i="10" s="1"/>
  <c r="Y54" i="10" s="1"/>
  <c r="Z54" i="10" s="1"/>
  <c r="Y43" i="10"/>
  <c r="Z43" i="10" s="1"/>
  <c r="C1719" i="6"/>
  <c r="B1719" i="6"/>
  <c r="E1719" i="6" l="1"/>
  <c r="C334" i="2"/>
  <c r="G20" i="10" l="1"/>
  <c r="P31" i="10" l="1"/>
  <c r="X17" i="10" l="1"/>
  <c r="Y17" i="10"/>
  <c r="F17" i="10"/>
  <c r="H17" i="10" s="1"/>
  <c r="X9" i="10"/>
  <c r="Y9" i="10"/>
  <c r="Z9" i="10" s="1"/>
  <c r="H9" i="10"/>
  <c r="H11" i="10"/>
  <c r="H12" i="10"/>
  <c r="H13" i="10"/>
  <c r="X11" i="10"/>
  <c r="Y11" i="10"/>
  <c r="Z11" i="10" s="1"/>
  <c r="X12" i="10"/>
  <c r="Y12" i="10"/>
  <c r="Z12" i="10" s="1"/>
  <c r="X13" i="10"/>
  <c r="Y13" i="10"/>
  <c r="Z13" i="10" s="1"/>
  <c r="F24" i="10"/>
  <c r="Z17" i="10" l="1"/>
  <c r="F22" i="10"/>
  <c r="F21" i="10"/>
  <c r="P28" i="10"/>
  <c r="C333" i="2"/>
  <c r="G16" i="10"/>
  <c r="X90" i="8" l="1"/>
  <c r="Y90" i="8"/>
  <c r="Z90" i="8" s="1"/>
  <c r="H90" i="8"/>
  <c r="R50" i="10" l="1"/>
  <c r="R46" i="10"/>
  <c r="R45" i="10"/>
  <c r="R41" i="10"/>
  <c r="R38" i="10"/>
  <c r="R35" i="10"/>
  <c r="R34" i="10"/>
  <c r="R30" i="10"/>
  <c r="R26" i="10"/>
  <c r="R25" i="10"/>
  <c r="R23" i="10"/>
  <c r="R20" i="10"/>
  <c r="R16" i="10"/>
  <c r="R15" i="10"/>
  <c r="B1712" i="6"/>
  <c r="C1712" i="6"/>
  <c r="E1712" i="6" s="1"/>
  <c r="C332" i="2"/>
  <c r="G15" i="10"/>
  <c r="H89" i="8"/>
  <c r="Y89" i="8"/>
  <c r="Z89" i="8" s="1"/>
  <c r="X89" i="8"/>
  <c r="C288" i="2"/>
  <c r="F19" i="10"/>
  <c r="F18" i="10"/>
  <c r="H18" i="10" s="1"/>
  <c r="C293" i="2" l="1"/>
  <c r="C298" i="2"/>
  <c r="C289" i="2"/>
  <c r="H204" i="5"/>
  <c r="H205" i="5"/>
  <c r="H206" i="5"/>
  <c r="H207" i="5"/>
  <c r="H208" i="5"/>
  <c r="H209" i="5"/>
  <c r="C284" i="2"/>
  <c r="C275" i="2"/>
  <c r="E1708" i="6"/>
  <c r="B1708" i="6"/>
  <c r="C1708" i="6"/>
  <c r="F10" i="10"/>
  <c r="C290" i="2"/>
  <c r="C322" i="2"/>
  <c r="C185" i="3"/>
  <c r="C184" i="3"/>
  <c r="C183" i="3"/>
  <c r="C182" i="3"/>
  <c r="C181" i="3"/>
  <c r="C180" i="3"/>
  <c r="C179" i="3"/>
  <c r="C178" i="3"/>
  <c r="C170" i="3"/>
  <c r="C168" i="3"/>
  <c r="C167" i="3"/>
  <c r="C163" i="3"/>
  <c r="C162" i="3"/>
  <c r="C161" i="3"/>
  <c r="C159" i="3"/>
  <c r="C158" i="3"/>
  <c r="C157" i="3"/>
  <c r="C156" i="3"/>
  <c r="C320" i="2"/>
  <c r="C311" i="2"/>
  <c r="C273" i="2"/>
  <c r="H304" i="4"/>
  <c r="H305" i="4"/>
  <c r="H306" i="4"/>
  <c r="H310" i="4"/>
  <c r="H311" i="4"/>
  <c r="H312" i="4"/>
  <c r="P10" i="10" l="1"/>
  <c r="X10" i="10" s="1"/>
  <c r="T10" i="10" s="1"/>
  <c r="Y10" i="10" s="1"/>
  <c r="Z10" i="10" s="1"/>
  <c r="H10" i="10"/>
  <c r="U7" i="10"/>
  <c r="S7" i="10"/>
  <c r="R7" i="10"/>
  <c r="H7" i="10"/>
  <c r="U6" i="10"/>
  <c r="H6" i="10"/>
  <c r="P5" i="10"/>
  <c r="F5" i="10"/>
  <c r="H5" i="10" s="1"/>
  <c r="P4" i="10"/>
  <c r="X4" i="10" s="1"/>
  <c r="F4" i="10"/>
  <c r="H4" i="10" s="1"/>
  <c r="H8" i="10"/>
  <c r="X8" i="10"/>
  <c r="Y8" i="10"/>
  <c r="Z8" i="10" s="1"/>
  <c r="P24" i="10"/>
  <c r="P22" i="10"/>
  <c r="P21" i="10"/>
  <c r="P19" i="10"/>
  <c r="P18" i="10"/>
  <c r="F87" i="8"/>
  <c r="E87" i="8"/>
  <c r="G85" i="8"/>
  <c r="T4" i="10" l="1"/>
  <c r="Y4" i="10" s="1"/>
  <c r="Z4" i="10" s="1"/>
  <c r="X6" i="10"/>
  <c r="T6" i="10" s="1"/>
  <c r="Y6" i="10" s="1"/>
  <c r="Z6" i="10" s="1"/>
  <c r="X5" i="10"/>
  <c r="T5" i="10" s="1"/>
  <c r="Y5" i="10" s="1"/>
  <c r="Z5" i="10" s="1"/>
  <c r="X7" i="10"/>
  <c r="T7" i="10" s="1"/>
  <c r="Y7" i="10" s="1"/>
  <c r="Z7" i="10" s="1"/>
  <c r="B1698" i="6" l="1"/>
  <c r="C1698" i="6"/>
  <c r="E1698" i="6" s="1"/>
  <c r="C318" i="2" l="1"/>
  <c r="C274" i="2"/>
  <c r="C313" i="2" l="1"/>
  <c r="G82" i="8"/>
  <c r="F86" i="8"/>
  <c r="C309" i="2" l="1"/>
  <c r="C308" i="2"/>
  <c r="C307" i="2"/>
  <c r="G78" i="8"/>
  <c r="F83" i="8"/>
  <c r="B1693" i="6" l="1"/>
  <c r="C1693" i="6"/>
  <c r="E1693" i="6" s="1"/>
  <c r="G77" i="8"/>
  <c r="F77" i="8"/>
  <c r="E77" i="8"/>
  <c r="F79" i="8"/>
  <c r="H79" i="8" s="1"/>
  <c r="X79" i="8" l="1"/>
  <c r="Z79" i="8" s="1"/>
  <c r="F66" i="8"/>
  <c r="Y66" i="8"/>
  <c r="X66" i="8"/>
  <c r="Y59" i="8"/>
  <c r="Z59" i="8" s="1"/>
  <c r="X59" i="8"/>
  <c r="H59" i="8"/>
  <c r="H62" i="8"/>
  <c r="H66" i="8"/>
  <c r="H70" i="8"/>
  <c r="X70" i="8"/>
  <c r="Y70" i="8"/>
  <c r="Z70" i="8" s="1"/>
  <c r="Z66" i="8" l="1"/>
  <c r="C294" i="2"/>
  <c r="C292" i="2"/>
  <c r="C287" i="2"/>
  <c r="C285" i="2"/>
  <c r="C280" i="2"/>
  <c r="C279" i="2"/>
  <c r="C278" i="2"/>
  <c r="C277" i="2"/>
  <c r="B1690" i="6"/>
  <c r="C1690" i="6"/>
  <c r="F80" i="8"/>
  <c r="F84" i="8"/>
  <c r="C264" i="2"/>
  <c r="H19" i="9"/>
  <c r="H20" i="9"/>
  <c r="H21" i="9"/>
  <c r="C269" i="2"/>
  <c r="F81" i="8"/>
  <c r="E1690" i="6" l="1"/>
  <c r="C241" i="2"/>
  <c r="C257" i="2" l="1"/>
  <c r="C256" i="2"/>
  <c r="C1680" i="6"/>
  <c r="E1680" i="6" s="1"/>
  <c r="B1680" i="6"/>
  <c r="G65" i="8"/>
  <c r="F65" i="8"/>
  <c r="E65" i="8"/>
  <c r="C246" i="2"/>
  <c r="C248" i="2"/>
  <c r="C253" i="2"/>
  <c r="C247" i="2"/>
  <c r="F75" i="8"/>
  <c r="H65" i="8" l="1"/>
  <c r="P84" i="8"/>
  <c r="P83" i="8"/>
  <c r="P81" i="8"/>
  <c r="P80" i="8"/>
  <c r="F71" i="8" l="1"/>
  <c r="F63" i="8" l="1"/>
  <c r="H63" i="8" s="1"/>
  <c r="F72" i="8"/>
  <c r="C1675" i="6" l="1"/>
  <c r="E1675" i="6" s="1"/>
  <c r="B1675" i="6"/>
  <c r="C240" i="2"/>
  <c r="P75" i="8"/>
  <c r="F67" i="8"/>
  <c r="C1672" i="6"/>
  <c r="E1672" i="6" s="1"/>
  <c r="B1672" i="6"/>
  <c r="G57" i="8"/>
  <c r="F57" i="8"/>
  <c r="E57" i="8"/>
  <c r="C242" i="2"/>
  <c r="C234" i="2"/>
  <c r="H299" i="4"/>
  <c r="H300" i="4"/>
  <c r="P72" i="8" l="1"/>
  <c r="C231" i="2"/>
  <c r="F64" i="8"/>
  <c r="H64" i="8" s="1"/>
  <c r="P64" i="8" l="1"/>
  <c r="F60" i="8"/>
  <c r="H60" i="8" s="1"/>
  <c r="F61" i="8"/>
  <c r="H61" i="8" s="1"/>
  <c r="E1669" i="6" l="1"/>
  <c r="C1669" i="6"/>
  <c r="B1669" i="6"/>
  <c r="H58" i="8"/>
  <c r="X58" i="8"/>
  <c r="Y58" i="8"/>
  <c r="Z58" i="8" s="1"/>
  <c r="F30" i="8"/>
  <c r="C266" i="2" l="1"/>
  <c r="C265" i="2"/>
  <c r="F52" i="8"/>
  <c r="E52" i="8"/>
  <c r="C235" i="2"/>
  <c r="C260" i="2"/>
  <c r="C261" i="2"/>
  <c r="C259" i="2"/>
  <c r="C255" i="2"/>
  <c r="C254" i="2"/>
  <c r="C251" i="2"/>
  <c r="G52" i="8"/>
  <c r="P71" i="8" l="1"/>
  <c r="P67" i="8"/>
  <c r="F53" i="8" l="1"/>
  <c r="C229" i="2" l="1"/>
  <c r="C227" i="2"/>
  <c r="P63" i="8"/>
  <c r="P61" i="8"/>
  <c r="P60" i="8"/>
  <c r="H48" i="8" l="1"/>
  <c r="X48" i="8"/>
  <c r="Y48" i="8"/>
  <c r="Z48" i="8" s="1"/>
  <c r="C1663" i="6"/>
  <c r="B1663" i="6"/>
  <c r="E1663" i="6" l="1"/>
  <c r="C219" i="2"/>
  <c r="C218" i="2"/>
  <c r="H8" i="9"/>
  <c r="H9" i="9"/>
  <c r="H10" i="9"/>
  <c r="H11" i="9"/>
  <c r="H12" i="9"/>
  <c r="H13" i="9"/>
  <c r="H14" i="9"/>
  <c r="H15" i="9"/>
  <c r="H16" i="9"/>
  <c r="H17" i="9"/>
  <c r="H18" i="9"/>
  <c r="G44" i="8" l="1"/>
  <c r="F50" i="8"/>
  <c r="Y41" i="8" l="1"/>
  <c r="Z41" i="8" s="1"/>
  <c r="X41" i="8"/>
  <c r="H41" i="8"/>
  <c r="Y40" i="8"/>
  <c r="Z40" i="8" s="1"/>
  <c r="X40" i="8"/>
  <c r="H40" i="8"/>
  <c r="Y30" i="8"/>
  <c r="Z30" i="8" s="1"/>
  <c r="X30" i="8"/>
  <c r="H30" i="8"/>
  <c r="H23" i="8"/>
  <c r="H24" i="8"/>
  <c r="H25" i="8"/>
  <c r="X25" i="8"/>
  <c r="Y25" i="8"/>
  <c r="Z25" i="8" s="1"/>
  <c r="X24" i="8"/>
  <c r="Y24" i="8"/>
  <c r="Z24" i="8" s="1"/>
  <c r="C250" i="2"/>
  <c r="C249" i="2"/>
  <c r="C228" i="2"/>
  <c r="F49" i="8"/>
  <c r="F45" i="8"/>
  <c r="P53" i="8" l="1"/>
  <c r="C1659" i="6"/>
  <c r="B1659" i="6"/>
  <c r="G35" i="8"/>
  <c r="F42" i="8"/>
  <c r="F43" i="8"/>
  <c r="C217" i="2"/>
  <c r="C212" i="2"/>
  <c r="E1659" i="6" l="1"/>
  <c r="C211" i="2"/>
  <c r="C207" i="2"/>
  <c r="H296" i="4"/>
  <c r="H297" i="4"/>
  <c r="C206" i="2"/>
  <c r="P50" i="8" l="1"/>
  <c r="R39" i="8"/>
  <c r="S39" i="8"/>
  <c r="U39" i="8"/>
  <c r="H39" i="8"/>
  <c r="X39" i="8" l="1"/>
  <c r="T39" i="8" s="1"/>
  <c r="Y39" i="8" s="1"/>
  <c r="Z39" i="8" s="1"/>
  <c r="C1650" i="6"/>
  <c r="B1650" i="6"/>
  <c r="F36" i="8"/>
  <c r="F37" i="8" l="1"/>
  <c r="C199" i="2"/>
  <c r="C208" i="2" l="1"/>
  <c r="C239" i="2"/>
  <c r="C238" i="2"/>
  <c r="C232" i="2"/>
  <c r="C230" i="2"/>
  <c r="H52" i="10"/>
  <c r="U50" i="10"/>
  <c r="S50" i="10"/>
  <c r="H50" i="10"/>
  <c r="U49" i="10"/>
  <c r="H49" i="10"/>
  <c r="X48" i="10"/>
  <c r="T48" i="10" s="1"/>
  <c r="Y48" i="10" s="1"/>
  <c r="Z48" i="10" s="1"/>
  <c r="H48" i="10"/>
  <c r="H47" i="10"/>
  <c r="U46" i="10"/>
  <c r="S46" i="10"/>
  <c r="H46" i="10"/>
  <c r="U45" i="10"/>
  <c r="S45" i="10"/>
  <c r="H45" i="10"/>
  <c r="X42" i="10"/>
  <c r="T42" i="10" s="1"/>
  <c r="Y42" i="10" s="1"/>
  <c r="Z42" i="10" s="1"/>
  <c r="H42" i="10"/>
  <c r="U41" i="10"/>
  <c r="S41" i="10"/>
  <c r="H41" i="10"/>
  <c r="X40" i="10"/>
  <c r="T40" i="10" s="1"/>
  <c r="Y40" i="10" s="1"/>
  <c r="Z40" i="10" s="1"/>
  <c r="H40" i="10"/>
  <c r="U38" i="10"/>
  <c r="S38" i="10"/>
  <c r="H38" i="10"/>
  <c r="H37" i="10"/>
  <c r="X36" i="10"/>
  <c r="T36" i="10" s="1"/>
  <c r="Y36" i="10" s="1"/>
  <c r="Z36" i="10" s="1"/>
  <c r="H36" i="10"/>
  <c r="U35" i="10"/>
  <c r="S35" i="10"/>
  <c r="H35" i="10"/>
  <c r="U34" i="10"/>
  <c r="S34" i="10"/>
  <c r="H34" i="10"/>
  <c r="H31" i="10"/>
  <c r="U30" i="10"/>
  <c r="S30" i="10"/>
  <c r="H30" i="10"/>
  <c r="U29" i="10"/>
  <c r="H29" i="10"/>
  <c r="X28" i="10"/>
  <c r="T28" i="10" s="1"/>
  <c r="Y28" i="10" s="1"/>
  <c r="Z28" i="10" s="1"/>
  <c r="H28" i="10"/>
  <c r="U26" i="10"/>
  <c r="S26" i="10"/>
  <c r="H26" i="10"/>
  <c r="U25" i="10"/>
  <c r="S25" i="10"/>
  <c r="H25" i="10"/>
  <c r="X24" i="10"/>
  <c r="T24" i="10" s="1"/>
  <c r="H24" i="10"/>
  <c r="U23" i="10"/>
  <c r="S23" i="10"/>
  <c r="H23" i="10"/>
  <c r="X22" i="10"/>
  <c r="T22" i="10" s="1"/>
  <c r="Y22" i="10" s="1"/>
  <c r="Z22" i="10" s="1"/>
  <c r="H22" i="10"/>
  <c r="H21" i="10"/>
  <c r="U20" i="10"/>
  <c r="S20" i="10"/>
  <c r="H20" i="10"/>
  <c r="X19" i="10"/>
  <c r="T19" i="10" s="1"/>
  <c r="Y19" i="10" s="1"/>
  <c r="Z19" i="10" s="1"/>
  <c r="H19" i="10"/>
  <c r="X18" i="10"/>
  <c r="T18" i="10" s="1"/>
  <c r="U16" i="10"/>
  <c r="S16" i="10"/>
  <c r="H16" i="10"/>
  <c r="U15" i="10"/>
  <c r="S15" i="10"/>
  <c r="H15" i="10"/>
  <c r="X20" i="10" l="1"/>
  <c r="T20" i="10" s="1"/>
  <c r="Y20" i="10" s="1"/>
  <c r="Z20" i="10" s="1"/>
  <c r="X23" i="10"/>
  <c r="T23" i="10" s="1"/>
  <c r="Y23" i="10" s="1"/>
  <c r="Z23" i="10" s="1"/>
  <c r="Y24" i="10"/>
  <c r="Z24" i="10" s="1"/>
  <c r="X15" i="10"/>
  <c r="T15" i="10" s="1"/>
  <c r="Y15" i="10" s="1"/>
  <c r="Z15" i="10" s="1"/>
  <c r="X16" i="10"/>
  <c r="T16" i="10" s="1"/>
  <c r="Y16" i="10" s="1"/>
  <c r="Z16" i="10" s="1"/>
  <c r="Y18" i="10"/>
  <c r="Z18" i="10" s="1"/>
  <c r="X21" i="10"/>
  <c r="T21" i="10" s="1"/>
  <c r="Y21" i="10" s="1"/>
  <c r="Z21" i="10" s="1"/>
  <c r="X45" i="10"/>
  <c r="T45" i="10" s="1"/>
  <c r="Y45" i="10" s="1"/>
  <c r="Z45" i="10" s="1"/>
  <c r="X46" i="10"/>
  <c r="T46" i="10" s="1"/>
  <c r="Y46" i="10" s="1"/>
  <c r="Z46" i="10" s="1"/>
  <c r="X49" i="10"/>
  <c r="T49" i="10" s="1"/>
  <c r="Y49" i="10" s="1"/>
  <c r="Z49" i="10" s="1"/>
  <c r="X50" i="10"/>
  <c r="T50" i="10" s="1"/>
  <c r="Y50" i="10" s="1"/>
  <c r="Z50" i="10" s="1"/>
  <c r="X34" i="10"/>
  <c r="T34" i="10" s="1"/>
  <c r="Y34" i="10" s="1"/>
  <c r="Z34" i="10" s="1"/>
  <c r="X35" i="10"/>
  <c r="X37" i="10"/>
  <c r="T37" i="10" s="1"/>
  <c r="Y37" i="10" s="1"/>
  <c r="Z37" i="10" s="1"/>
  <c r="X38" i="10"/>
  <c r="T38" i="10" s="1"/>
  <c r="Y38" i="10" s="1"/>
  <c r="Z38" i="10" s="1"/>
  <c r="X41" i="10"/>
  <c r="T41" i="10" s="1"/>
  <c r="Y41" i="10" s="1"/>
  <c r="Z41" i="10" s="1"/>
  <c r="X47" i="10"/>
  <c r="T47" i="10" s="1"/>
  <c r="Y47" i="10" s="1"/>
  <c r="Z47" i="10" s="1"/>
  <c r="X52" i="10"/>
  <c r="T52" i="10" s="1"/>
  <c r="Y52" i="10" s="1"/>
  <c r="Z52" i="10" s="1"/>
  <c r="X25" i="10"/>
  <c r="T25" i="10" s="1"/>
  <c r="Y25" i="10" s="1"/>
  <c r="Z25" i="10" s="1"/>
  <c r="X26" i="10"/>
  <c r="T26" i="10" s="1"/>
  <c r="Y26" i="10" s="1"/>
  <c r="Z26" i="10" s="1"/>
  <c r="X29" i="10"/>
  <c r="T29" i="10" s="1"/>
  <c r="X30" i="10"/>
  <c r="T30" i="10" s="1"/>
  <c r="Y30" i="10" s="1"/>
  <c r="Z30" i="10" s="1"/>
  <c r="X31" i="10"/>
  <c r="T31" i="10" s="1"/>
  <c r="Y31" i="10" s="1"/>
  <c r="Z31" i="10" s="1"/>
  <c r="T35" i="10" l="1"/>
  <c r="Y35" i="10" s="1"/>
  <c r="Z35" i="10" s="1"/>
  <c r="Y29" i="10"/>
  <c r="Z29" i="10" s="1"/>
  <c r="C225" i="2"/>
  <c r="C224" i="2"/>
  <c r="C223" i="2"/>
  <c r="C222" i="2"/>
  <c r="P49" i="8"/>
  <c r="P45" i="8"/>
  <c r="C200" i="2" l="1"/>
  <c r="I5" i="9"/>
  <c r="C192" i="2"/>
  <c r="H6" i="9"/>
  <c r="H7" i="9"/>
  <c r="H5" i="9"/>
  <c r="C190" i="2"/>
  <c r="I6" i="9" l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F31" i="8"/>
  <c r="X7" i="8" l="1"/>
  <c r="Y7" i="8"/>
  <c r="Z7" i="8" s="1"/>
  <c r="H7" i="8"/>
  <c r="H15" i="8"/>
  <c r="X15" i="8"/>
  <c r="Y15" i="8"/>
  <c r="Z15" i="8" s="1"/>
  <c r="P43" i="8"/>
  <c r="P42" i="8"/>
  <c r="P37" i="8"/>
  <c r="P36" i="8"/>
  <c r="P31" i="8"/>
  <c r="C191" i="2" l="1"/>
  <c r="P27" i="8"/>
  <c r="P26" i="8"/>
  <c r="F27" i="8"/>
  <c r="G20" i="8"/>
  <c r="F20" i="8"/>
  <c r="E20" i="8"/>
  <c r="C1644" i="6" l="1"/>
  <c r="B1644" i="6"/>
  <c r="E1644" i="6" l="1"/>
  <c r="G14" i="8"/>
  <c r="R88" i="8"/>
  <c r="R87" i="8"/>
  <c r="R85" i="8"/>
  <c r="R82" i="8"/>
  <c r="R74" i="8"/>
  <c r="R69" i="8"/>
  <c r="R68" i="8"/>
  <c r="R65" i="8"/>
  <c r="R62" i="8"/>
  <c r="F26" i="8"/>
  <c r="C182" i="2"/>
  <c r="C187" i="2"/>
  <c r="B1641" i="6" l="1"/>
  <c r="C1641" i="6"/>
  <c r="F21" i="8"/>
  <c r="E1638" i="6"/>
  <c r="B1638" i="6"/>
  <c r="C1638" i="6"/>
  <c r="F17" i="8"/>
  <c r="F16" i="8"/>
  <c r="C183" i="2"/>
  <c r="C179" i="2"/>
  <c r="P17" i="8"/>
  <c r="P16" i="8"/>
  <c r="F19" i="8"/>
  <c r="F18" i="8"/>
  <c r="G13" i="8"/>
  <c r="F13" i="8"/>
  <c r="E13" i="8"/>
  <c r="E1641" i="6" l="1"/>
  <c r="H77" i="8"/>
  <c r="U88" i="8"/>
  <c r="S88" i="8"/>
  <c r="H88" i="8"/>
  <c r="U87" i="8"/>
  <c r="S87" i="8"/>
  <c r="H87" i="8"/>
  <c r="X86" i="8"/>
  <c r="T86" i="8" s="1"/>
  <c r="H86" i="8"/>
  <c r="U85" i="8"/>
  <c r="S85" i="8"/>
  <c r="H85" i="8"/>
  <c r="H84" i="8"/>
  <c r="X83" i="8"/>
  <c r="T83" i="8" s="1"/>
  <c r="Y83" i="8" s="1"/>
  <c r="Z83" i="8" s="1"/>
  <c r="H83" i="8"/>
  <c r="U82" i="8"/>
  <c r="S82" i="8"/>
  <c r="H82" i="8"/>
  <c r="H81" i="8"/>
  <c r="X80" i="8"/>
  <c r="T80" i="8" s="1"/>
  <c r="H80" i="8"/>
  <c r="U78" i="8"/>
  <c r="S78" i="8"/>
  <c r="R78" i="8"/>
  <c r="H78" i="8"/>
  <c r="U77" i="8"/>
  <c r="S77" i="8"/>
  <c r="R77" i="8"/>
  <c r="H75" i="8"/>
  <c r="U74" i="8"/>
  <c r="S74" i="8"/>
  <c r="H74" i="8"/>
  <c r="U73" i="8"/>
  <c r="H73" i="8"/>
  <c r="X72" i="8"/>
  <c r="T72" i="8" s="1"/>
  <c r="Y72" i="8" s="1"/>
  <c r="Z72" i="8" s="1"/>
  <c r="H72" i="8"/>
  <c r="H71" i="8"/>
  <c r="U69" i="8"/>
  <c r="S69" i="8"/>
  <c r="H69" i="8"/>
  <c r="U68" i="8"/>
  <c r="S68" i="8"/>
  <c r="H68" i="8"/>
  <c r="X67" i="8"/>
  <c r="T67" i="8" s="1"/>
  <c r="H67" i="8"/>
  <c r="U65" i="8"/>
  <c r="S65" i="8"/>
  <c r="X63" i="8"/>
  <c r="T63" i="8" s="1"/>
  <c r="U62" i="8"/>
  <c r="S62" i="8"/>
  <c r="X62" i="8" s="1"/>
  <c r="T62" i="8" s="1"/>
  <c r="X60" i="8"/>
  <c r="T60" i="8" s="1"/>
  <c r="Y60" i="8" s="1"/>
  <c r="Z60" i="8" s="1"/>
  <c r="U57" i="8"/>
  <c r="S57" i="8"/>
  <c r="R57" i="8"/>
  <c r="H57" i="8"/>
  <c r="U56" i="8"/>
  <c r="S56" i="8"/>
  <c r="R56" i="8"/>
  <c r="H56" i="8"/>
  <c r="U55" i="8"/>
  <c r="S55" i="8"/>
  <c r="R55" i="8"/>
  <c r="H55" i="8"/>
  <c r="H294" i="4"/>
  <c r="H295" i="4"/>
  <c r="H298" i="4"/>
  <c r="H301" i="4"/>
  <c r="H302" i="4"/>
  <c r="H303" i="4"/>
  <c r="C178" i="2"/>
  <c r="X65" i="8" l="1"/>
  <c r="T65" i="8" s="1"/>
  <c r="X74" i="8"/>
  <c r="T74" i="8" s="1"/>
  <c r="X68" i="8"/>
  <c r="T68" i="8" s="1"/>
  <c r="Y68" i="8" s="1"/>
  <c r="Z68" i="8" s="1"/>
  <c r="X55" i="8"/>
  <c r="T55" i="8" s="1"/>
  <c r="Y55" i="8" s="1"/>
  <c r="Z55" i="8" s="1"/>
  <c r="X56" i="8"/>
  <c r="T56" i="8" s="1"/>
  <c r="Y56" i="8" s="1"/>
  <c r="Z56" i="8" s="1"/>
  <c r="X57" i="8"/>
  <c r="T57" i="8" s="1"/>
  <c r="Y57" i="8" s="1"/>
  <c r="Z57" i="8" s="1"/>
  <c r="Y65" i="8"/>
  <c r="Z65" i="8" s="1"/>
  <c r="Y62" i="8"/>
  <c r="Z62" i="8" s="1"/>
  <c r="Y80" i="8"/>
  <c r="Z80" i="8" s="1"/>
  <c r="Y86" i="8"/>
  <c r="Z86" i="8" s="1"/>
  <c r="X87" i="8"/>
  <c r="T87" i="8" s="1"/>
  <c r="Y87" i="8" s="1"/>
  <c r="Z87" i="8" s="1"/>
  <c r="X88" i="8"/>
  <c r="T88" i="8" s="1"/>
  <c r="Y88" i="8" s="1"/>
  <c r="Z88" i="8" s="1"/>
  <c r="X77" i="8"/>
  <c r="T77" i="8" s="1"/>
  <c r="X78" i="8"/>
  <c r="T78" i="8" s="1"/>
  <c r="Y78" i="8" s="1"/>
  <c r="Z78" i="8" s="1"/>
  <c r="X81" i="8"/>
  <c r="T81" i="8" s="1"/>
  <c r="Y81" i="8" s="1"/>
  <c r="Z81" i="8" s="1"/>
  <c r="X82" i="8"/>
  <c r="T82" i="8" s="1"/>
  <c r="Y82" i="8" s="1"/>
  <c r="Z82" i="8" s="1"/>
  <c r="X84" i="8"/>
  <c r="T84" i="8" s="1"/>
  <c r="Y84" i="8" s="1"/>
  <c r="Z84" i="8" s="1"/>
  <c r="X85" i="8"/>
  <c r="T85" i="8" s="1"/>
  <c r="Y85" i="8" s="1"/>
  <c r="Z85" i="8" s="1"/>
  <c r="Y63" i="8"/>
  <c r="Z63" i="8" s="1"/>
  <c r="Y67" i="8"/>
  <c r="Z67" i="8" s="1"/>
  <c r="X69" i="8"/>
  <c r="T69" i="8" s="1"/>
  <c r="Y69" i="8" s="1"/>
  <c r="Z69" i="8" s="1"/>
  <c r="X73" i="8"/>
  <c r="Y73" i="8" s="1"/>
  <c r="Z73" i="8" s="1"/>
  <c r="Y74" i="8"/>
  <c r="Z74" i="8" s="1"/>
  <c r="X61" i="8"/>
  <c r="T61" i="8" s="1"/>
  <c r="Y61" i="8" s="1"/>
  <c r="Z61" i="8" s="1"/>
  <c r="X64" i="8"/>
  <c r="T64" i="8" s="1"/>
  <c r="Y64" i="8" s="1"/>
  <c r="Z64" i="8" s="1"/>
  <c r="X71" i="8"/>
  <c r="T71" i="8" s="1"/>
  <c r="Y71" i="8" s="1"/>
  <c r="Z71" i="8" s="1"/>
  <c r="X75" i="8"/>
  <c r="T75" i="8" s="1"/>
  <c r="Y75" i="8" s="1"/>
  <c r="Z75" i="8" s="1"/>
  <c r="C180" i="2"/>
  <c r="P21" i="8"/>
  <c r="Y77" i="8" l="1"/>
  <c r="Z77" i="8" s="1"/>
  <c r="C137" i="3"/>
  <c r="C92" i="3"/>
  <c r="C94" i="3"/>
  <c r="C93" i="3"/>
  <c r="C95" i="3"/>
  <c r="C136" i="3" s="1"/>
  <c r="C138" i="3" s="1"/>
  <c r="C129" i="3"/>
  <c r="C128" i="3"/>
  <c r="C127" i="3"/>
  <c r="C126" i="3"/>
  <c r="C125" i="3"/>
  <c r="C124" i="3"/>
  <c r="C123" i="3"/>
  <c r="C122" i="3"/>
  <c r="C121" i="3"/>
  <c r="C120" i="3"/>
  <c r="C116" i="3"/>
  <c r="C114" i="3"/>
  <c r="C113" i="3"/>
  <c r="C112" i="3"/>
  <c r="C111" i="3"/>
  <c r="C110" i="3"/>
  <c r="C142" i="3" s="1"/>
  <c r="C143" i="3" s="1"/>
  <c r="C108" i="3"/>
  <c r="C107" i="3"/>
  <c r="C106" i="3"/>
  <c r="C105" i="3"/>
  <c r="B1630" i="6" l="1"/>
  <c r="C1630" i="6"/>
  <c r="E1630" i="6" s="1"/>
  <c r="X103" i="1"/>
  <c r="Y103" i="1"/>
  <c r="Z103" i="1" s="1"/>
  <c r="H103" i="1"/>
  <c r="C213" i="2"/>
  <c r="F8" i="8" l="1"/>
  <c r="H8" i="8" s="1"/>
  <c r="P18" i="8" l="1"/>
  <c r="X18" i="8" s="1"/>
  <c r="T18" i="8" s="1"/>
  <c r="Y18" i="8" s="1"/>
  <c r="Z18" i="8" s="1"/>
  <c r="P9" i="8"/>
  <c r="X9" i="8" s="1"/>
  <c r="F9" i="8"/>
  <c r="H9" i="8" s="1"/>
  <c r="P8" i="8"/>
  <c r="X8" i="8" s="1"/>
  <c r="T8" i="8" s="1"/>
  <c r="S6" i="8"/>
  <c r="R6" i="8"/>
  <c r="H6" i="8"/>
  <c r="U5" i="8"/>
  <c r="X5" i="8" s="1"/>
  <c r="T5" i="8" s="1"/>
  <c r="Y5" i="8" s="1"/>
  <c r="Z5" i="8" s="1"/>
  <c r="H5" i="8"/>
  <c r="X4" i="8"/>
  <c r="F4" i="8"/>
  <c r="H4" i="8" s="1"/>
  <c r="H17" i="8"/>
  <c r="H16" i="8"/>
  <c r="H18" i="8"/>
  <c r="H53" i="8"/>
  <c r="U52" i="8"/>
  <c r="S52" i="8"/>
  <c r="R52" i="8"/>
  <c r="H52" i="8"/>
  <c r="U51" i="8"/>
  <c r="Y51" i="8" s="1"/>
  <c r="H51" i="8"/>
  <c r="X49" i="8"/>
  <c r="T49" i="8" s="1"/>
  <c r="Y49" i="8" s="1"/>
  <c r="Z49" i="8" s="1"/>
  <c r="H49" i="8"/>
  <c r="U47" i="8"/>
  <c r="S47" i="8"/>
  <c r="R47" i="8"/>
  <c r="H47" i="8"/>
  <c r="U46" i="8"/>
  <c r="S46" i="8"/>
  <c r="R46" i="8"/>
  <c r="H46" i="8"/>
  <c r="H50" i="8"/>
  <c r="X45" i="8"/>
  <c r="T45" i="8" s="1"/>
  <c r="Y45" i="8" s="1"/>
  <c r="Z45" i="8" s="1"/>
  <c r="H45" i="8"/>
  <c r="U44" i="8"/>
  <c r="S44" i="8"/>
  <c r="R44" i="8"/>
  <c r="H44" i="8"/>
  <c r="H43" i="8"/>
  <c r="X42" i="8"/>
  <c r="T42" i="8" s="1"/>
  <c r="Y42" i="8" s="1"/>
  <c r="Z42" i="8" s="1"/>
  <c r="H42" i="8"/>
  <c r="U38" i="8"/>
  <c r="S38" i="8"/>
  <c r="R38" i="8"/>
  <c r="H38" i="8"/>
  <c r="H37" i="8"/>
  <c r="X36" i="8"/>
  <c r="T36" i="8" s="1"/>
  <c r="Y36" i="8" s="1"/>
  <c r="Z36" i="8" s="1"/>
  <c r="H36" i="8"/>
  <c r="U35" i="8"/>
  <c r="S35" i="8"/>
  <c r="R35" i="8"/>
  <c r="H35" i="8"/>
  <c r="U34" i="8"/>
  <c r="S34" i="8"/>
  <c r="R34" i="8"/>
  <c r="H34" i="8"/>
  <c r="U33" i="8"/>
  <c r="S33" i="8"/>
  <c r="R33" i="8"/>
  <c r="H33" i="8"/>
  <c r="C169" i="2"/>
  <c r="C210" i="2"/>
  <c r="C209" i="2"/>
  <c r="X16" i="8" l="1"/>
  <c r="T16" i="8" s="1"/>
  <c r="Y16" i="8" s="1"/>
  <c r="Z16" i="8" s="1"/>
  <c r="T9" i="8"/>
  <c r="Y9" i="8" s="1"/>
  <c r="Z9" i="8" s="1"/>
  <c r="X6" i="8"/>
  <c r="T6" i="8" s="1"/>
  <c r="Y6" i="8" s="1"/>
  <c r="Z6" i="8" s="1"/>
  <c r="Y8" i="8"/>
  <c r="Z8" i="8" s="1"/>
  <c r="T4" i="8"/>
  <c r="Y4" i="8" s="1"/>
  <c r="Z4" i="8" s="1"/>
  <c r="X17" i="8"/>
  <c r="T17" i="8" s="1"/>
  <c r="Y17" i="8" s="1"/>
  <c r="Z17" i="8" s="1"/>
  <c r="X51" i="8"/>
  <c r="Z51" i="8" s="1"/>
  <c r="X52" i="8"/>
  <c r="T52" i="8" s="1"/>
  <c r="Y52" i="8" s="1"/>
  <c r="Z52" i="8" s="1"/>
  <c r="X33" i="8"/>
  <c r="T33" i="8" s="1"/>
  <c r="Y33" i="8" s="1"/>
  <c r="Z33" i="8" s="1"/>
  <c r="X34" i="8"/>
  <c r="T34" i="8" s="1"/>
  <c r="Y34" i="8" s="1"/>
  <c r="Z34" i="8" s="1"/>
  <c r="X35" i="8"/>
  <c r="T35" i="8" s="1"/>
  <c r="Y35" i="8" s="1"/>
  <c r="Z35" i="8" s="1"/>
  <c r="X37" i="8"/>
  <c r="T37" i="8" s="1"/>
  <c r="Y37" i="8" s="1"/>
  <c r="Z37" i="8" s="1"/>
  <c r="X38" i="8"/>
  <c r="T38" i="8" s="1"/>
  <c r="Y38" i="8" s="1"/>
  <c r="Z38" i="8" s="1"/>
  <c r="X43" i="8"/>
  <c r="T43" i="8" s="1"/>
  <c r="Y43" i="8" s="1"/>
  <c r="Z43" i="8" s="1"/>
  <c r="X44" i="8"/>
  <c r="T44" i="8" s="1"/>
  <c r="Y44" i="8" s="1"/>
  <c r="Z44" i="8" s="1"/>
  <c r="X50" i="8"/>
  <c r="T50" i="8" s="1"/>
  <c r="Y50" i="8" s="1"/>
  <c r="Z50" i="8" s="1"/>
  <c r="X46" i="8"/>
  <c r="T46" i="8" s="1"/>
  <c r="Y46" i="8" s="1"/>
  <c r="Z46" i="8" s="1"/>
  <c r="X47" i="8"/>
  <c r="T47" i="8" s="1"/>
  <c r="Y47" i="8" s="1"/>
  <c r="Z47" i="8" s="1"/>
  <c r="X53" i="8"/>
  <c r="T53" i="8" s="1"/>
  <c r="Y53" i="8" s="1"/>
  <c r="Z53" i="8" s="1"/>
  <c r="C204" i="2"/>
  <c r="C203" i="2"/>
  <c r="C202" i="2"/>
  <c r="C201" i="2"/>
  <c r="H95" i="1"/>
  <c r="H94" i="1"/>
  <c r="U95" i="1"/>
  <c r="S95" i="1"/>
  <c r="R95" i="1"/>
  <c r="B1624" i="6"/>
  <c r="C1624" i="6"/>
  <c r="E1624" i="6" s="1"/>
  <c r="G92" i="1"/>
  <c r="C157" i="2"/>
  <c r="X95" i="1" l="1"/>
  <c r="T95" i="1" s="1"/>
  <c r="Y95" i="1" s="1"/>
  <c r="Z95" i="1" s="1"/>
  <c r="X96" i="1" l="1"/>
  <c r="Y96" i="1"/>
  <c r="Z96" i="1" s="1"/>
  <c r="X97" i="1"/>
  <c r="Y97" i="1"/>
  <c r="Z97" i="1" s="1"/>
  <c r="X98" i="1"/>
  <c r="Y98" i="1"/>
  <c r="Z98" i="1" s="1"/>
  <c r="H96" i="1"/>
  <c r="H97" i="1"/>
  <c r="H98" i="1"/>
  <c r="H99" i="1"/>
  <c r="F102" i="1"/>
  <c r="F90" i="1"/>
  <c r="F99" i="1"/>
  <c r="C196" i="2" l="1"/>
  <c r="C195" i="2"/>
  <c r="C194" i="2"/>
  <c r="C193" i="2"/>
  <c r="C184" i="2"/>
  <c r="C177" i="2"/>
  <c r="C176" i="2"/>
  <c r="C175" i="2"/>
  <c r="C174" i="2"/>
  <c r="C173" i="2"/>
  <c r="C170" i="2"/>
  <c r="C168" i="2"/>
  <c r="Y88" i="1" l="1"/>
  <c r="Z88" i="1" s="1"/>
  <c r="X88" i="1"/>
  <c r="H88" i="1"/>
  <c r="X82" i="1"/>
  <c r="Y82" i="1"/>
  <c r="Z82" i="1" s="1"/>
  <c r="H82" i="1"/>
  <c r="F82" i="1"/>
  <c r="F77" i="1"/>
  <c r="H77" i="1" s="1"/>
  <c r="F76" i="1"/>
  <c r="H76" i="1" s="1"/>
  <c r="X76" i="1"/>
  <c r="Y76" i="1"/>
  <c r="Z76" i="1" s="1"/>
  <c r="X77" i="1"/>
  <c r="Y77" i="1"/>
  <c r="F93" i="1"/>
  <c r="C150" i="2"/>
  <c r="C156" i="2"/>
  <c r="G89" i="1"/>
  <c r="F89" i="1"/>
  <c r="E89" i="1"/>
  <c r="F92" i="1"/>
  <c r="H92" i="1" s="1"/>
  <c r="E92" i="1"/>
  <c r="Z77" i="1" l="1"/>
  <c r="C149" i="2"/>
  <c r="C148" i="2"/>
  <c r="P93" i="1"/>
  <c r="F91" i="1"/>
  <c r="X31" i="8"/>
  <c r="T31" i="8" s="1"/>
  <c r="Y31" i="8" s="1"/>
  <c r="Z31" i="8" s="1"/>
  <c r="H31" i="8"/>
  <c r="U29" i="8"/>
  <c r="S29" i="8"/>
  <c r="R29" i="8"/>
  <c r="H29" i="8"/>
  <c r="U28" i="8"/>
  <c r="H28" i="8"/>
  <c r="X26" i="8"/>
  <c r="T26" i="8" s="1"/>
  <c r="Y26" i="8" s="1"/>
  <c r="Z26" i="8" s="1"/>
  <c r="H26" i="8"/>
  <c r="U23" i="8"/>
  <c r="S23" i="8"/>
  <c r="R23" i="8"/>
  <c r="U22" i="8"/>
  <c r="S22" i="8"/>
  <c r="R22" i="8"/>
  <c r="H22" i="8"/>
  <c r="H27" i="8"/>
  <c r="H21" i="8"/>
  <c r="U20" i="8"/>
  <c r="S20" i="8"/>
  <c r="R20" i="8"/>
  <c r="H20" i="8"/>
  <c r="U14" i="8"/>
  <c r="S14" i="8"/>
  <c r="R14" i="8"/>
  <c r="H14" i="8"/>
  <c r="H19" i="8"/>
  <c r="U13" i="8"/>
  <c r="S13" i="8"/>
  <c r="R13" i="8"/>
  <c r="H13" i="8"/>
  <c r="U12" i="8"/>
  <c r="S12" i="8"/>
  <c r="R12" i="8"/>
  <c r="H12" i="8"/>
  <c r="U11" i="8"/>
  <c r="S11" i="8"/>
  <c r="R11" i="8"/>
  <c r="H11" i="8"/>
  <c r="C141" i="2"/>
  <c r="X28" i="8" l="1"/>
  <c r="T28" i="8" s="1"/>
  <c r="Y28" i="8" s="1"/>
  <c r="Z28" i="8" s="1"/>
  <c r="X12" i="8"/>
  <c r="T12" i="8" s="1"/>
  <c r="Y12" i="8" s="1"/>
  <c r="Z12" i="8" s="1"/>
  <c r="X11" i="8"/>
  <c r="T11" i="8" s="1"/>
  <c r="Y11" i="8" s="1"/>
  <c r="Z11" i="8" s="1"/>
  <c r="X29" i="8"/>
  <c r="T29" i="8" s="1"/>
  <c r="Y29" i="8" s="1"/>
  <c r="Z29" i="8" s="1"/>
  <c r="X22" i="8"/>
  <c r="T22" i="8" s="1"/>
  <c r="Y22" i="8" s="1"/>
  <c r="Z22" i="8" s="1"/>
  <c r="X23" i="8"/>
  <c r="T23" i="8" s="1"/>
  <c r="Y23" i="8" s="1"/>
  <c r="Z23" i="8" s="1"/>
  <c r="X14" i="8"/>
  <c r="T14" i="8" s="1"/>
  <c r="Y14" i="8" s="1"/>
  <c r="Z14" i="8" s="1"/>
  <c r="X19" i="8"/>
  <c r="T19" i="8" s="1"/>
  <c r="Y19" i="8" s="1"/>
  <c r="Z19" i="8" s="1"/>
  <c r="X27" i="8"/>
  <c r="T27" i="8" s="1"/>
  <c r="Y27" i="8" s="1"/>
  <c r="Z27" i="8" s="1"/>
  <c r="X21" i="8"/>
  <c r="T21" i="8" s="1"/>
  <c r="Y21" i="8" s="1"/>
  <c r="Z21" i="8" s="1"/>
  <c r="X13" i="8"/>
  <c r="T13" i="8" s="1"/>
  <c r="Y13" i="8" s="1"/>
  <c r="Z13" i="8" s="1"/>
  <c r="X20" i="8"/>
  <c r="T20" i="8" s="1"/>
  <c r="Y20" i="8" s="1"/>
  <c r="Z20" i="8" s="1"/>
  <c r="C142" i="2" l="1"/>
  <c r="H198" i="5"/>
  <c r="H199" i="5"/>
  <c r="H200" i="5"/>
  <c r="H201" i="5"/>
  <c r="H202" i="5"/>
  <c r="H203" i="5"/>
  <c r="E1620" i="6"/>
  <c r="C1620" i="6"/>
  <c r="B1620" i="6"/>
  <c r="C167" i="2"/>
  <c r="C166" i="2"/>
  <c r="P102" i="1" l="1"/>
  <c r="P99" i="1"/>
  <c r="X81" i="1"/>
  <c r="Y81" i="1"/>
  <c r="Z81" i="1" s="1"/>
  <c r="H81" i="1"/>
  <c r="C135" i="2" l="1"/>
  <c r="C134" i="2"/>
  <c r="F84" i="1" l="1"/>
  <c r="P91" i="1" l="1"/>
  <c r="P90" i="1"/>
  <c r="C121" i="2" l="1"/>
  <c r="F78" i="1"/>
  <c r="H78" i="1" s="1"/>
  <c r="C131" i="2"/>
  <c r="G72" i="1"/>
  <c r="F72" i="1" l="1"/>
  <c r="E72" i="1"/>
  <c r="P73" i="1" l="1"/>
  <c r="F83" i="1"/>
  <c r="F73" i="1"/>
  <c r="P84" i="1" l="1"/>
  <c r="X55" i="1" l="1"/>
  <c r="Y55" i="1"/>
  <c r="Z55" i="1" s="1"/>
  <c r="H55" i="1"/>
  <c r="F71" i="1"/>
  <c r="F70" i="1"/>
  <c r="F69" i="1"/>
  <c r="C130" i="2"/>
  <c r="H60" i="1"/>
  <c r="X60" i="1"/>
  <c r="Y60" i="1"/>
  <c r="Z60" i="1" s="1"/>
  <c r="X43" i="1"/>
  <c r="Y43" i="1"/>
  <c r="F43" i="1"/>
  <c r="H43" i="1" s="1"/>
  <c r="Z43" i="1" l="1"/>
  <c r="U66" i="1"/>
  <c r="S66" i="1"/>
  <c r="R66" i="1"/>
  <c r="H66" i="1"/>
  <c r="F67" i="1"/>
  <c r="C115" i="2"/>
  <c r="X66" i="1" l="1"/>
  <c r="T66" i="1" s="1"/>
  <c r="Y66" i="1" s="1"/>
  <c r="Z66" i="1" s="1"/>
  <c r="C126" i="2"/>
  <c r="C120" i="2"/>
  <c r="C119" i="2"/>
  <c r="C155" i="2"/>
  <c r="G59" i="1" l="1"/>
  <c r="C154" i="2" l="1"/>
  <c r="C153" i="2"/>
  <c r="C147" i="2"/>
  <c r="C146" i="2"/>
  <c r="C145" i="2"/>
  <c r="C144" i="2"/>
  <c r="C140" i="2"/>
  <c r="C139" i="2"/>
  <c r="C138" i="2"/>
  <c r="C136" i="2"/>
  <c r="C127" i="2" l="1"/>
  <c r="P70" i="1" l="1"/>
  <c r="P71" i="1"/>
  <c r="P69" i="1"/>
  <c r="P67" i="1"/>
  <c r="B1610" i="6" l="1"/>
  <c r="C1610" i="6"/>
  <c r="E1610" i="6" s="1"/>
  <c r="C107" i="2" l="1"/>
  <c r="H291" i="4"/>
  <c r="H292" i="4"/>
  <c r="H293" i="4"/>
  <c r="F61" i="1"/>
  <c r="G50" i="1" l="1"/>
  <c r="F50" i="1"/>
  <c r="E50" i="1"/>
  <c r="B1603" i="6" l="1"/>
  <c r="C1603" i="6"/>
  <c r="E1603" i="6" s="1"/>
  <c r="C103" i="2"/>
  <c r="C97" i="2"/>
  <c r="G46" i="1"/>
  <c r="F46" i="1"/>
  <c r="E46" i="1"/>
  <c r="F51" i="1" l="1"/>
  <c r="F52" i="1"/>
  <c r="G42" i="1" l="1"/>
  <c r="C1598" i="6"/>
  <c r="E1598" i="6" s="1"/>
  <c r="B1598" i="6"/>
  <c r="P61" i="1" l="1"/>
  <c r="F42" i="1"/>
  <c r="E42" i="1"/>
  <c r="C108" i="2"/>
  <c r="F48" i="1" l="1"/>
  <c r="F47" i="1"/>
  <c r="F49" i="1"/>
  <c r="C95" i="2"/>
  <c r="C77" i="2" l="1"/>
  <c r="C1594" i="6"/>
  <c r="B1594" i="6"/>
  <c r="C88" i="2"/>
  <c r="F44" i="1"/>
  <c r="H44" i="1" s="1"/>
  <c r="F45" i="1"/>
  <c r="E1594" i="6" l="1"/>
  <c r="C98" i="2"/>
  <c r="C93" i="2"/>
  <c r="C92" i="2"/>
  <c r="X29" i="1" l="1"/>
  <c r="Y29" i="1"/>
  <c r="F29" i="1"/>
  <c r="H29" i="1" s="1"/>
  <c r="X16" i="1"/>
  <c r="Y16" i="1"/>
  <c r="Z16" i="1" s="1"/>
  <c r="H16" i="1"/>
  <c r="H7" i="1"/>
  <c r="X7" i="1"/>
  <c r="Y7" i="1"/>
  <c r="Z7" i="1" s="1"/>
  <c r="X28" i="1"/>
  <c r="Y28" i="1"/>
  <c r="Z28" i="1" s="1"/>
  <c r="H28" i="1"/>
  <c r="X27" i="1"/>
  <c r="Y27" i="1"/>
  <c r="Z27" i="1" s="1"/>
  <c r="H27" i="1"/>
  <c r="C104" i="2"/>
  <c r="C123" i="2"/>
  <c r="C122" i="2"/>
  <c r="C118" i="2"/>
  <c r="C117" i="2"/>
  <c r="C116" i="2"/>
  <c r="C111" i="2"/>
  <c r="C110" i="2"/>
  <c r="C109" i="2"/>
  <c r="Z29" i="1" l="1"/>
  <c r="C101" i="2"/>
  <c r="C100" i="2"/>
  <c r="C96" i="2"/>
  <c r="P52" i="1"/>
  <c r="P51" i="1"/>
  <c r="P49" i="1" l="1"/>
  <c r="C82" i="2"/>
  <c r="P48" i="1"/>
  <c r="P47" i="1"/>
  <c r="P45" i="1"/>
  <c r="P44" i="1"/>
  <c r="C83" i="2"/>
  <c r="U101" i="1" l="1"/>
  <c r="S101" i="1"/>
  <c r="R101" i="1"/>
  <c r="H101" i="1"/>
  <c r="U100" i="1"/>
  <c r="S100" i="1"/>
  <c r="R100" i="1"/>
  <c r="H100" i="1"/>
  <c r="X99" i="1"/>
  <c r="T99" i="1" s="1"/>
  <c r="U94" i="1"/>
  <c r="S94" i="1"/>
  <c r="R94" i="1"/>
  <c r="X102" i="1"/>
  <c r="T102" i="1" s="1"/>
  <c r="Y102" i="1" s="1"/>
  <c r="Z102" i="1" s="1"/>
  <c r="H102" i="1"/>
  <c r="X93" i="1"/>
  <c r="T93" i="1" s="1"/>
  <c r="Y93" i="1" s="1"/>
  <c r="Z93" i="1" s="1"/>
  <c r="H93" i="1"/>
  <c r="U92" i="1"/>
  <c r="S92" i="1"/>
  <c r="R92" i="1"/>
  <c r="H91" i="1"/>
  <c r="X90" i="1"/>
  <c r="T90" i="1" s="1"/>
  <c r="Y90" i="1" s="1"/>
  <c r="Z90" i="1" s="1"/>
  <c r="H90" i="1"/>
  <c r="U89" i="1"/>
  <c r="S89" i="1"/>
  <c r="R89" i="1"/>
  <c r="H89" i="1"/>
  <c r="U87" i="1"/>
  <c r="S87" i="1"/>
  <c r="R87" i="1"/>
  <c r="H87" i="1"/>
  <c r="U86" i="1"/>
  <c r="S86" i="1"/>
  <c r="R86" i="1"/>
  <c r="H86" i="1"/>
  <c r="X78" i="1"/>
  <c r="T78" i="1" s="1"/>
  <c r="Y78" i="1" s="1"/>
  <c r="Z78" i="1" s="1"/>
  <c r="X33" i="1"/>
  <c r="Y33" i="1"/>
  <c r="Z33" i="1" s="1"/>
  <c r="H33" i="1"/>
  <c r="X56" i="1"/>
  <c r="Y56" i="1"/>
  <c r="Z56" i="1" s="1"/>
  <c r="X57" i="1"/>
  <c r="Y57" i="1"/>
  <c r="Z57" i="1" s="1"/>
  <c r="H56" i="1"/>
  <c r="H57" i="1"/>
  <c r="X52" i="1"/>
  <c r="T52" i="1" s="1"/>
  <c r="H52" i="1"/>
  <c r="X94" i="1" l="1"/>
  <c r="T94" i="1" s="1"/>
  <c r="Y94" i="1" s="1"/>
  <c r="Z94" i="1" s="1"/>
  <c r="X100" i="1"/>
  <c r="T100" i="1" s="1"/>
  <c r="Y100" i="1" s="1"/>
  <c r="Z100" i="1" s="1"/>
  <c r="X101" i="1"/>
  <c r="T101" i="1" s="1"/>
  <c r="Y101" i="1" s="1"/>
  <c r="Z101" i="1" s="1"/>
  <c r="X92" i="1"/>
  <c r="T92" i="1" s="1"/>
  <c r="Y92" i="1" s="1"/>
  <c r="Z92" i="1" s="1"/>
  <c r="X86" i="1"/>
  <c r="T86" i="1" s="1"/>
  <c r="Y86" i="1" s="1"/>
  <c r="Z86" i="1" s="1"/>
  <c r="X87" i="1"/>
  <c r="T87" i="1" s="1"/>
  <c r="Y87" i="1" s="1"/>
  <c r="Z87" i="1" s="1"/>
  <c r="X89" i="1"/>
  <c r="T89" i="1" s="1"/>
  <c r="Y89" i="1" s="1"/>
  <c r="Z89" i="1" s="1"/>
  <c r="X91" i="1"/>
  <c r="T91" i="1" s="1"/>
  <c r="Y91" i="1" s="1"/>
  <c r="Z91" i="1" s="1"/>
  <c r="Y99" i="1"/>
  <c r="Z99" i="1" s="1"/>
  <c r="Y52" i="1"/>
  <c r="Z52" i="1" s="1"/>
  <c r="F38" i="1" l="1"/>
  <c r="C1584" i="6"/>
  <c r="E1584" i="6" s="1"/>
  <c r="B1584" i="6"/>
  <c r="C79" i="2" l="1"/>
  <c r="G26" i="1"/>
  <c r="F26" i="1"/>
  <c r="E26" i="1"/>
  <c r="H284" i="4" l="1"/>
  <c r="H285" i="4"/>
  <c r="H286" i="4"/>
  <c r="H287" i="4"/>
  <c r="H288" i="4"/>
  <c r="H289" i="4"/>
  <c r="H290" i="4"/>
  <c r="F35" i="1" l="1"/>
  <c r="F15" i="1" l="1"/>
  <c r="P38" i="1" l="1"/>
  <c r="F34" i="1" l="1"/>
  <c r="C72" i="2"/>
  <c r="G23" i="1"/>
  <c r="F30" i="1" l="1"/>
  <c r="H30" i="1" s="1"/>
  <c r="F25" i="1"/>
  <c r="F24" i="1"/>
  <c r="G20" i="1" l="1"/>
  <c r="F22" i="1" l="1"/>
  <c r="F21" i="1"/>
  <c r="P35" i="1"/>
  <c r="C1578" i="6"/>
  <c r="E1578" i="6" s="1"/>
  <c r="B1578" i="6"/>
  <c r="X35" i="1" l="1"/>
  <c r="T35" i="1" s="1"/>
  <c r="Y35" i="1" s="1"/>
  <c r="Z35" i="1" s="1"/>
  <c r="H35" i="1"/>
  <c r="C57" i="2"/>
  <c r="C58" i="2" l="1"/>
  <c r="C66" i="2"/>
  <c r="C71" i="2" l="1"/>
  <c r="C56" i="2"/>
  <c r="C68" i="2"/>
  <c r="C67" i="2"/>
  <c r="C61" i="2" l="1"/>
  <c r="C11" i="2"/>
  <c r="C6" i="2"/>
  <c r="P34" i="1" l="1"/>
  <c r="P30" i="1"/>
  <c r="P25" i="1"/>
  <c r="P24" i="1"/>
  <c r="P22" i="1"/>
  <c r="P21" i="1"/>
  <c r="X84" i="1"/>
  <c r="T84" i="1" s="1"/>
  <c r="Y84" i="1" s="1"/>
  <c r="Z84" i="1" s="1"/>
  <c r="H84" i="1"/>
  <c r="U80" i="1"/>
  <c r="S80" i="1"/>
  <c r="R80" i="1"/>
  <c r="H80" i="1"/>
  <c r="U79" i="1"/>
  <c r="H79" i="1"/>
  <c r="X83" i="1"/>
  <c r="T83" i="1" s="1"/>
  <c r="Y83" i="1" s="1"/>
  <c r="Z83" i="1" s="1"/>
  <c r="H83" i="1"/>
  <c r="U75" i="1"/>
  <c r="S75" i="1"/>
  <c r="R75" i="1"/>
  <c r="H75" i="1"/>
  <c r="U74" i="1"/>
  <c r="S74" i="1"/>
  <c r="R74" i="1"/>
  <c r="H74" i="1"/>
  <c r="X73" i="1"/>
  <c r="T73" i="1" s="1"/>
  <c r="Y73" i="1" s="1"/>
  <c r="Z73" i="1" s="1"/>
  <c r="H73" i="1"/>
  <c r="U72" i="1"/>
  <c r="S72" i="1"/>
  <c r="R72" i="1"/>
  <c r="H72" i="1"/>
  <c r="X70" i="1"/>
  <c r="T70" i="1" s="1"/>
  <c r="Y70" i="1" s="1"/>
  <c r="Z70" i="1" s="1"/>
  <c r="H70" i="1"/>
  <c r="X69" i="1"/>
  <c r="T69" i="1" s="1"/>
  <c r="Y69" i="1" s="1"/>
  <c r="Z69" i="1" s="1"/>
  <c r="H69" i="1"/>
  <c r="U68" i="1"/>
  <c r="S68" i="1"/>
  <c r="R68" i="1"/>
  <c r="H68" i="1"/>
  <c r="X67" i="1"/>
  <c r="T67" i="1" s="1"/>
  <c r="Y67" i="1" s="1"/>
  <c r="Z67" i="1" s="1"/>
  <c r="H67" i="1"/>
  <c r="X71" i="1"/>
  <c r="T71" i="1" s="1"/>
  <c r="H71" i="1"/>
  <c r="U65" i="1"/>
  <c r="S65" i="1"/>
  <c r="R65" i="1"/>
  <c r="H65" i="1"/>
  <c r="U64" i="1"/>
  <c r="S64" i="1"/>
  <c r="R64" i="1"/>
  <c r="H64" i="1"/>
  <c r="U63" i="1"/>
  <c r="S63" i="1"/>
  <c r="R63" i="1"/>
  <c r="H63" i="1"/>
  <c r="H61" i="1"/>
  <c r="U59" i="1"/>
  <c r="S59" i="1"/>
  <c r="R59" i="1"/>
  <c r="H59" i="1"/>
  <c r="U58" i="1"/>
  <c r="H58" i="1"/>
  <c r="X49" i="1"/>
  <c r="T49" i="1" s="1"/>
  <c r="Y49" i="1" s="1"/>
  <c r="Z49" i="1" s="1"/>
  <c r="H49" i="1"/>
  <c r="U54" i="1"/>
  <c r="S54" i="1"/>
  <c r="R54" i="1"/>
  <c r="H54" i="1"/>
  <c r="U53" i="1"/>
  <c r="S53" i="1"/>
  <c r="R53" i="1"/>
  <c r="H53" i="1"/>
  <c r="H51" i="1"/>
  <c r="U50" i="1"/>
  <c r="S50" i="1"/>
  <c r="R50" i="1"/>
  <c r="H50" i="1"/>
  <c r="X48" i="1"/>
  <c r="T48" i="1" s="1"/>
  <c r="Y48" i="1" s="1"/>
  <c r="Z48" i="1" s="1"/>
  <c r="H48" i="1"/>
  <c r="H47" i="1"/>
  <c r="U46" i="1"/>
  <c r="S46" i="1"/>
  <c r="R46" i="1"/>
  <c r="H46" i="1"/>
  <c r="X45" i="1"/>
  <c r="T45" i="1" s="1"/>
  <c r="Y45" i="1" s="1"/>
  <c r="Z45" i="1" s="1"/>
  <c r="H45" i="1"/>
  <c r="U42" i="1"/>
  <c r="S42" i="1"/>
  <c r="R42" i="1"/>
  <c r="H42" i="1"/>
  <c r="U41" i="1"/>
  <c r="S41" i="1"/>
  <c r="R41" i="1"/>
  <c r="H41" i="1"/>
  <c r="U40" i="1"/>
  <c r="S40" i="1"/>
  <c r="R40" i="1"/>
  <c r="H40" i="1"/>
  <c r="X79" i="1" l="1"/>
  <c r="T79" i="1" s="1"/>
  <c r="Y79" i="1" s="1"/>
  <c r="Z79" i="1" s="1"/>
  <c r="X80" i="1"/>
  <c r="T80" i="1" s="1"/>
  <c r="Y80" i="1" s="1"/>
  <c r="Z80" i="1" s="1"/>
  <c r="X50" i="1"/>
  <c r="T50" i="1" s="1"/>
  <c r="Y50" i="1" s="1"/>
  <c r="Z50" i="1" s="1"/>
  <c r="X68" i="1"/>
  <c r="T68" i="1" s="1"/>
  <c r="Y68" i="1" s="1"/>
  <c r="Z68" i="1" s="1"/>
  <c r="X58" i="1"/>
  <c r="T58" i="1" s="1"/>
  <c r="Y58" i="1" s="1"/>
  <c r="Z58" i="1" s="1"/>
  <c r="X59" i="1"/>
  <c r="T59" i="1" s="1"/>
  <c r="Y59" i="1" s="1"/>
  <c r="Z59" i="1" s="1"/>
  <c r="X53" i="1"/>
  <c r="T53" i="1" s="1"/>
  <c r="Y53" i="1" s="1"/>
  <c r="Z53" i="1" s="1"/>
  <c r="X54" i="1"/>
  <c r="T54" i="1" s="1"/>
  <c r="Y54" i="1" s="1"/>
  <c r="Z54" i="1" s="1"/>
  <c r="X63" i="1"/>
  <c r="T63" i="1" s="1"/>
  <c r="Y63" i="1" s="1"/>
  <c r="Z63" i="1" s="1"/>
  <c r="X64" i="1"/>
  <c r="T64" i="1" s="1"/>
  <c r="Y64" i="1" s="1"/>
  <c r="Z64" i="1" s="1"/>
  <c r="X65" i="1"/>
  <c r="T65" i="1" s="1"/>
  <c r="Y65" i="1" s="1"/>
  <c r="Z65" i="1" s="1"/>
  <c r="Y71" i="1"/>
  <c r="Z71" i="1" s="1"/>
  <c r="X72" i="1"/>
  <c r="T72" i="1" s="1"/>
  <c r="Y72" i="1" s="1"/>
  <c r="Z72" i="1" s="1"/>
  <c r="X40" i="1"/>
  <c r="T40" i="1" s="1"/>
  <c r="Y40" i="1" s="1"/>
  <c r="Z40" i="1" s="1"/>
  <c r="X41" i="1"/>
  <c r="T41" i="1" s="1"/>
  <c r="Y41" i="1" s="1"/>
  <c r="Z41" i="1" s="1"/>
  <c r="X42" i="1"/>
  <c r="T42" i="1" s="1"/>
  <c r="Y42" i="1" s="1"/>
  <c r="Z42" i="1" s="1"/>
  <c r="X46" i="1"/>
  <c r="T46" i="1" s="1"/>
  <c r="Y46" i="1" s="1"/>
  <c r="Z46" i="1" s="1"/>
  <c r="X74" i="1"/>
  <c r="T74" i="1" s="1"/>
  <c r="Y74" i="1" s="1"/>
  <c r="Z74" i="1" s="1"/>
  <c r="X75" i="1"/>
  <c r="T75" i="1" s="1"/>
  <c r="Y75" i="1" s="1"/>
  <c r="Z75" i="1" s="1"/>
  <c r="X44" i="1"/>
  <c r="T44" i="1" s="1"/>
  <c r="Y44" i="1" s="1"/>
  <c r="Z44" i="1" s="1"/>
  <c r="X47" i="1"/>
  <c r="T47" i="1" s="1"/>
  <c r="Y47" i="1" s="1"/>
  <c r="Z47" i="1" s="1"/>
  <c r="X51" i="1"/>
  <c r="T51" i="1" s="1"/>
  <c r="Y51" i="1" s="1"/>
  <c r="Z51" i="1" s="1"/>
  <c r="X61" i="1"/>
  <c r="T61" i="1" s="1"/>
  <c r="Y61" i="1" s="1"/>
  <c r="Z61" i="1" s="1"/>
  <c r="F14" i="1" l="1"/>
  <c r="E14" i="1"/>
  <c r="C48" i="2" l="1"/>
  <c r="B1568" i="6" l="1"/>
  <c r="C1568" i="6"/>
  <c r="E1568" i="6" s="1"/>
  <c r="F11" i="1"/>
  <c r="C46" i="2" l="1"/>
  <c r="C42" i="2"/>
  <c r="F12" i="1"/>
  <c r="H283" i="4"/>
  <c r="C43" i="2"/>
  <c r="C1557" i="6"/>
  <c r="B1557" i="6"/>
  <c r="C1553" i="6"/>
  <c r="B1553" i="6"/>
  <c r="E1553" i="6" s="1"/>
  <c r="C1546" i="6"/>
  <c r="B1546" i="6"/>
  <c r="C1538" i="6"/>
  <c r="B1538" i="6"/>
  <c r="E1538" i="6" s="1"/>
  <c r="C1531" i="6"/>
  <c r="E1531" i="6" s="1"/>
  <c r="B1531" i="6"/>
  <c r="C1527" i="6"/>
  <c r="E1527" i="6" s="1"/>
  <c r="B1527" i="6"/>
  <c r="C1518" i="6"/>
  <c r="E1518" i="6" s="1"/>
  <c r="B1518" i="6"/>
  <c r="C1511" i="6"/>
  <c r="B1511" i="6"/>
  <c r="E1511" i="6" s="1"/>
  <c r="C1507" i="6"/>
  <c r="E1507" i="6" s="1"/>
  <c r="B1507" i="6"/>
  <c r="C1499" i="6"/>
  <c r="E1499" i="6" s="1"/>
  <c r="B1499" i="6"/>
  <c r="C1495" i="6"/>
  <c r="B1495" i="6"/>
  <c r="C1492" i="6"/>
  <c r="B1492" i="6"/>
  <c r="E1492" i="6" s="1"/>
  <c r="C1486" i="6"/>
  <c r="B1486" i="6"/>
  <c r="C1478" i="6"/>
  <c r="E1478" i="6" s="1"/>
  <c r="B1478" i="6"/>
  <c r="C1475" i="6"/>
  <c r="B1475" i="6"/>
  <c r="C1471" i="6"/>
  <c r="B1471" i="6"/>
  <c r="C1464" i="6"/>
  <c r="B1464" i="6"/>
  <c r="E1459" i="6"/>
  <c r="C1459" i="6"/>
  <c r="B1459" i="6"/>
  <c r="C1454" i="6"/>
  <c r="B1454" i="6"/>
  <c r="C1451" i="6"/>
  <c r="B1451" i="6"/>
  <c r="E1451" i="6" s="1"/>
  <c r="C1448" i="6"/>
  <c r="E1448" i="6" s="1"/>
  <c r="B1448" i="6"/>
  <c r="C1443" i="6"/>
  <c r="E1443" i="6" s="1"/>
  <c r="B1443" i="6"/>
  <c r="C1438" i="6"/>
  <c r="E1438" i="6" s="1"/>
  <c r="B1438" i="6"/>
  <c r="C1431" i="6"/>
  <c r="B1431" i="6"/>
  <c r="E1431" i="6" s="1"/>
  <c r="C1427" i="6"/>
  <c r="E1427" i="6" s="1"/>
  <c r="B1427" i="6"/>
  <c r="C1422" i="6"/>
  <c r="E1422" i="6" s="1"/>
  <c r="B1422" i="6"/>
  <c r="C1417" i="6"/>
  <c r="B1417" i="6"/>
  <c r="C1410" i="6"/>
  <c r="B1410" i="6"/>
  <c r="E1410" i="6" s="1"/>
  <c r="C1406" i="6"/>
  <c r="B1406" i="6"/>
  <c r="C1402" i="6"/>
  <c r="E1402" i="6" s="1"/>
  <c r="B1402" i="6"/>
  <c r="C1394" i="6"/>
  <c r="B1394" i="6"/>
  <c r="C1390" i="6"/>
  <c r="B1390" i="6"/>
  <c r="C1386" i="6"/>
  <c r="B1386" i="6"/>
  <c r="E1378" i="6"/>
  <c r="C1378" i="6"/>
  <c r="B1378" i="6"/>
  <c r="C1372" i="6"/>
  <c r="B1372" i="6"/>
  <c r="C1368" i="6"/>
  <c r="B1368" i="6"/>
  <c r="E1368" i="6" s="1"/>
  <c r="C1362" i="6"/>
  <c r="E1362" i="6" s="1"/>
  <c r="B1362" i="6"/>
  <c r="C1357" i="6"/>
  <c r="E1357" i="6" s="1"/>
  <c r="B1357" i="6"/>
  <c r="C1349" i="6"/>
  <c r="E1349" i="6" s="1"/>
  <c r="B1349" i="6"/>
  <c r="C1344" i="6"/>
  <c r="B1344" i="6"/>
  <c r="E1344" i="6" s="1"/>
  <c r="C1337" i="6"/>
  <c r="E1337" i="6" s="1"/>
  <c r="B1337" i="6"/>
  <c r="C1330" i="6"/>
  <c r="E1330" i="6" s="1"/>
  <c r="B1330" i="6"/>
  <c r="C1327" i="6"/>
  <c r="B1327" i="6"/>
  <c r="C1318" i="6"/>
  <c r="B1318" i="6"/>
  <c r="E1318" i="6" s="1"/>
  <c r="C1315" i="6"/>
  <c r="E1315" i="6" s="1"/>
  <c r="B1315" i="6"/>
  <c r="C1312" i="6"/>
  <c r="E1312" i="6" s="1"/>
  <c r="B1312" i="6"/>
  <c r="C1298" i="6"/>
  <c r="B1298" i="6"/>
  <c r="C1294" i="6"/>
  <c r="B1294" i="6"/>
  <c r="C1290" i="6"/>
  <c r="E1290" i="6" s="1"/>
  <c r="B1290" i="6"/>
  <c r="C1285" i="6"/>
  <c r="E1285" i="6" s="1"/>
  <c r="B1285" i="6"/>
  <c r="C1282" i="6"/>
  <c r="B1282" i="6"/>
  <c r="C1270" i="6"/>
  <c r="B1270" i="6"/>
  <c r="E1270" i="6" s="1"/>
  <c r="C1265" i="6"/>
  <c r="E1265" i="6" s="1"/>
  <c r="B1265" i="6"/>
  <c r="C1261" i="6"/>
  <c r="E1261" i="6" s="1"/>
  <c r="B1261" i="6"/>
  <c r="C1255" i="6"/>
  <c r="E1255" i="6" s="1"/>
  <c r="B1255" i="6"/>
  <c r="C1252" i="6"/>
  <c r="B1252" i="6"/>
  <c r="E1252" i="6" s="1"/>
  <c r="C1247" i="6"/>
  <c r="E1247" i="6" s="1"/>
  <c r="B1247" i="6"/>
  <c r="C1238" i="6"/>
  <c r="E1238" i="6" s="1"/>
  <c r="B1238" i="6"/>
  <c r="C1235" i="6"/>
  <c r="E1235" i="6" s="1"/>
  <c r="B1235" i="6"/>
  <c r="C1231" i="6"/>
  <c r="B1231" i="6"/>
  <c r="E1231" i="6" s="1"/>
  <c r="C1224" i="6"/>
  <c r="E1224" i="6" s="1"/>
  <c r="B1224" i="6"/>
  <c r="C1218" i="6"/>
  <c r="E1218" i="6" s="1"/>
  <c r="B1218" i="6"/>
  <c r="C1212" i="6"/>
  <c r="B1212" i="6"/>
  <c r="C1207" i="6"/>
  <c r="B1207" i="6"/>
  <c r="E1207" i="6" s="1"/>
  <c r="C1203" i="6"/>
  <c r="E1203" i="6" s="1"/>
  <c r="B1203" i="6"/>
  <c r="C1194" i="6"/>
  <c r="E1194" i="6" s="1"/>
  <c r="B1194" i="6"/>
  <c r="C1183" i="6"/>
  <c r="E1183" i="6" s="1"/>
  <c r="B1183" i="6"/>
  <c r="C1179" i="6"/>
  <c r="B1179" i="6"/>
  <c r="E1179" i="6" s="1"/>
  <c r="C1176" i="6"/>
  <c r="E1176" i="6" s="1"/>
  <c r="B1176" i="6"/>
  <c r="C1170" i="6"/>
  <c r="E1170" i="6" s="1"/>
  <c r="B1170" i="6"/>
  <c r="C1167" i="6"/>
  <c r="B1167" i="6"/>
  <c r="C1161" i="6"/>
  <c r="B1161" i="6"/>
  <c r="C1155" i="6"/>
  <c r="E1155" i="6" s="1"/>
  <c r="B1155" i="6"/>
  <c r="C1146" i="6"/>
  <c r="E1146" i="6" s="1"/>
  <c r="B1146" i="6"/>
  <c r="C1142" i="6"/>
  <c r="E1142" i="6" s="1"/>
  <c r="B1142" i="6"/>
  <c r="C1138" i="6"/>
  <c r="B1138" i="6"/>
  <c r="E1138" i="6" s="1"/>
  <c r="C1130" i="6"/>
  <c r="E1130" i="6" s="1"/>
  <c r="B1130" i="6"/>
  <c r="C1121" i="6"/>
  <c r="E1121" i="6" s="1"/>
  <c r="B1121" i="6"/>
  <c r="C1115" i="6"/>
  <c r="E1115" i="6" s="1"/>
  <c r="B1115" i="6"/>
  <c r="C1101" i="6"/>
  <c r="B1101" i="6"/>
  <c r="E1101" i="6" s="1"/>
  <c r="C1097" i="6"/>
  <c r="E1097" i="6" s="1"/>
  <c r="B1097" i="6"/>
  <c r="C1089" i="6"/>
  <c r="E1089" i="6" s="1"/>
  <c r="B1089" i="6"/>
  <c r="C1083" i="6"/>
  <c r="B1083" i="6"/>
  <c r="C1077" i="6"/>
  <c r="B1077" i="6"/>
  <c r="E1077" i="6" s="1"/>
  <c r="C1073" i="6"/>
  <c r="E1073" i="6" s="1"/>
  <c r="B1073" i="6"/>
  <c r="C1069" i="6"/>
  <c r="E1069" i="6" s="1"/>
  <c r="B1069" i="6"/>
  <c r="C1064" i="6"/>
  <c r="E1064" i="6" s="1"/>
  <c r="B1064" i="6"/>
  <c r="C1057" i="6"/>
  <c r="B1057" i="6"/>
  <c r="E1057" i="6" s="1"/>
  <c r="C1052" i="6"/>
  <c r="E1052" i="6" s="1"/>
  <c r="B1052" i="6"/>
  <c r="C1046" i="6"/>
  <c r="E1046" i="6" s="1"/>
  <c r="B1046" i="6"/>
  <c r="C1042" i="6"/>
  <c r="E1042" i="6" s="1"/>
  <c r="B1042" i="6"/>
  <c r="C1037" i="6"/>
  <c r="B1037" i="6"/>
  <c r="E1037" i="6" s="1"/>
  <c r="C1033" i="6"/>
  <c r="E1033" i="6" s="1"/>
  <c r="B1033" i="6"/>
  <c r="C1023" i="6"/>
  <c r="E1023" i="6" s="1"/>
  <c r="B1023" i="6"/>
  <c r="C1017" i="6"/>
  <c r="B1017" i="6"/>
  <c r="C1013" i="6"/>
  <c r="B1013" i="6"/>
  <c r="E1013" i="6" s="1"/>
  <c r="C1004" i="6"/>
  <c r="E1004" i="6" s="1"/>
  <c r="B1004" i="6"/>
  <c r="C998" i="6"/>
  <c r="E998" i="6" s="1"/>
  <c r="B998" i="6"/>
  <c r="C994" i="6"/>
  <c r="B994" i="6"/>
  <c r="C983" i="6"/>
  <c r="B983" i="6"/>
  <c r="C978" i="6"/>
  <c r="E978" i="6" s="1"/>
  <c r="B978" i="6"/>
  <c r="C966" i="6"/>
  <c r="E966" i="6" s="1"/>
  <c r="B966" i="6"/>
  <c r="C961" i="6"/>
  <c r="E961" i="6" s="1"/>
  <c r="B961" i="6"/>
  <c r="C958" i="6"/>
  <c r="B958" i="6"/>
  <c r="E958" i="6" s="1"/>
  <c r="C948" i="6"/>
  <c r="E948" i="6" s="1"/>
  <c r="B948" i="6"/>
  <c r="C945" i="6"/>
  <c r="E945" i="6" s="1"/>
  <c r="B945" i="6"/>
  <c r="C942" i="6"/>
  <c r="E942" i="6" s="1"/>
  <c r="B942" i="6"/>
  <c r="C938" i="6"/>
  <c r="B938" i="6"/>
  <c r="E938" i="6" s="1"/>
  <c r="C930" i="6"/>
  <c r="E930" i="6" s="1"/>
  <c r="B930" i="6"/>
  <c r="C926" i="6"/>
  <c r="E926" i="6" s="1"/>
  <c r="B926" i="6"/>
  <c r="C915" i="6"/>
  <c r="E915" i="6" s="1"/>
  <c r="B915" i="6"/>
  <c r="C912" i="6"/>
  <c r="B912" i="6"/>
  <c r="E912" i="6" s="1"/>
  <c r="C907" i="6"/>
  <c r="E907" i="6" s="1"/>
  <c r="B907" i="6"/>
  <c r="C893" i="6"/>
  <c r="E893" i="6" s="1"/>
  <c r="B893" i="6"/>
  <c r="C888" i="6"/>
  <c r="B888" i="6"/>
  <c r="C884" i="6"/>
  <c r="B884" i="6"/>
  <c r="E884" i="6" s="1"/>
  <c r="C881" i="6"/>
  <c r="E881" i="6" s="1"/>
  <c r="B881" i="6"/>
  <c r="C876" i="6"/>
  <c r="E876" i="6" s="1"/>
  <c r="B876" i="6"/>
  <c r="C871" i="6"/>
  <c r="B871" i="6"/>
  <c r="C867" i="6"/>
  <c r="B867" i="6"/>
  <c r="E867" i="6" s="1"/>
  <c r="C864" i="6"/>
  <c r="B864" i="6"/>
  <c r="C857" i="6"/>
  <c r="E857" i="6" s="1"/>
  <c r="B857" i="6"/>
  <c r="C850" i="6"/>
  <c r="E850" i="6" s="1"/>
  <c r="B850" i="6"/>
  <c r="C846" i="6"/>
  <c r="B846" i="6"/>
  <c r="E846" i="6" s="1"/>
  <c r="C842" i="6"/>
  <c r="E842" i="6" s="1"/>
  <c r="B842" i="6"/>
  <c r="C836" i="6"/>
  <c r="E836" i="6" s="1"/>
  <c r="B836" i="6"/>
  <c r="C831" i="6"/>
  <c r="B831" i="6"/>
  <c r="C825" i="6"/>
  <c r="B825" i="6"/>
  <c r="E825" i="6" s="1"/>
  <c r="C818" i="6"/>
  <c r="E818" i="6" s="1"/>
  <c r="B818" i="6"/>
  <c r="C815" i="6"/>
  <c r="E815" i="6" s="1"/>
  <c r="B815" i="6"/>
  <c r="C812" i="6"/>
  <c r="B812" i="6"/>
  <c r="C807" i="6"/>
  <c r="B807" i="6"/>
  <c r="E807" i="6" s="1"/>
  <c r="C804" i="6"/>
  <c r="E804" i="6" s="1"/>
  <c r="B804" i="6"/>
  <c r="C798" i="6"/>
  <c r="E798" i="6" s="1"/>
  <c r="B798" i="6"/>
  <c r="C794" i="6"/>
  <c r="E794" i="6" s="1"/>
  <c r="B794" i="6"/>
  <c r="C785" i="6"/>
  <c r="E785" i="6" s="1"/>
  <c r="B785" i="6"/>
  <c r="C782" i="6"/>
  <c r="E782" i="6" s="1"/>
  <c r="B782" i="6"/>
  <c r="C776" i="6"/>
  <c r="E776" i="6" s="1"/>
  <c r="B776" i="6"/>
  <c r="C773" i="6"/>
  <c r="B773" i="6"/>
  <c r="C766" i="6"/>
  <c r="E766" i="6" s="1"/>
  <c r="B766" i="6"/>
  <c r="C759" i="6"/>
  <c r="B759" i="6"/>
  <c r="C755" i="6"/>
  <c r="B755" i="6"/>
  <c r="E755" i="6" s="1"/>
  <c r="C752" i="6"/>
  <c r="E752" i="6" s="1"/>
  <c r="B752" i="6"/>
  <c r="C748" i="6"/>
  <c r="B748" i="6"/>
  <c r="C743" i="6"/>
  <c r="E743" i="6" s="1"/>
  <c r="B743" i="6"/>
  <c r="C737" i="6"/>
  <c r="E737" i="6" s="1"/>
  <c r="B737" i="6"/>
  <c r="C732" i="6"/>
  <c r="E732" i="6" s="1"/>
  <c r="B732" i="6"/>
  <c r="C723" i="6"/>
  <c r="B723" i="6"/>
  <c r="C720" i="6"/>
  <c r="E720" i="6" s="1"/>
  <c r="B720" i="6"/>
  <c r="C717" i="6"/>
  <c r="E717" i="6" s="1"/>
  <c r="B717" i="6"/>
  <c r="C711" i="6"/>
  <c r="B711" i="6"/>
  <c r="C703" i="6"/>
  <c r="E703" i="6" s="1"/>
  <c r="B703" i="6"/>
  <c r="C700" i="6"/>
  <c r="E700" i="6" s="1"/>
  <c r="B700" i="6"/>
  <c r="E695" i="6"/>
  <c r="C695" i="6"/>
  <c r="B695" i="6"/>
  <c r="C689" i="6"/>
  <c r="B689" i="6"/>
  <c r="C683" i="6"/>
  <c r="E683" i="6" s="1"/>
  <c r="B683" i="6"/>
  <c r="C680" i="6"/>
  <c r="E680" i="6" s="1"/>
  <c r="B680" i="6"/>
  <c r="C676" i="6"/>
  <c r="B676" i="6"/>
  <c r="E676" i="6" s="1"/>
  <c r="C672" i="6"/>
  <c r="E672" i="6" s="1"/>
  <c r="B672" i="6"/>
  <c r="C668" i="6"/>
  <c r="B668" i="6"/>
  <c r="E663" i="6"/>
  <c r="C663" i="6"/>
  <c r="B663" i="6"/>
  <c r="C660" i="6"/>
  <c r="E660" i="6" s="1"/>
  <c r="B660" i="6"/>
  <c r="C655" i="6"/>
  <c r="B655" i="6"/>
  <c r="C650" i="6"/>
  <c r="E650" i="6" s="1"/>
  <c r="B650" i="6"/>
  <c r="C644" i="6"/>
  <c r="E644" i="6" s="1"/>
  <c r="B644" i="6"/>
  <c r="C638" i="6"/>
  <c r="B638" i="6"/>
  <c r="E638" i="6" s="1"/>
  <c r="C632" i="6"/>
  <c r="B632" i="6"/>
  <c r="C626" i="6"/>
  <c r="B626" i="6"/>
  <c r="C622" i="6"/>
  <c r="E622" i="6" s="1"/>
  <c r="B622" i="6"/>
  <c r="C619" i="6"/>
  <c r="E619" i="6" s="1"/>
  <c r="B619" i="6"/>
  <c r="C613" i="6"/>
  <c r="E613" i="6" s="1"/>
  <c r="B613" i="6"/>
  <c r="C609" i="6"/>
  <c r="E609" i="6" s="1"/>
  <c r="B609" i="6"/>
  <c r="C599" i="6"/>
  <c r="E599" i="6" s="1"/>
  <c r="B599" i="6"/>
  <c r="C592" i="6"/>
  <c r="E592" i="6" s="1"/>
  <c r="B592" i="6"/>
  <c r="C586" i="6"/>
  <c r="B586" i="6"/>
  <c r="C574" i="6"/>
  <c r="B574" i="6"/>
  <c r="C562" i="6"/>
  <c r="E562" i="6" s="1"/>
  <c r="B562" i="6"/>
  <c r="C558" i="6"/>
  <c r="E558" i="6" s="1"/>
  <c r="B558" i="6"/>
  <c r="C554" i="6"/>
  <c r="B554" i="6"/>
  <c r="C550" i="6"/>
  <c r="B550" i="6"/>
  <c r="O543" i="6"/>
  <c r="C543" i="6"/>
  <c r="B543" i="6"/>
  <c r="C537" i="6"/>
  <c r="B537" i="6"/>
  <c r="C526" i="6"/>
  <c r="E526" i="6" s="1"/>
  <c r="B526" i="6"/>
  <c r="C522" i="6"/>
  <c r="B522" i="6"/>
  <c r="C513" i="6"/>
  <c r="E513" i="6" s="1"/>
  <c r="B513" i="6"/>
  <c r="C507" i="6"/>
  <c r="B507" i="6"/>
  <c r="C501" i="6"/>
  <c r="E501" i="6" s="1"/>
  <c r="B501" i="6"/>
  <c r="C493" i="6"/>
  <c r="E493" i="6" s="1"/>
  <c r="B493" i="6"/>
  <c r="C484" i="6"/>
  <c r="B484" i="6"/>
  <c r="C467" i="6"/>
  <c r="E467" i="6" s="1"/>
  <c r="B467" i="6"/>
  <c r="C464" i="6"/>
  <c r="E464" i="6" s="1"/>
  <c r="B464" i="6"/>
  <c r="C458" i="6"/>
  <c r="B458" i="6"/>
  <c r="C454" i="6"/>
  <c r="B454" i="6"/>
  <c r="E454" i="6" s="1"/>
  <c r="C451" i="6"/>
  <c r="B451" i="6"/>
  <c r="C444" i="6"/>
  <c r="E444" i="6" s="1"/>
  <c r="B444" i="6"/>
  <c r="C437" i="6"/>
  <c r="E437" i="6" s="1"/>
  <c r="B437" i="6"/>
  <c r="C432" i="6"/>
  <c r="E432" i="6" s="1"/>
  <c r="B432" i="6"/>
  <c r="C427" i="6"/>
  <c r="E427" i="6" s="1"/>
  <c r="B427" i="6"/>
  <c r="C416" i="6"/>
  <c r="B416" i="6"/>
  <c r="E416" i="6" s="1"/>
  <c r="C413" i="6"/>
  <c r="B413" i="6"/>
  <c r="C404" i="6"/>
  <c r="B404" i="6"/>
  <c r="C399" i="6"/>
  <c r="B399" i="6"/>
  <c r="C395" i="6"/>
  <c r="E395" i="6" s="1"/>
  <c r="B395" i="6"/>
  <c r="C385" i="6"/>
  <c r="E385" i="6" s="1"/>
  <c r="B385" i="6"/>
  <c r="C381" i="6"/>
  <c r="E381" i="6" s="1"/>
  <c r="B381" i="6"/>
  <c r="C366" i="6"/>
  <c r="E366" i="6" s="1"/>
  <c r="B366" i="6"/>
  <c r="E362" i="6"/>
  <c r="C362" i="6"/>
  <c r="B362" i="6"/>
  <c r="C352" i="6"/>
  <c r="B352" i="6"/>
  <c r="C345" i="6"/>
  <c r="E345" i="6" s="1"/>
  <c r="B345" i="6"/>
  <c r="C340" i="6"/>
  <c r="B340" i="6"/>
  <c r="E336" i="6"/>
  <c r="C336" i="6"/>
  <c r="B336" i="6"/>
  <c r="C331" i="6"/>
  <c r="B331" i="6"/>
  <c r="C327" i="6"/>
  <c r="E327" i="6" s="1"/>
  <c r="B327" i="6"/>
  <c r="C323" i="6"/>
  <c r="E323" i="6" s="1"/>
  <c r="B323" i="6"/>
  <c r="C319" i="6"/>
  <c r="B319" i="6"/>
  <c r="E319" i="6" s="1"/>
  <c r="C314" i="6"/>
  <c r="B314" i="6"/>
  <c r="C310" i="6"/>
  <c r="B310" i="6"/>
  <c r="C302" i="6"/>
  <c r="E302" i="6" s="1"/>
  <c r="B302" i="6"/>
  <c r="C299" i="6"/>
  <c r="E299" i="6" s="1"/>
  <c r="B299" i="6"/>
  <c r="C287" i="6"/>
  <c r="E287" i="6" s="1"/>
  <c r="B287" i="6"/>
  <c r="C284" i="6"/>
  <c r="B284" i="6"/>
  <c r="E284" i="6" s="1"/>
  <c r="C281" i="6"/>
  <c r="E281" i="6" s="1"/>
  <c r="B281" i="6"/>
  <c r="C277" i="6"/>
  <c r="E277" i="6" s="1"/>
  <c r="B277" i="6"/>
  <c r="C273" i="6"/>
  <c r="B273" i="6"/>
  <c r="C267" i="6"/>
  <c r="E267" i="6" s="1"/>
  <c r="B267" i="6"/>
  <c r="C261" i="6"/>
  <c r="B261" i="6"/>
  <c r="E251" i="6"/>
  <c r="C251" i="6"/>
  <c r="B251" i="6"/>
  <c r="C247" i="6"/>
  <c r="B247" i="6"/>
  <c r="C244" i="6"/>
  <c r="E244" i="6" s="1"/>
  <c r="B244" i="6"/>
  <c r="C236" i="6"/>
  <c r="B236" i="6"/>
  <c r="E233" i="6"/>
  <c r="C233" i="6"/>
  <c r="B233" i="6"/>
  <c r="C226" i="6"/>
  <c r="E226" i="6" s="1"/>
  <c r="B226" i="6"/>
  <c r="C223" i="6"/>
  <c r="B223" i="6"/>
  <c r="C219" i="6"/>
  <c r="E219" i="6" s="1"/>
  <c r="B219" i="6"/>
  <c r="C210" i="6"/>
  <c r="E210" i="6" s="1"/>
  <c r="B210" i="6"/>
  <c r="C203" i="6"/>
  <c r="E203" i="6" s="1"/>
  <c r="B203" i="6"/>
  <c r="C199" i="6"/>
  <c r="B199" i="6"/>
  <c r="C188" i="6"/>
  <c r="E188" i="6" s="1"/>
  <c r="B188" i="6"/>
  <c r="C185" i="6"/>
  <c r="E185" i="6" s="1"/>
  <c r="B185" i="6"/>
  <c r="C179" i="6"/>
  <c r="B179" i="6"/>
  <c r="C166" i="6"/>
  <c r="E166" i="6" s="1"/>
  <c r="B166" i="6"/>
  <c r="C163" i="6"/>
  <c r="B163" i="6"/>
  <c r="E163" i="6" s="1"/>
  <c r="C160" i="6"/>
  <c r="E160" i="6" s="1"/>
  <c r="B160" i="6"/>
  <c r="C155" i="6"/>
  <c r="B155" i="6"/>
  <c r="C141" i="6"/>
  <c r="E141" i="6" s="1"/>
  <c r="B141" i="6"/>
  <c r="C137" i="6"/>
  <c r="B137" i="6"/>
  <c r="C131" i="6"/>
  <c r="B131" i="6"/>
  <c r="E131" i="6" s="1"/>
  <c r="C123" i="6"/>
  <c r="B123" i="6"/>
  <c r="C119" i="6"/>
  <c r="B119" i="6"/>
  <c r="C114" i="6"/>
  <c r="E114" i="6" s="1"/>
  <c r="B114" i="6"/>
  <c r="C105" i="6"/>
  <c r="E105" i="6" s="1"/>
  <c r="B105" i="6"/>
  <c r="C101" i="6"/>
  <c r="E101" i="6" s="1"/>
  <c r="B101" i="6"/>
  <c r="C95" i="6"/>
  <c r="B95" i="6"/>
  <c r="C90" i="6"/>
  <c r="E90" i="6" s="1"/>
  <c r="B90" i="6"/>
  <c r="C78" i="6"/>
  <c r="E78" i="6" s="1"/>
  <c r="B78" i="6"/>
  <c r="C72" i="6"/>
  <c r="B72" i="6"/>
  <c r="C65" i="6"/>
  <c r="E65" i="6" s="1"/>
  <c r="B65" i="6"/>
  <c r="C61" i="6"/>
  <c r="E61" i="6" s="1"/>
  <c r="B61" i="6"/>
  <c r="C50" i="6"/>
  <c r="B50" i="6"/>
  <c r="E50" i="6" s="1"/>
  <c r="C47" i="6"/>
  <c r="B47" i="6"/>
  <c r="C44" i="6"/>
  <c r="B44" i="6"/>
  <c r="C35" i="6"/>
  <c r="B35" i="6"/>
  <c r="C31" i="6"/>
  <c r="E31" i="6" s="1"/>
  <c r="B31" i="6"/>
  <c r="C28" i="6"/>
  <c r="B28" i="6"/>
  <c r="C24" i="6"/>
  <c r="E24" i="6" s="1"/>
  <c r="B24" i="6"/>
  <c r="C19" i="6"/>
  <c r="E19" i="6" s="1"/>
  <c r="B19" i="6"/>
  <c r="C13" i="6"/>
  <c r="E13" i="6" s="1"/>
  <c r="B13" i="6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H5" i="5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F40" i="4"/>
  <c r="H40" i="4" s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I7" i="4" s="1"/>
  <c r="H6" i="4"/>
  <c r="H5" i="4"/>
  <c r="I5" i="4" s="1"/>
  <c r="P15" i="1"/>
  <c r="X15" i="1" s="1"/>
  <c r="T15" i="1" s="1"/>
  <c r="H15" i="1"/>
  <c r="U14" i="1"/>
  <c r="S14" i="1"/>
  <c r="R14" i="1"/>
  <c r="H14" i="1"/>
  <c r="U13" i="1"/>
  <c r="X13" i="1" s="1"/>
  <c r="T13" i="1" s="1"/>
  <c r="H13" i="1"/>
  <c r="P12" i="1"/>
  <c r="H12" i="1"/>
  <c r="P11" i="1"/>
  <c r="X11" i="1" s="1"/>
  <c r="T11" i="1" s="1"/>
  <c r="H11" i="1"/>
  <c r="U10" i="1"/>
  <c r="S10" i="1"/>
  <c r="R10" i="1"/>
  <c r="H10" i="1"/>
  <c r="U9" i="1"/>
  <c r="S9" i="1"/>
  <c r="R9" i="1"/>
  <c r="H9" i="1"/>
  <c r="P8" i="1"/>
  <c r="F8" i="1"/>
  <c r="H8" i="1" s="1"/>
  <c r="P6" i="1"/>
  <c r="X6" i="1" s="1"/>
  <c r="T6" i="1" s="1"/>
  <c r="Y6" i="1" s="1"/>
  <c r="Z6" i="1" s="1"/>
  <c r="F6" i="1"/>
  <c r="H6" i="1" s="1"/>
  <c r="P5" i="1"/>
  <c r="X5" i="1" s="1"/>
  <c r="F5" i="1"/>
  <c r="H5" i="1" s="1"/>
  <c r="P4" i="1"/>
  <c r="X4" i="1" s="1"/>
  <c r="F4" i="1"/>
  <c r="H4" i="1" s="1"/>
  <c r="P3" i="1"/>
  <c r="F3" i="1"/>
  <c r="H3" i="1" s="1"/>
  <c r="C87" i="2"/>
  <c r="C86" i="2"/>
  <c r="C85" i="2"/>
  <c r="C84" i="2"/>
  <c r="C76" i="2"/>
  <c r="C75" i="2"/>
  <c r="C74" i="2"/>
  <c r="C73" i="2"/>
  <c r="C70" i="2"/>
  <c r="C69" i="2"/>
  <c r="C63" i="2"/>
  <c r="C62" i="2"/>
  <c r="C60" i="2"/>
  <c r="C53" i="2"/>
  <c r="C52" i="2"/>
  <c r="C51" i="2"/>
  <c r="C50" i="2"/>
  <c r="C49" i="2"/>
  <c r="C47" i="2"/>
  <c r="C44" i="2"/>
  <c r="C41" i="2"/>
  <c r="C40" i="2"/>
  <c r="C39" i="2"/>
  <c r="C38" i="2"/>
  <c r="C37" i="2"/>
  <c r="C36" i="2"/>
  <c r="C35" i="2"/>
  <c r="C34" i="2"/>
  <c r="C30" i="2"/>
  <c r="C29" i="2"/>
  <c r="C28" i="2"/>
  <c r="C27" i="2"/>
  <c r="C25" i="2"/>
  <c r="C24" i="2"/>
  <c r="C23" i="2"/>
  <c r="C22" i="2"/>
  <c r="C21" i="2"/>
  <c r="C17" i="2"/>
  <c r="C16" i="2"/>
  <c r="C15" i="2"/>
  <c r="C14" i="2"/>
  <c r="C13" i="2"/>
  <c r="C12" i="2"/>
  <c r="C10" i="2"/>
  <c r="C9" i="2"/>
  <c r="C7" i="2"/>
  <c r="C78" i="3"/>
  <c r="C77" i="3"/>
  <c r="C76" i="3"/>
  <c r="C75" i="3"/>
  <c r="C71" i="3"/>
  <c r="C70" i="3"/>
  <c r="C69" i="3"/>
  <c r="C68" i="3"/>
  <c r="C67" i="3"/>
  <c r="C66" i="3"/>
  <c r="C65" i="3"/>
  <c r="C64" i="3"/>
  <c r="C62" i="3"/>
  <c r="C61" i="3"/>
  <c r="C60" i="3"/>
  <c r="C59" i="3"/>
  <c r="C54" i="3"/>
  <c r="C53" i="3"/>
  <c r="C52" i="3"/>
  <c r="C51" i="3"/>
  <c r="C50" i="3"/>
  <c r="C45" i="3"/>
  <c r="C44" i="3"/>
  <c r="C41" i="3"/>
  <c r="C40" i="3"/>
  <c r="C39" i="3"/>
  <c r="C38" i="3"/>
  <c r="C37" i="3"/>
  <c r="C36" i="3"/>
  <c r="C35" i="3"/>
  <c r="C34" i="3"/>
  <c r="C30" i="3"/>
  <c r="C29" i="3"/>
  <c r="C28" i="3"/>
  <c r="C27" i="3"/>
  <c r="C25" i="3"/>
  <c r="C24" i="3"/>
  <c r="C23" i="3"/>
  <c r="C22" i="3"/>
  <c r="C21" i="3"/>
  <c r="C17" i="3"/>
  <c r="C16" i="3"/>
  <c r="C15" i="3"/>
  <c r="C14" i="3"/>
  <c r="C13" i="3"/>
  <c r="C12" i="3"/>
  <c r="C11" i="3"/>
  <c r="C10" i="3"/>
  <c r="C9" i="3"/>
  <c r="C7" i="3"/>
  <c r="C6" i="3"/>
  <c r="E72" i="6" l="1"/>
  <c r="E119" i="6"/>
  <c r="E179" i="6"/>
  <c r="E223" i="6"/>
  <c r="E261" i="6"/>
  <c r="E273" i="6"/>
  <c r="E310" i="6"/>
  <c r="E340" i="6"/>
  <c r="E352" i="6"/>
  <c r="E404" i="6"/>
  <c r="E451" i="6"/>
  <c r="E458" i="6"/>
  <c r="E550" i="6"/>
  <c r="E586" i="6"/>
  <c r="E626" i="6"/>
  <c r="E711" i="6"/>
  <c r="E748" i="6"/>
  <c r="E864" i="6"/>
  <c r="E871" i="6"/>
  <c r="E1167" i="6"/>
  <c r="E44" i="6"/>
  <c r="E543" i="6"/>
  <c r="E812" i="6"/>
  <c r="E888" i="6"/>
  <c r="E994" i="6"/>
  <c r="E1083" i="6"/>
  <c r="E1161" i="6"/>
  <c r="E1282" i="6"/>
  <c r="E1372" i="6"/>
  <c r="E1454" i="6"/>
  <c r="E1546" i="6"/>
  <c r="E28" i="6"/>
  <c r="E123" i="6"/>
  <c r="E314" i="6"/>
  <c r="E399" i="6"/>
  <c r="E413" i="6"/>
  <c r="E507" i="6"/>
  <c r="E522" i="6"/>
  <c r="E554" i="6"/>
  <c r="E574" i="6"/>
  <c r="E632" i="6"/>
  <c r="E831" i="6"/>
  <c r="E983" i="6"/>
  <c r="E1017" i="6"/>
  <c r="E1212" i="6"/>
  <c r="E1298" i="6"/>
  <c r="E1386" i="6"/>
  <c r="E1394" i="6"/>
  <c r="E1464" i="6"/>
  <c r="E1475" i="6"/>
  <c r="E1557" i="6"/>
  <c r="E35" i="6"/>
  <c r="E47" i="6"/>
  <c r="E95" i="6"/>
  <c r="E137" i="6"/>
  <c r="E155" i="6"/>
  <c r="E199" i="6"/>
  <c r="E236" i="6"/>
  <c r="E247" i="6"/>
  <c r="E331" i="6"/>
  <c r="E484" i="6"/>
  <c r="E537" i="6"/>
  <c r="E655" i="6"/>
  <c r="E668" i="6"/>
  <c r="E689" i="6"/>
  <c r="E723" i="6"/>
  <c r="E759" i="6"/>
  <c r="E773" i="6"/>
  <c r="E1294" i="6"/>
  <c r="E1327" i="6"/>
  <c r="E1390" i="6"/>
  <c r="E1406" i="6"/>
  <c r="E1417" i="6"/>
  <c r="E1471" i="6"/>
  <c r="E1486" i="6"/>
  <c r="E1495" i="6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190" i="5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T5" i="1"/>
  <c r="T4" i="1"/>
  <c r="Y4" i="1" s="1"/>
  <c r="Z4" i="1" s="1"/>
  <c r="X14" i="1"/>
  <c r="T14" i="1" s="1"/>
  <c r="Y14" i="1" s="1"/>
  <c r="Z14" i="1" s="1"/>
  <c r="Y15" i="1"/>
  <c r="Z15" i="1" s="1"/>
  <c r="Y5" i="1"/>
  <c r="Z5" i="1" s="1"/>
  <c r="Y13" i="1"/>
  <c r="Z13" i="1" s="1"/>
  <c r="Y11" i="1"/>
  <c r="Z11" i="1" s="1"/>
  <c r="X12" i="1"/>
  <c r="T12" i="1" s="1"/>
  <c r="Y12" i="1" s="1"/>
  <c r="Z12" i="1" s="1"/>
  <c r="X3" i="1"/>
  <c r="T3" i="1" s="1"/>
  <c r="Y3" i="1" s="1"/>
  <c r="Z3" i="1" s="1"/>
  <c r="X8" i="1"/>
  <c r="T8" i="1" s="1"/>
  <c r="Y8" i="1" s="1"/>
  <c r="Z8" i="1" s="1"/>
  <c r="X9" i="1"/>
  <c r="T9" i="1" s="1"/>
  <c r="Y9" i="1" s="1"/>
  <c r="Z9" i="1" s="1"/>
  <c r="X10" i="1"/>
  <c r="T10" i="1" s="1"/>
  <c r="Y10" i="1" s="1"/>
  <c r="Z10" i="1" s="1"/>
  <c r="X38" i="1"/>
  <c r="T38" i="1" s="1"/>
  <c r="Y38" i="1" s="1"/>
  <c r="Z38" i="1" s="1"/>
  <c r="H38" i="1"/>
  <c r="U37" i="1"/>
  <c r="S37" i="1"/>
  <c r="R37" i="1"/>
  <c r="H37" i="1"/>
  <c r="U36" i="1"/>
  <c r="S36" i="1"/>
  <c r="R36" i="1"/>
  <c r="H36" i="1"/>
  <c r="X34" i="1"/>
  <c r="T34" i="1" s="1"/>
  <c r="Y34" i="1" s="1"/>
  <c r="Z34" i="1" s="1"/>
  <c r="H34" i="1"/>
  <c r="U32" i="1"/>
  <c r="S32" i="1"/>
  <c r="R32" i="1"/>
  <c r="H32" i="1"/>
  <c r="U31" i="1"/>
  <c r="S31" i="1"/>
  <c r="R31" i="1"/>
  <c r="H31" i="1"/>
  <c r="X30" i="1"/>
  <c r="T30" i="1" s="1"/>
  <c r="Y30" i="1" s="1"/>
  <c r="Z30" i="1" s="1"/>
  <c r="U26" i="1"/>
  <c r="S26" i="1"/>
  <c r="R26" i="1"/>
  <c r="H26" i="1"/>
  <c r="X25" i="1"/>
  <c r="T25" i="1" s="1"/>
  <c r="Y25" i="1" s="1"/>
  <c r="Z25" i="1" s="1"/>
  <c r="H25" i="1"/>
  <c r="X24" i="1"/>
  <c r="T24" i="1" s="1"/>
  <c r="H24" i="1"/>
  <c r="U23" i="1"/>
  <c r="S23" i="1"/>
  <c r="R23" i="1"/>
  <c r="H23" i="1"/>
  <c r="H22" i="1"/>
  <c r="X21" i="1"/>
  <c r="T21" i="1" s="1"/>
  <c r="Y21" i="1" s="1"/>
  <c r="Z21" i="1" s="1"/>
  <c r="H21" i="1"/>
  <c r="U20" i="1"/>
  <c r="S20" i="1"/>
  <c r="R20" i="1"/>
  <c r="H20" i="1"/>
  <c r="U19" i="1"/>
  <c r="S19" i="1"/>
  <c r="R19" i="1"/>
  <c r="H19" i="1"/>
  <c r="U18" i="1"/>
  <c r="S18" i="1"/>
  <c r="R18" i="1"/>
  <c r="H18" i="1"/>
  <c r="I296" i="4" l="1"/>
  <c r="I297" i="4" s="1"/>
  <c r="I298" i="4" s="1"/>
  <c r="X23" i="1"/>
  <c r="T23" i="1" s="1"/>
  <c r="Y23" i="1" s="1"/>
  <c r="Z23" i="1" s="1"/>
  <c r="Y24" i="1"/>
  <c r="Z24" i="1" s="1"/>
  <c r="X18" i="1"/>
  <c r="T18" i="1" s="1"/>
  <c r="Y18" i="1" s="1"/>
  <c r="Z18" i="1" s="1"/>
  <c r="X19" i="1"/>
  <c r="T19" i="1" s="1"/>
  <c r="Y19" i="1" s="1"/>
  <c r="Z19" i="1" s="1"/>
  <c r="X20" i="1"/>
  <c r="T20" i="1" s="1"/>
  <c r="Y20" i="1" s="1"/>
  <c r="Z20" i="1" s="1"/>
  <c r="X22" i="1"/>
  <c r="T22" i="1" s="1"/>
  <c r="Y22" i="1" s="1"/>
  <c r="Z22" i="1" s="1"/>
  <c r="X26" i="1"/>
  <c r="T26" i="1" s="1"/>
  <c r="Y26" i="1" s="1"/>
  <c r="Z26" i="1" s="1"/>
  <c r="X31" i="1"/>
  <c r="T31" i="1" s="1"/>
  <c r="Y31" i="1" s="1"/>
  <c r="Z31" i="1" s="1"/>
  <c r="X32" i="1"/>
  <c r="T32" i="1" s="1"/>
  <c r="Y32" i="1" s="1"/>
  <c r="Z32" i="1" s="1"/>
  <c r="X36" i="1"/>
  <c r="T36" i="1" s="1"/>
  <c r="Y36" i="1" s="1"/>
  <c r="Z36" i="1" s="1"/>
  <c r="X37" i="1"/>
  <c r="T37" i="1" s="1"/>
  <c r="Y37" i="1" s="1"/>
  <c r="Z37" i="1" s="1"/>
  <c r="E1650" i="6"/>
  <c r="I299" i="4" l="1"/>
  <c r="I300" i="4" s="1"/>
  <c r="I301" i="4" s="1"/>
  <c r="I302" i="4" s="1"/>
  <c r="I303" i="4" s="1"/>
  <c r="I304" i="4" s="1"/>
  <c r="I305" i="4" s="1"/>
  <c r="I306" i="4" s="1"/>
  <c r="I307" i="4" l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E17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9" authorId="0" shapeId="0" xr:uid="{4FC71D0C-49B8-4451-A499-C6115B1CF62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6D06A82E-9BB8-4B46-AD64-7E4F18E1B38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4B0B4E94-4C36-49D2-8E8E-2249BC3250E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9EC96AFF-D7FE-4143-A4C1-D265EB0E85A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40462EDD-ED9D-4C01-ACE0-86C71C06968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F149CA31-294E-4798-8465-C3CEEB76A37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 xr:uid="{0815D807-EF8A-4F70-AF5F-E492040AE8C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6543375D-9B9F-4785-A3A5-9DD1B6F4CD2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 xr:uid="{13D0F6BA-A18E-44C2-93CE-E9840D8B450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 xr:uid="{1F094C85-D895-4D56-B6C4-B27631C6800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 xr:uid="{289CC0B2-2CF7-4156-9E3C-A2383269F36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 xr:uid="{29298CC2-DC0E-43FC-AA10-D85C9621CBB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EB8DEB5B-7AC1-4B13-BB60-2DF67465AB7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89D3001B-D521-454D-8E91-833003DAE24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1C8996C9-2463-4DBB-9C32-8908CE287F2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737E8F46-37E4-48AE-9017-7154F90AD72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3A3D0724-4E6E-4F62-A1FF-DF554BC433D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646C3709-E0F9-4175-A25E-16E3024A743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6FFC78FC-E2DE-4740-832C-255C7550EA5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C496F030-4D44-42BB-A3E0-8474E4D97F7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AD1AB245-9229-4225-A5B9-B4847770FB6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F79B52D3-4CE3-41C2-BF37-6B0152FDC4B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BCFB9D78-1ED6-45D5-A3E9-E8312D2E54A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C32C61B8-0FDC-4E2A-94D6-85329AA796C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 xr:uid="{5B09988F-3ECE-41F6-84D8-760F27E2111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DAD5BBDC-7B3C-4BC1-A3A6-772BF53E269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 xr:uid="{9797200B-2A48-4A34-B88B-F237F0B07AC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 xr:uid="{E86D21CC-0E81-44DC-8136-D429AB2D25B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 xr:uid="{37277A5C-0C4C-4AF0-B0FD-C37F1DA8B70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 xr:uid="{097C6548-8B97-473D-B884-CA13CB64DA8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76D78BFD-1574-4EF3-9286-DFA87522F32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5D256F5E-B2E7-4EAD-89C9-C61726FF316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C3A8DFAB-9B41-4A43-9970-0A86313A67C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69AEE6C8-E8AE-4E3A-A500-2D3C5BE654C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D511D80B-35CC-4D40-8F67-793AA57D9A6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12025AB7-0C30-4B06-B2BD-89BB3B0463D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327A68C1-D06E-4A7D-AA55-EE469D89D2F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5D666DA8-4FF6-425B-80BA-E8DD849DB58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8DE67DB0-7FB4-4080-BCDB-25D6D85BC7E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50375CC4-7DF7-463A-A7F4-E0C98BE4200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53094593-21F2-4293-8C78-FB6776AC692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CDCD7CB6-B2B3-4286-9303-0881CA6BF3C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85DA60F7-B78C-4A4B-9C60-FBF67D32739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414D99DE-66E7-456E-BA27-2A1B76B636D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31182CE6-A0E9-41E6-838E-599BED7D3F5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30ECF7A0-331E-40C1-BF25-367ED63BB07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5E7BB4B1-1FDA-4CC0-9837-F8CD825E830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AE68B231-C570-4684-AE73-7E7F4C30247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99332831-611F-461D-9FC2-3FFDFE9864D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E1605217-BD29-4A61-8651-B552C536A7F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C8603075-7B96-4F4B-B396-F5323CE370E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743526E4-3B28-4A72-AA6F-629442140E1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721C575C-760A-41F0-887F-D4132D2CB99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73D010A4-F160-4727-A949-F9C646E6E86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 xr:uid="{93EC0C61-96AB-48E4-A6BB-E5A0CA2EDB5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 xr:uid="{AE877E96-B2FB-4F44-A709-A625F69E437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 xr:uid="{EB12A17A-6355-45BD-8D43-EA0D4F62B6E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 xr:uid="{8BA2FB28-E04D-442D-8D2B-FD8B2C13465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 xr:uid="{6B58EBDD-CB89-47C2-B53A-4A5533537D2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 xr:uid="{AB402CAF-838C-4F01-8169-10EE3C6BC39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A568F28F-AB97-418E-B0C1-99308D770DF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9AAF0292-6915-4017-A785-773ADB4CB41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D033D2EB-6B2A-4733-AC31-08215092152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025CC7F9-08EC-4990-9573-EB78BC2C66C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B7CB9BF8-6CC8-4A5C-9CD9-138DAF75613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0FD76BA5-6E04-4865-A334-B96159ADD2D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F766CA11-C9B8-4D41-A95E-76B38D8AEC4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2D4D4B4D-5ABA-44C5-911D-EF7A31D6F28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65276660-4888-493B-8AF1-BC899604A65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26BD92C1-54EC-4EC2-A486-46C47FC83FC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85450C79-33D0-4E4C-9F4F-0F546FCB751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9AEF6B0D-F5AE-43B1-AF99-034D8FD40DA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788D7680-60FC-4702-8B66-422C90E915D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C4C50A6D-DA57-4D1D-BDE9-0FE78D96B6F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CCB834D2-E439-4D12-A476-276AC1AA392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359E25C4-EB03-482C-9660-3D8E8B9163D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46142D5C-C020-430F-803B-775482AB815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97924D2A-6415-4568-B3C0-F7CDB239ECE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 xr:uid="{6E20DBB0-1E9B-4E58-9D1A-3605A9D4A71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 xr:uid="{4BAA8711-5EAC-4EB2-8FC4-21D3A36C7CA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 xr:uid="{920BC9E7-F92B-4CB5-897D-DB2BC9B0D40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 xr:uid="{15BA458F-8B6C-4F45-820A-9D1AAEABB95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 xr:uid="{3B25E75A-98E0-481E-BFA4-AB8B0C5CCB5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 xr:uid="{94A9D7F5-D6B0-44D9-A21D-4AA23D810FA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9DFD4C72-3FA4-4CEB-863B-F3E9174EE5C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AB833629-9F85-410E-B32F-4C3E19B2C14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EDB893C0-BDDC-4EF5-A1EB-8F725AFE120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5650C319-14AE-474F-A6B8-7E818839321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9FAB450B-514F-4D13-A958-3DC8AACD1BA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E1D3DDEE-D40F-47E8-9302-5E0B47D4863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1FC64416-53AE-48C6-9E9C-3A44517254C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A5D4CE27-76A7-4EF4-83A0-F01A9657EFE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3A2CF40A-DD4C-4AE7-BDB4-63AD043E1DD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80905A26-6C87-4F2D-8501-33214C392E5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24960FB5-DAAF-40B9-8892-7847251FC02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9AA28D79-A118-44EA-93CA-0CAD2B10E4B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BCD290C3-0E56-48A4-88DC-423B7676105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30FAC47F-8FB2-4C4C-A91D-F6864FDE74D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F97836C1-2318-4484-921E-B58607A8C29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54CDC5A5-B1A0-4D85-9BDC-1C1C3E6D43A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EF87A6FF-7F9D-4A33-B3E8-68AE44253A7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E114DE32-0A38-4722-A5B5-5E59496FF26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49DB9004-F938-4E93-9D22-8A2452DE3DA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13C7D757-741F-4BED-871F-CEFD1C6D204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34E8333C-7A4C-4C8D-853A-04EB9CC0BD4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55FCA9D7-CDE8-4408-9CD5-2DEF3931D6D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3F833EC1-9DD5-44D3-9564-F304AAB8929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EDAFB051-68B8-4C41-B6EB-64D66E2E39A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1D8EE77F-63A0-4E18-9D8E-4CFAC458AB4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0CE55DFB-1412-4D80-9B46-EEAD0BB94A1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50CC01E3-D661-4869-BC00-9F37DB643CA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58A79739-CB6C-457E-8D6F-A2057247866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76A4C6B6-3A11-4BEB-95D2-C633456097D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75FEF194-EEF3-49AE-8211-17A810ABA63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26605EF7-3F5A-457C-8335-2AF22D0170E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B9992571-0ABA-45B9-B722-3A59416A5E0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B6226B2F-48EA-41BE-B059-F19443B2659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72653DA2-A3FA-47D6-88FB-F8CC56FB676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D73E1457-F4B7-40E9-B81A-F0041726FC7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B5AF7A23-C281-4E93-ADC0-606C9751F84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92237256-DD10-41D8-B95E-2583A7E1F11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4F8723C8-F7B8-4008-8098-8F3694E8C62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EC0BCDCE-F771-46FA-97FD-15940D4C117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3EBC6F00-0F7D-4EA9-9BF9-3DD3312F949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E2CF21EC-22BB-40B9-9BFB-54A319C4073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25233F88-5D05-4E17-AA70-2C3A2728AC2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F033749E-D1A9-4756-93F4-66E565D3D61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23A9334F-3091-44A7-94D2-90882C03F4A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18A5D7EE-6CC2-4051-9730-9E3F59F1496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37E37C74-F615-429D-86DC-9DAAE5CA08E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C01A2AA1-6DAE-4714-9A8F-322BAF2205C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5C8434C2-5A2F-439A-BEBE-5D8561262E2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C3BDA6F8-53B4-4BCE-A075-D9BEF44DA0A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E494037C-97A6-4710-A568-4FC5D80F385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BFFD4E3F-1BB2-4272-9D98-72B41B698CA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38BC4E11-21B6-4C85-89FF-67B3A638708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2A6F0AA6-740C-43AA-9D1E-7465AFF0293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B71D6B5C-492B-4610-BC0C-AB7818319B7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 xr:uid="{920393B8-5741-47CA-A7F1-FBDB25C9BFA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 xr:uid="{45F97967-3E69-4FB3-A4CA-E2CAED9279A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 xr:uid="{715B7E29-838F-4CB6-BC40-C0421B7F609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 xr:uid="{A52F2B82-756E-4863-9781-E1E0C203CB5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 xr:uid="{396C7EF5-4825-4972-BB3F-D985A7F91EA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 xr:uid="{50B8E835-E29B-46AD-9348-3DC7B105C1A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65DA8AB7-85D6-44EB-8053-9306FC503A2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3254CAFB-78E4-45CB-8081-0095C0CB6EB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48931877-829E-4054-85BD-E1C3CD6A7AC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2500D118-25E6-43A6-95DC-F82CA1C1D13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4A05E6F4-9865-4078-9330-F66BE0C2075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BBA3F54B-120D-4D78-8841-8C7CE0D616D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C3DA0C4B-14E7-463F-A4F4-704F7CEBA2A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DE5FEB80-B79A-49DB-B8B5-4D82DE2D4B0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7E1235A1-28A0-412D-88D0-66F2D7B244C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402ACE04-78FD-4F45-8E44-42E4520F5A4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23459BA2-03D1-499D-A33A-A5BF6B1A3DC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BBFE801B-E693-41BD-9A8B-4F9C1E07C9F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5A321DF4-5BB5-41FF-BBB0-603EB9406D8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73DED6F6-2E6E-480D-9C23-ABD7B39FF05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39CA3D52-AD5F-4BAF-AA73-71C2FD50F2F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D5119866-98C9-4AD1-9464-A50FE8FB815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F84A234F-49B3-46D8-A594-B09A601EBA5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93B0A88D-E93E-4C2C-BE90-AD9CD7DB861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5C49916D-09EE-49FD-AE06-6712FD01EF4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3BF48235-3790-45BE-834E-4F8D6AD0FF9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991F27FD-943E-479C-9A79-29A4F1E86A9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75A9C0B6-2C05-4334-AE4D-338C76207E5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3C551F02-F4FD-441F-9788-DB28858E199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C86163CA-1CA6-42DD-8662-1E944A5EA7E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59FE2C19-7BCD-409A-A7D1-C7F54077F3A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671C6241-9E74-4291-B062-B90518F99B0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ADA071CB-5EC1-409F-B306-4276C910071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D2C8BEA0-7140-40B4-9F72-2118D2C5EE8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89F14C87-7ED1-4397-A873-CDC21618B95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D878DFBD-4201-48EB-B4AF-67AD7C87684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15281E14-B4AD-4FF6-A1D0-A41D7B3C1A4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141E5F3B-E295-48A2-9283-CD2310D7D77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9DCEE2D7-670F-448A-857C-DE11E93E0E4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DADFD710-96F4-4D1D-85EA-54DAB585C6F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6D480944-634A-4657-845E-D844037133B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2D5E9711-9A6E-4FAE-AA1F-178738BF30A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5E2DE8C6-A5D0-4990-A438-9E42BC2AFC7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35D0C1CA-57EF-4447-B872-484E03F1853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EE97FC5F-7E3F-47D3-AF80-516B8E1E782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16160F88-8BA2-4E8C-9BEE-4548062F3F2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9653E1C3-70E8-4818-9C72-BF2072EA60B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CF711AF3-1EA6-411C-AAA2-C6A2E6E28E1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F2B585B2-C00C-43B4-8452-078A7D5D146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EF455324-3506-4E7F-832C-6F03787EE3A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3913D998-C737-4B40-A826-43B7F6E54F9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76E1755E-FB1A-47EF-B35A-683E4116B41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3BDA7C8D-0F39-4881-8613-07171074764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18EE53F7-AFE4-4279-B1BD-40C1B5E3D6F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 xr:uid="{B57B927E-18C9-4467-B125-1A830CD70C9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 xr:uid="{33FAF1C4-4DBA-4BC2-BAC9-FE348241FFC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 xr:uid="{0305D33F-0BBB-448D-A9CF-D1441DCB7DA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 xr:uid="{94A7B60A-F6EC-430D-88CF-225C4CEEEC3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 xr:uid="{69154447-4E1B-4BD9-9789-5A210F9FBF3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 xr:uid="{4B74EDEE-D201-45B8-A23E-D06594EE5C7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7C39E2DD-4D60-41EF-85A6-FC1591F5F95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AC16A1DD-C155-4564-89E5-30B1D9C6674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3119CC51-0719-435F-9E42-3AB713B3C92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ECF89F66-8F2A-4FDA-9D90-0A5AD0426F0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2B23CA52-22F0-46FF-BA18-91081410BBA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B38F0424-7EC3-4200-B304-4FA086C0ABA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 xr:uid="{CBC90724-EF56-48CF-9BCA-7687D4EFDDA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 xr:uid="{421E3638-1051-4148-800B-0E066C6B6ED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 xr:uid="{A1F8771D-7A67-4330-8973-F398113E0FC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 xr:uid="{D2864A66-677C-46F0-8442-6C76C44982F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 xr:uid="{AB2BCF06-C883-4E33-9067-A76C995B802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 xr:uid="{C9F79F9C-E3B0-458B-9306-F678A097AA1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 xr:uid="{0296528B-6827-4BAE-A9DD-26B67931B12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 xr:uid="{BE48D9BC-C35F-4D3D-9BCD-EA4D2577F6C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 xr:uid="{6322162A-55B1-4BB8-80BB-F2D08C77E2C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 xr:uid="{8270B5AA-5EF2-4256-9A1D-DD822AD79D3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 xr:uid="{FF7C7311-F173-4C11-B57C-E048832E882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 xr:uid="{E829D5BF-073B-4B64-B8A8-9ECE0AE6A15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 shapeId="0" xr:uid="{F10BAD25-0384-4578-8886-9C1575F903C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 shapeId="0" xr:uid="{F5B62ACB-FB05-4BFB-8DF6-DA82860D45F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 shapeId="0" xr:uid="{D97FCC3B-CA68-48B0-876E-9292EC51CCB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 shapeId="0" xr:uid="{933CE2B0-A77C-4DA6-A31E-947EEC3A0EE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4" authorId="0" shapeId="0" xr:uid="{0D2EC730-9551-4173-9633-723CCE6A101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4" authorId="1" shapeId="0" xr:uid="{AF18C071-89C1-4E53-82C6-A331AAF1B61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 shapeId="0" xr:uid="{1CDEBBA8-9155-4825-B184-5B35B097EA3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 shapeId="0" xr:uid="{5B462686-1F63-4F65-BAEA-292A65A7FBF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 shapeId="0" xr:uid="{9F658150-28D3-496E-915A-0158C2318CE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 shapeId="0" xr:uid="{0CB367A0-81FA-418A-9EC8-67C7A865985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5" authorId="0" shapeId="0" xr:uid="{5A42B0C5-B910-44FE-951F-C096DB4E870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5" authorId="1" shapeId="0" xr:uid="{C7544EB2-AB35-4A65-B675-0770B5D9874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0" authorId="0" shapeId="0" xr:uid="{5C562D5F-4BE4-43EA-BBCA-C7B2494D639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0" authorId="0" shapeId="0" xr:uid="{81C6DE77-40A1-423E-A454-B7B832A7EDF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0" authorId="0" shapeId="0" xr:uid="{28AA30E8-A87F-4FBF-9921-B8E1373BCDE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0" authorId="0" shapeId="0" xr:uid="{14116D26-7DC4-45D8-B49F-ADEEFCF4227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0" authorId="0" shapeId="0" xr:uid="{50129739-A1A7-4EDC-9EDA-D317B91E5A3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0" authorId="1" shapeId="0" xr:uid="{49C724BC-8D05-4A5D-9C5E-5C3A9B8A7FE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 shapeId="0" xr:uid="{A05CD6E8-8E8A-4AEB-A605-A0FB3BEFB2B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 shapeId="0" xr:uid="{ED83F913-AA43-41A6-9F12-617CBBCE884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 shapeId="0" xr:uid="{23C5CFC4-311F-426D-BAB8-044DE4851ED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 shapeId="0" xr:uid="{2CC18473-D522-4FF6-8A7F-B412BD41AE5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 shapeId="0" xr:uid="{5E4D0A59-00D0-4B37-B65B-5039D7E3B1D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 shapeId="0" xr:uid="{FD33C035-3990-453C-9DA4-DB06453B7267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5" authorId="0" shapeId="0" xr:uid="{C1653F2E-4E80-4950-80FE-C8FA1B0DF54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 xr:uid="{2BD166D7-7ABB-47EA-A82C-ED558DFD945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 xr:uid="{F4DFFD19-326F-4675-B265-2A7DCE3CB82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47A08A40-E3C6-4678-9154-293EC6FAD7B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 xr:uid="{1B3BE7F0-B264-4F37-9E2B-A77FEB7B04F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 xr:uid="{2DA2EE6B-358C-4B7E-B854-6AFDF3D652F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 xr:uid="{807E9BB4-DC7D-4A5A-902D-EF57CAC28C9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6C2E6EAC-72CC-4134-8D06-D64746C2019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3289B335-A255-4091-91FD-B042245E35F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C0921DE5-8525-4BC1-85B9-DD318D93B2C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80EDE270-A1BD-4683-AC78-AEC80572777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73C3D50A-65F5-4477-82C2-447BC50F7AB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5962C189-30C4-4126-ADC8-2A26E984AFA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7B2B5767-00EE-4D90-82FF-4BAA23BACCC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833C9EAA-3FFA-457C-A757-AC0BF142D35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1B03C559-86ED-46D5-8291-9506960B96E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19D872B0-059F-405C-9871-722F60A645E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396D8919-D31A-4771-A291-501CB6F3D8B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F185A978-1D87-4281-8F47-7562EBCA20B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C6BFF1A5-BF3B-43DE-96A3-D5EF1E9516A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C10FC26E-36BA-493E-824C-DB7EA6B0177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6AFB0889-3A9C-4622-A7AD-FD496D06E01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9DA21CC3-1654-4732-AEAA-F047FF0928A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4026D5A6-E6C5-48DC-90AE-AF41B2B5677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 xr:uid="{88EEE90A-94C4-4847-A569-AD1AF635BED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 xr:uid="{C353FC99-9C61-487A-8126-DFEB48ED9A2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 xr:uid="{65BB8563-7E7D-4000-9CBA-48ED98AEB4C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 xr:uid="{9532CE78-CA4B-47B4-99B4-E712C327C64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 xr:uid="{04B132E1-AAA8-45E0-8D8D-A8BE449545C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 xr:uid="{6D798340-17C5-470B-88CF-19D9038B90F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 xr:uid="{0B024155-1EA1-4BDC-8403-60CC73C0357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 xr:uid="{A4CE0CF3-B7B4-4163-9E4F-9F8AA90CB22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 xr:uid="{8D7E55E3-794B-455C-B2D1-F860E28404C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 xr:uid="{CB1F756C-D9A7-442D-93F4-74592568B87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 xr:uid="{4BE82A0D-885A-44E2-88DF-D4D94E90AD2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 xr:uid="{BDCA8FCC-1125-4807-9923-86892AC4308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B58F6211-C447-4E1F-A00B-77687E8B479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B063E1B4-5C0E-4CE5-B6BB-06D412D784A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EEF4EA92-05E5-4533-98D1-05C04E5E282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DBD55886-A64E-4B88-B55D-B24AF28B20F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5A5DF04B-7F8C-4EE2-9D30-93B4CD72212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6D462E46-321D-4514-934B-6BE6A6FFA98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 xr:uid="{65D7F2FE-8A7D-49DA-92FB-5963B8D4DA9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 xr:uid="{810623C1-F77D-49BB-8A4A-E0E1492EB11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 xr:uid="{BF271059-9D89-4652-A4E8-E70EE6114F1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 xr:uid="{E0681184-3892-4CF7-80F7-22EBB4EAE36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 xr:uid="{3C718909-ABF8-4FF6-B9E7-05423198D28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 xr:uid="{3E6AF557-FFEB-4C63-83F7-E7368F5484F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B8CA0026-4E4E-4396-9B73-3F697F3D715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3FC093F4-DE0D-43C8-9026-5FD780A1E95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E1920C99-558F-40E6-AA70-7D28BFCD7DB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AF461CD7-DAF2-4EDA-B404-E276C0325E8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EEB8FB6B-F016-43CE-B2CC-071EBC0BFE7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83679408-196A-4B8C-9B89-F6C073FBE0C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9EF73236-EC7D-4347-A9E8-F978CFFEF6E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3DF4901C-0553-4916-B9EA-32BFA8A7098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A05F3AE8-29EB-4E06-99D4-E1023C76C29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42CAF913-B1D3-4CC6-81BF-AF1742CABEC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709DDB6E-73D7-4075-AE8E-28D37631022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A84B5476-BE6B-4FF8-B280-685F814B253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6558A0DC-ADC6-4C85-828D-DF159F2EDE6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3DC08122-8FFE-4ACA-8143-F579157E874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C900A759-58CC-4D05-BD5F-BE1B243A1F1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3FF3B8C4-62E8-4F04-B2A3-22652BAFE55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43408554-6F2D-4690-9142-5ED2210CCBE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496888FA-932D-4C01-9A1E-246726E379C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A35D639E-5D8A-42EA-9F54-CE5A7C0DB07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478C521D-7BB0-46CB-85CD-090FB00C9C5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692DC426-C36A-4244-89ED-6812CE9FDE7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A0870CCA-A1DC-4A61-B0ED-1FB47CFA404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511413D5-6997-4EEC-90F4-EB136C03323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D1872E0F-D1A1-4FB0-BE3D-8198BD3D900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593CAD81-2C3D-42C6-A5A9-7085D2B82C3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42BD8444-C8CC-427A-AFA7-5AFBCB8C7C3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A3B6638E-3827-4FBD-9ECF-417415C0145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ADE5113B-3D0C-4218-AF1A-0AA2B0957AB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A8E368B5-9A5B-4184-95E9-DC1177421BC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736ED599-EA23-4C4D-B129-C806ABA9C07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198B6A86-AB5F-4A10-8305-0E4A5E2B5C9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CF2C1A8B-6F9F-4A2D-B171-5BAC61C6267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DCCB1E2A-913B-4100-ADF9-46F8DD5375E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0B8A4D9D-3CBD-4F74-BC97-7FF52AD6C49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A2158C81-8B1B-41B6-B25C-6AD6D1119F2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E307FC3D-6CDC-4E4B-B6EF-235558709A1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4DB5C1DC-CB0D-4DDB-B118-11734E97A7D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16C82AD5-1F9E-44ED-95F7-4498A51E614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FA485FF0-8C81-4A66-843B-4CCF57FA137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CF2222D8-F9F5-413F-A94A-E5F71A534B7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D027979C-C009-4479-9066-C550CBB9365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451CE01B-F027-4319-876A-A24BAFA0796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 xr:uid="{6C7A2DA8-0A8C-4D1D-926F-B365ACCAD1D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 xr:uid="{758FD8C5-4997-4586-BAE4-C1103277F55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 xr:uid="{5173A20C-5563-4AC3-A833-793EB5758E7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 xr:uid="{D19A8F1F-0D59-40EE-A0BD-A107DBEABB7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 xr:uid="{71F8907E-5DA9-4220-9568-4046388D2E8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 xr:uid="{3981CD11-CBE3-4283-8691-2B64E4C8D06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F8E3D0EA-524B-44DE-A106-DB62EF9A4A3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7D93133B-4D5E-4467-B468-375FD55AC25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266F9CB9-578A-4E9D-BBFD-1504848DB81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228CE581-5C42-4A42-B42A-5C7EE74097E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40C3F4FA-5E45-4A28-861B-77422139E2F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3166A33E-99F3-4FEA-A309-9A5AFB47769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 xr:uid="{DE71F366-B8AF-41D4-B886-525740DBE35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 xr:uid="{FDA84564-3EC2-4396-88A0-ADF49C8ADDD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 xr:uid="{85AB533A-FA34-407B-83E0-131F0AB7A94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 xr:uid="{6736B929-A695-4709-B03F-BA04FC79CD3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 xr:uid="{7D5B0168-2913-471B-9A05-0355D9835F1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 xr:uid="{4129421B-3D39-445E-8A1C-A3738BC189B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 xr:uid="{D4BCAA2F-3728-4194-98AB-19ADCB092CE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 xr:uid="{445DE2CE-8CC9-4A15-BE08-84781B376B5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 xr:uid="{D55D4586-27AD-45DE-A69D-3F276311C94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 xr:uid="{92679D76-FAB6-4BA1-B84D-CCC5DC38423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 xr:uid="{86E61B4D-31C9-4F8D-8ABB-4FBC818E5E2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 xr:uid="{A6FD0936-2F2A-4D62-8D78-73ABC621EB3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 xr:uid="{BB16C1C7-125B-404D-9AF0-58FEA8EB742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 xr:uid="{62754D9F-555F-4462-BC4A-8CCB3A19FD1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 xr:uid="{DE320769-2217-4BB7-9223-071CB37ACB1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 xr:uid="{DA3E7519-2DB7-4131-B701-1A4E6597E72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 xr:uid="{B0ED64AD-DBFF-4F14-A330-D2BBFFC3136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 xr:uid="{72B8F0CB-447D-40C7-8851-60C25196891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E9FAE99A-FD31-42DA-88CF-7BDE14F60D1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77F89C01-29CF-4DA1-9C41-3FE0FBC57F9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F23C1E89-B969-483D-9B9B-882132193A6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DDFE0A03-EC8F-412D-983C-0C8559EE8B1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0AD4BC7D-AF6E-4AFD-B3F4-26DDCC0BCF3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F1883282-6C8F-4FAE-B098-85847BC3DD5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60DD2352-FC63-4D2F-B41A-E174859ABA6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F1D6D119-59B4-413E-AE5F-04EA1DB9F85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1FEBB59F-3851-4DE0-BF10-33E93FCC618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70600593-70B3-497B-A614-D926B4182FF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8FCF8C3B-EF26-4232-83F5-70929D80B26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BA84219A-64CC-4789-A42E-C42BC0C3325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034E8F32-1BFA-4E90-ABA6-A3325743A7C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5462D482-5F1A-4F38-9194-3695A482398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F6B2B2DD-0DAC-4547-807A-DAC7DB7F1FB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30AD58B1-A84E-4BA1-B85F-70702B53460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5A192E3E-95CA-4F73-B1CF-8394B887E5E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FCA439B0-2879-4C9B-8031-FBC2DAD42C3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96BE89A3-8AA0-4BA9-8572-2BAF5D1CA52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74C3DD94-DD38-47F0-88E4-251B9152736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5EFB55FE-CFCE-4456-A1F2-6BB18E9A255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BA215BC7-162F-427F-87FB-78367223C37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4E58DD75-D5A8-470C-928D-A642D4F70D7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A9DB74C3-FD62-4C24-A52D-CAEAA64928B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 xr:uid="{4D22D54D-9911-44F6-B34A-63C46DEECC6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 xr:uid="{6968BF68-851D-45F0-B38E-881D964A1C4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 xr:uid="{F2EC1F02-38A7-4C77-85B8-A591F4A5A08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 xr:uid="{6888CDD1-C99F-4123-B6B4-AD04ADF8CFA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 xr:uid="{9617C249-9C0D-4D77-9707-D1EBF14E27A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 xr:uid="{76C935D3-63DD-48AE-80E2-80D00FE369F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 xr:uid="{A078EEDD-8777-44E0-A933-CA63C25C141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 xr:uid="{3EE2BA71-9EBF-437A-A703-19C999DD072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 xr:uid="{069E7132-9435-4F6B-B880-8B11130772D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 xr:uid="{FB80B38A-BFF3-410D-B871-3A25F552C00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 xr:uid="{0EF9513B-51F2-486E-955A-635A212BE41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 xr:uid="{B455310A-2890-4039-8957-0E80DD11BA1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9E86DED3-AB61-4D19-8B04-A05C11DD0FC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AA1ABBEE-E41C-4FA9-B64D-DADDD6B3AA2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75C0CAC4-8C7B-4605-BBFD-82E92D411FB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9E7FB604-3700-4A35-A9F1-C9F2C603F68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BCA6C05A-15C3-4CFB-A528-4FB8F671505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6178C973-37D2-42D1-8DFA-9FD9D264A65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B059D9CE-8FC4-4664-B49E-758FB993899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BC9E5244-F0AC-489C-8D2C-34E0074A2F5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A75CDC68-B43F-4A74-A215-6E0F8218FE7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227EADF5-6B64-4BAE-9196-E8730A9F6D3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FAA248B0-AAB1-41B5-A74C-C33D11A8606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36940FF0-A0A0-44FF-BC84-21175B14420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0B0D8822-CC96-45A7-A13B-DBA3316308B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95A93939-F8A7-4219-AFD5-1C9FC213357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4AA2EC58-B0D9-470F-B259-369051616AF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215A4D64-4716-4D0B-B0AF-2B836C2F453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9AD1EAB2-516C-41DB-A61A-54F98B7FDAF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D0A35800-AA06-4F2C-AA9C-BBCA6EFEB48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BFDFE3D1-3452-4ACD-BE38-29F27E7ACE5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BB7FD1F0-54D3-4681-94CD-013DEBEA805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C6E51FF8-053E-4FDE-AA74-1F5EDE4DE0A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5295E717-ACAD-4D46-B1D4-4437DE00F17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D6C087B9-6BA1-4261-938B-72D33F13D02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D7B2EDD9-0B0F-4078-B2F6-C26051F1781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FDFB3323-CBB6-4EB2-B585-6C58D5EFD6A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0672C4CC-211E-45A1-ABA2-56F180CB496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817927EC-8F4B-4545-A7FE-FF960E7DA6F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016343A0-1D96-467C-BC87-9D5C337F265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CE0E8BE0-4C5F-4B80-A236-6B91C210FE8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006E81B9-3DEB-4139-8731-2829F317BF5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 xr:uid="{90A5C32A-7BBD-46DB-8717-D3E5FBF70DB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 xr:uid="{5CDF991D-ABB5-48AD-9EB0-BABBA6337AC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 xr:uid="{B73EA40E-A8EF-4C73-AE1F-996B35E87EA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 xr:uid="{F4582237-A2BB-44C5-A07D-4AE799D53F5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 xr:uid="{DA5CE1D6-305E-4612-BA76-096B85462FA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 xr:uid="{CFEFBF75-50D2-4E16-88C5-0610EDF009E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FE16814F-6EA8-4F4C-9A89-3DA8DEDA68F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680CDB49-1070-43BF-9C30-E3C9533A724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783F3C3D-87A5-4B86-9DE0-6449B0A4D80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CF00710B-0BA7-4D28-AD0C-91C995163B2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2A22DCDB-F9A7-45F5-94A7-FDEF4A1E5F7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B9C28C42-90E7-46B5-98EE-51F50C73DBC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EC29F324-5572-4987-B911-42AF350478F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4B2734D9-4F44-4BFB-9035-DC244DED861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763E30FF-24FA-4404-894A-D6FD76599FA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DA5FB723-0506-4802-85A8-01EC47F38E5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C197C5BA-8780-42DD-BD4F-51705106931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E6462EDC-E530-471F-9CA7-063FB445D93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 xr:uid="{03A64FA1-85DC-4B4A-B710-EECE1211AE3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 xr:uid="{46B2FEC1-B7AC-4A99-8E69-2F2CE65CE8A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 xr:uid="{B8970027-8491-45B9-842E-6BFE6580FCC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 xr:uid="{267880E2-943F-4804-A2D7-47317F49E83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 xr:uid="{B79B1946-72C7-4658-B2EE-029BFD2C68A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 xr:uid="{522F7286-A8B0-48E6-80E0-632FA089F7A7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6" authorId="0" shapeId="0" xr:uid="{345404A7-73D1-41EF-B866-55C7438EBDC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 xr:uid="{50A81D41-86D0-47F3-8A92-BD9ACE839D0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 xr:uid="{D709F8B2-EFEE-42B6-8580-93A34B73898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 xr:uid="{CCDF8024-ECD7-4683-879F-02358B61465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 xr:uid="{53BF20C0-8452-4657-AB38-99575A96D7E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 xr:uid="{4B0DC10F-DF59-4843-9854-CCCDDFB2DBF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 xr:uid="{98013767-6DAC-4E45-9133-5FB50A86338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 xr:uid="{DE8D3D13-CF9F-4B45-9B0A-40174CF7229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 xr:uid="{6243B8C2-650C-403B-BEC7-4B76E57BE70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 xr:uid="{489E88C3-AB82-4CD5-AEA9-30E303E80C7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 xr:uid="{28C22C16-4D16-4D8E-9057-C0CA3E017CA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 xr:uid="{0B545609-134B-4187-8245-1098C774A99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C8037C23-26F0-4B4D-9F2A-AD98009A1C4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0C9D482D-463D-47C6-9385-E2D3B00C4B0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E9C48984-BF75-4AF2-83D0-94674E49CAA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63D6A487-2F1A-46CF-A112-9A1F997E5FB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A0F09029-9656-48DB-AFF4-C1EAB63DA99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B5F70E3E-19D7-4A9F-B084-7F736FF965E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D5ED3112-9B79-4A02-8573-98ED3745324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50AB4360-F672-4276-B43F-CA50C388A8F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7FD3BA2D-277A-459B-921C-0F1BACB6B9B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CD495DB1-E207-4E09-B58B-C070A45C506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4B9C3234-BD79-4B5B-9DC7-850E06FF43A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4CB1DC3F-2EE3-428A-B542-5F4FE55DA89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2C1398D7-9F11-412A-ABE8-90E6BF37F8E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83F5A903-82A0-4D44-857D-BDBF821C21B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CD4C5BDB-BB80-4D70-A316-915E4014E15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AE8747A6-AFEA-4A4A-BB23-69239B9A97D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C6B3483C-E806-45AA-8C36-A663B79D5BE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982ABBF4-6010-46D1-862F-273F966736E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 xr:uid="{A1F73FD6-54DD-4697-BBB9-0BB7D8BBA4B7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 xr:uid="{7C5AF87A-A030-4A6B-A4EF-14A98649408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 xr:uid="{C1C6A643-DBA6-424A-82A7-41F7D297D48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 xr:uid="{FB86BD96-3700-49C1-9AB7-78CDE2B479A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 xr:uid="{3B5FC3BE-E605-48F3-B381-380BB18B2C5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 xr:uid="{364B8CE0-0988-4581-9C4B-715B68D11B6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 xr:uid="{BBA39761-BCEF-4553-A952-B2901F771DF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 xr:uid="{CCB0CC57-D512-406F-A0B2-68785B5B5B5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 xr:uid="{123A66F6-A2FD-4F73-81F0-5CCDE8D943B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 xr:uid="{3DB11B6C-9E36-48EF-B4A6-EF2ADDEF5DA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 xr:uid="{FB14C5AF-34AC-4E03-902F-2E86066A472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 xr:uid="{95E4A925-229B-4BA3-A69D-D8E56689BE3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F6EB2C9E-056B-4D59-BDA3-59DED98ADD1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C4FBD091-7B0E-4318-AF40-81C4E4D6B73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53C872B8-3418-4767-87B3-A87DFDFFDC4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966BB4FB-35F8-4A6B-AAD4-75E2CAED2E3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FC625538-B688-454C-B67E-0486A838FC4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40AD3A1C-615A-4DAA-9421-98E37163B8A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52116A3B-8D79-4720-8095-751A0ECE764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FE921487-0679-4C07-BDC6-117FE7A99E4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37DAA2C5-76FC-49BC-A6AC-14B33CBF43A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38D13621-717E-4474-8E38-1896C37C9BF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B166CFB0-EA01-4488-9D43-1DA4EFF9F76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91C9AAEC-3926-41FA-9ECD-CDF0CB985AC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 xr:uid="{8B91728E-F77A-4B24-91EE-50F8E86C228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 xr:uid="{64F35891-2351-4797-BAF3-F9BF9D947FC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 xr:uid="{DD0FF16E-28E8-47D8-AFD7-75A9A69B965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 xr:uid="{0551D59A-C8B0-4CC4-99E3-562B0AE8D7B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 xr:uid="{30E7699C-27C0-405F-8606-A0F702D2F4B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 xr:uid="{F4844E97-1C0A-4E49-9075-FFA40D543EA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 xr:uid="{429034D1-CD25-4FAD-B215-0758F78F871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 xr:uid="{B2FB7074-BDCE-43B6-BB7C-BDFEBE8142F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 xr:uid="{5DCFD603-4938-4BBF-859E-DFBA490F952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 xr:uid="{3EFBB850-0DD7-48D4-8539-DE0CD6A8312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 xr:uid="{3D7D5F03-80C9-4141-A9D1-EACF90AF374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 xr:uid="{80D05CCC-8C3C-4FDF-8F3E-A31FDF1464E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 xr:uid="{ABD8A8ED-77CB-4D89-89E9-7B7FA132104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 xr:uid="{D6C316A5-680D-4250-9F4B-01B549DAAF1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 xr:uid="{A7624748-D47F-4E5B-BB8B-C31806026E4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 xr:uid="{AA6B6457-6D45-4561-A63B-ABAAB2050CF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 xr:uid="{417B9087-982F-4E58-AA5D-54A361FFFB7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 xr:uid="{BBA5A73B-E243-4E96-95A2-B87AACEE2D0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C1EB7925-1F12-4EDB-868B-76421EC32C4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B23C34A7-6C9B-4CF2-85EC-127A958E697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4559A769-F851-400D-B0AA-86BCBA6AAF5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5E3CAE8A-B006-4572-92F4-61CF9604F4C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0C51CC5C-C68E-4599-9EB1-5B62EF28BEA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DD182435-F0CD-4C0C-8F7D-A4C6E27532B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 xr:uid="{33742EEE-CC7A-4F80-AAD0-6226EB5E93D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 xr:uid="{B66458D1-0399-45E8-B2F9-50988B86961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 xr:uid="{FB6D2A79-97DE-489C-979C-11924A2861A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 xr:uid="{F6BA4174-6454-4DCE-B531-C5035D4FB51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 xr:uid="{1C9D1CB9-492E-4F34-8A06-8C9FA65C0F6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 xr:uid="{BB619BF0-2605-4D4E-B9BB-BAC22FBFF45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 xr:uid="{2C7EAD81-330B-44E5-B218-B9A087E0337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 xr:uid="{BE208C7C-602F-475E-B35D-EF0B119AE64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 xr:uid="{FFF55F9C-1AD9-4BF9-89B1-531C35C2721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 xr:uid="{51FE9887-0FD4-403D-A579-70A0DC09B19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 xr:uid="{F50BC391-3E09-4215-A2E9-1720A488317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 xr:uid="{218F6AF4-0415-4784-8CBA-6F4485D1380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C753DEF6-5C5B-4CE2-B6F7-26C606C0EBB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6292BF5F-4BC3-4EE6-AEFB-3B5E8D00CA1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895D37FD-1C7B-45E7-9242-E878E08FC1A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7C02A7A3-DE54-438C-BFFB-3AF04AFCA2E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94B646F3-CB2D-4B71-AD85-EBC4770A441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F12EDC8F-7977-4EFA-AA94-A1CC983FE30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6BAB1EF0-D0BD-4D8E-BF8A-7B598E0723B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4282611C-1144-4936-84F7-6069904A8C6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A9210121-EC3E-4325-8915-DC44A0EBC9C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EFB94639-8684-410F-81BC-8B3B9E18337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890C6704-4211-4EF2-BA87-DAFD4502804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CE1C8989-1EDF-4FBD-8DE5-42EDB1DBB65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 xr:uid="{0E5CB460-2013-4207-BD03-114AE4906FF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 xr:uid="{DB97AAE5-108B-4327-952E-16E414F8525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 xr:uid="{9CC00225-6701-4819-A6A0-B0D171E76C7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 xr:uid="{7F354932-D828-4042-8305-02E1171F286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 xr:uid="{348B985A-E40C-4713-859C-DB5EB3F2CEA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 xr:uid="{4FAC78E2-DCDF-4834-8A23-56367A65B68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 xr:uid="{A4F427B6-60E7-4FFB-AC6E-B047ED31F44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 xr:uid="{63E91BE6-6657-49E0-A6B0-6249F40E353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 xr:uid="{6A303979-C9A3-42A6-BCE6-F7C8FE7DA75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 xr:uid="{1940CC89-0533-45E1-8E3F-393E63EFD7A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 xr:uid="{88EAA07F-788C-41DC-B1DF-AEE63EF8BFC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 xr:uid="{C9BD91F7-DD81-4060-91D9-88BE25ED9D6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 xr:uid="{5B1F6895-F0BF-4A3D-9778-E99A0797EDD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 xr:uid="{B5E0E801-D425-4C85-B46B-72A4543A622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 xr:uid="{8D961E13-01C8-4A25-9857-B222950F4AB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 xr:uid="{7366E532-C57A-4B14-BD7A-A525A28504A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 xr:uid="{D0E76FF8-B7E9-4A8C-8BD9-7E8F9A821EF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 xr:uid="{F908D764-8959-406C-B29E-667ECC4E8B8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0132DE6F-CAD6-44FA-885E-BC34013EE0E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A062233B-D75B-49CA-8F6D-FAD7BB53259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D6ECE5B4-C2E3-4B51-B5CE-4B4DBFB3433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3A872E29-BEB5-4719-9C2C-1BD9F63A3CD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EA174CC1-070E-480D-9CFE-D0AA1C713F8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473D4EB8-3F78-4712-B2D0-AF564CE288A0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 xr:uid="{64EA1D5F-A129-4CF8-A905-54C0B76606A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 xr:uid="{8AB9FBE0-2A68-4B23-A861-A0FC9DBD2A4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 xr:uid="{3D63EB16-1BB7-40D5-8564-969BF5B4F98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 xr:uid="{018369DE-CD61-4A16-942A-5B18E5AEDCA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 xr:uid="{F7E4C344-26DA-459F-9AEC-6026E5A54F9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 xr:uid="{84C3EDA3-7CA8-4DDF-B7E2-62C36A1B468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AC9C7304-5808-4A5B-B50E-45F6D584B8C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380DC76A-F258-4A5A-8AC3-7E4D458E74A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CDDA5EC7-FC90-4866-8B9A-CE60F4224E8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6DB9BBC2-8F26-4208-A0EE-C83A71FF0E9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016E18DD-1DFC-4DAE-A8EE-0E3003082F8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AC14B51D-F0F2-4004-BEB5-A2B52D36851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 xr:uid="{1BF3AE2B-D220-4E65-AD5C-8831A3691F7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 xr:uid="{E94E0E67-C6B4-4CDF-8D39-02FD95142B8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 xr:uid="{905064CF-C1BC-4399-9BD4-B281E687D9B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 xr:uid="{CD869FF1-FB3E-4444-A85B-2E374E5E650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 xr:uid="{6101D04A-DFD8-4CD9-9E8C-D8B599FDC03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 xr:uid="{258A5687-02A2-4D09-9BA9-B2FCA5FAC09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 xr:uid="{2B3E223B-EF54-4AB1-BA4E-2C9947B3BBE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084E8B5C-BC49-4421-8DFF-C1293D8340A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 xr:uid="{A98CD55C-5A18-44A1-9695-554837AAAC1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 xr:uid="{A0EC87C5-DB2B-4C86-89C9-4BFA74779C9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 xr:uid="{C21BFBC8-9183-412A-8B27-3249B6B7D0F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 xr:uid="{6883FE93-95A5-4151-A687-8F9EF3987B5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 xr:uid="{7DA3AD03-5895-4772-ACF0-21A638A9C0F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 xr:uid="{D4CCD2AA-AF7F-4D53-9ABB-6109B8552C8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 xr:uid="{238371B8-8ED1-4AC9-A95E-E5D9ED0F8C5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 xr:uid="{5408A715-B638-4307-9B1A-73C4E7CB265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 xr:uid="{52E9F63B-5C69-4BDE-A9B9-8C624D0652E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 xr:uid="{D4BE2ADC-415C-4993-9449-C2B376CD034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 xr:uid="{73B92549-507E-4FB5-AF4B-6DE60D2B6AA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 xr:uid="{D70EEDCF-3521-4A54-A14A-664F8B5B752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 xr:uid="{482B032F-568E-4E29-9724-9BFB95272AB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 xr:uid="{4CF93D83-D42F-497F-9EAD-C84C5215B8F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 xr:uid="{391FC030-5BC7-4388-95E7-0FE0D41B969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 xr:uid="{12D4906E-20DF-4CCF-AFE4-167BB0F1C0C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 xr:uid="{32FD0BE5-4B0C-405A-869E-2F23C675502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 xr:uid="{F9C0BF0C-29C3-4FBF-ACF3-915F86145AA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 xr:uid="{6CA62401-70CD-4098-AEFC-801C60F3D14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 xr:uid="{7D5DF2A0-C9CF-41B1-9496-82EAB495482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 xr:uid="{3E80C827-1631-4341-8021-DDF469F6F89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 xr:uid="{D4116F35-8D15-48F7-9895-4C1EA6B7BDB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1DAE14BD-66A0-4479-9438-502CC62049A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CA640F32-8E15-469B-B748-3693FD74E7F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3536953D-7CF5-47F5-B27D-E56DC28B729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9493D9DF-BC57-46B3-A194-2258EE3E4A5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A6C6C9A3-60EE-41F6-8C42-8D561174D3A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BA1EFDCB-D266-4B44-8F19-63924AF1AC7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 xr:uid="{4BBAA48B-9BB2-45AE-98B5-C178118A5F5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 xr:uid="{E2C04790-C3FE-418F-A169-E6FAFD53E30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 xr:uid="{8BF1FCE0-1A5A-4B19-8D96-4CCF7697667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 xr:uid="{573C539C-E952-4D31-A1BD-D0A32C1D1A7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 xr:uid="{D182948E-4D80-453F-AFE7-F71F1E918AE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 xr:uid="{461CDB3A-0844-4848-8A88-2F3E111D1AA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E7E60BFE-27E8-4C61-B4B7-309006015AC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5CD53574-E5A7-449B-99F6-554535897D5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C13BE8AE-A8B8-4230-BFE5-9ECD08BE3FF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7BDDB498-7E38-4469-AF7C-D41930AEF04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8DE43141-0699-4BD3-9DE4-0982AB326D3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3769E406-939E-4464-85EC-03C35DA35FF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 xr:uid="{9FC7F73F-8621-4DBA-AF35-3E5947DBCCC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 xr:uid="{79262FE0-3811-4B27-B340-C8A73F2CACD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 xr:uid="{6B214BBD-E415-4F51-A506-91A1A3BCD1B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 xr:uid="{3199AF85-DDBF-4A03-9B81-012AA7C470B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 xr:uid="{FC631638-F79F-4B9C-ACC9-E30D0F9C7D6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 xr:uid="{45B9ABE9-189A-4074-8556-6D356590643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 xr:uid="{E20CD66A-F72F-4E2B-844B-44F7E30E94B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 xr:uid="{7E132C94-BB99-4B9B-8290-F686FF20EF3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 xr:uid="{64BD116D-74F0-4AAE-942F-AE825C51051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 xr:uid="{07FF4071-EAFB-4F44-81A4-946B08B7964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 xr:uid="{4216E47D-A7D4-4AAC-9155-8CC4616EC93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 xr:uid="{1FAE91E4-8BA7-4BFE-8198-311975635F0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 xr:uid="{726E825D-DF60-4304-B028-78E6B34945B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 xr:uid="{B7E62D57-27E8-4D21-8890-070D9A9AE0A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 xr:uid="{11D1208E-F3F4-4D7B-BA03-62CD18B41CE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 xr:uid="{27AC4F80-FF17-4514-8349-904379ED6F1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 xr:uid="{90AE1133-1E3F-4706-9278-7210A40961F8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 xr:uid="{43F2C7FA-8CE9-4DA2-85AD-FA023DA2DB1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 shapeId="0" xr:uid="{0C914B2D-9694-497F-8DDE-BC4E281DD29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 shapeId="0" xr:uid="{68301FF7-4E43-4118-9257-1EF2F5A2918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 shapeId="0" xr:uid="{FC9FC781-3B01-4990-869F-B16DE89AE93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 shapeId="0" xr:uid="{9BFB93D1-E020-4A8C-B113-B816215388B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7" authorId="0" shapeId="0" xr:uid="{AD04E2E2-AEDD-4595-8F5E-7F8E642E85B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7" authorId="1" shapeId="0" xr:uid="{F811CA80-2480-456D-A3BF-FDC5BF2C416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8" authorId="0" shapeId="0" xr:uid="{0E379AE1-880E-4C72-8EF7-C71FA9F353A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8" authorId="0" shapeId="0" xr:uid="{6996AA8F-D250-4801-9FBB-0946F01DFF4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8" authorId="0" shapeId="0" xr:uid="{2682B328-D5FC-41AC-BCDC-0F60EB2F92DE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8" authorId="0" shapeId="0" xr:uid="{CF61789F-A4A8-4D3D-A3A5-105F1367D2F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8" authorId="0" shapeId="0" xr:uid="{C43EEC2F-5BAF-4BD0-A89C-0786AA897DD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8" authorId="1" shapeId="0" xr:uid="{AD44ACF1-8A7D-46B9-B0FB-4FF63F32F52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 shapeId="0" xr:uid="{31A24864-F347-46C0-B108-EC76AC9FC02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 shapeId="0" xr:uid="{C03F4B0F-4A45-46AB-AE9A-8CD9F881A85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 shapeId="0" xr:uid="{E88749CB-E78C-494B-8901-79165492E207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 shapeId="0" xr:uid="{747EAA42-A26D-4AE3-9118-2BE994736A4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 shapeId="0" xr:uid="{3B4849DE-A894-49CC-A652-E0ED5407169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 shapeId="0" xr:uid="{D47E8188-9262-42F8-ACF0-3DF65918384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 shapeId="0" xr:uid="{C4C50A82-99A8-4F48-92D7-964FAC062E2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 shapeId="0" xr:uid="{4E42A1FA-D486-4189-9298-D0D7E724ABD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 shapeId="0" xr:uid="{BFCFB66B-BE1F-45D5-9103-38DFA3B996C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 shapeId="0" xr:uid="{586295F4-FBB1-4E9A-8128-262990061CB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 shapeId="0" xr:uid="{EB0D40E0-465C-4D8E-A918-6DF343645CF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 shapeId="0" xr:uid="{F0B3DD90-ECD9-4413-BF5E-56AA8F021003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octavio-cic</author>
  </authors>
  <commentList>
    <comment ref="F4" authorId="0" shapeId="0" xr:uid="{78815AE0-F8E2-488E-BAD1-2A688C6142E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 xr:uid="{35FAC429-B79A-4610-BB43-C71B7FEC2FC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 xr:uid="{F8E1385F-C1B7-4B7B-9A7F-468ADD8179E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 xr:uid="{8CD60833-C292-4FF7-92E5-B6593530F9D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 xr:uid="{6B828D1F-6DA0-423A-A682-C5AE997AECD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 xr:uid="{5FF1171E-E9BE-4B63-83B2-BA1D7C53E9B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 xr:uid="{0A7B02D3-D269-473B-BFD3-290C666F9BE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 xr:uid="{DD8FA07A-4BC1-4D3E-9425-8F556992B0A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 xr:uid="{F7F25452-C8C4-4024-8EB3-5B56A7A465A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 xr:uid="{02950975-8EE9-4FFE-B7EA-036FC068F11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 xr:uid="{2035D42D-48AF-4DEA-AC32-8BD80D335ABB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 xr:uid="{9D4C15A9-DC2E-4FF4-B29C-BD004B88FA1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 xr:uid="{D9A3FF72-85CC-49AF-AB62-D4907C95067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 xr:uid="{F9EAA829-3706-48A6-9FB5-3B401699BE6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 xr:uid="{EE7905B2-A04F-4B48-ACDF-88AC9506333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 xr:uid="{AEC72462-F022-4603-A5BE-2C94E25F090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 xr:uid="{115F70B7-5A14-427E-9BBC-D341C6DB5E7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 xr:uid="{18433461-066A-4C60-B4D4-49BBBD6243F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 xr:uid="{F71C6B7B-ED9E-4B0C-8AF4-26FE36345F6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 xr:uid="{6BEDFB41-0AA0-462D-997C-36EDEED38E4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 xr:uid="{693E75D4-B94E-4B1D-A748-9BA0D8C4541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 xr:uid="{A9D9B103-0197-40B7-8B0E-60DA207BB3D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 xr:uid="{90B0D9BA-7AFE-48EA-AA26-2A59A1047CD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 xr:uid="{1FC8EE8B-7AA2-4617-A2F6-ADA3DAC7A61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 xr:uid="{C49866AC-B53C-4853-BCF2-7BFA7271572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E506D4E9-C801-4FBE-AFBE-3A867336604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 xr:uid="{B221C2F1-F6D0-4A10-BF30-234E8DC521C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 xr:uid="{C9CF1487-46B2-4EEC-83FB-BBC96038E733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 xr:uid="{C25566CC-0D88-4917-B75B-4E98AF4F6A1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 xr:uid="{6AA36122-F0EF-4E65-9B60-F590B9FA186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 xr:uid="{B4B25769-8553-4FD6-BBC5-836F8B70BBD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 xr:uid="{74B626DF-F845-4534-8990-B18FA27B411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 xr:uid="{452E8CCD-0E93-4287-A182-A956AE2AF4D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 xr:uid="{18D844A3-13F4-4C3C-AA5D-7CB10C76D19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 xr:uid="{6307D4FE-6160-46D6-A5FD-A600A76D2F29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 xr:uid="{7A3D1859-C900-42F5-8032-D2BB2D341AD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 xr:uid="{47947AFA-09CD-4D4C-93BD-6460E103B74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 xr:uid="{33329F9A-7C99-415A-BEE2-87E0C0DE58C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 xr:uid="{0DEC97F0-26A1-434C-B1FB-BEA6981572D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 xr:uid="{9F0BB47B-911A-4984-990C-CE734998745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 xr:uid="{2C01E821-CC13-40AE-87B6-84FF2A1A5B2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 xr:uid="{DF4F8776-CBFB-461C-9224-B8B6D03747A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 xr:uid="{B06EB15F-8F4D-4A99-BA46-6F301251DA1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 xr:uid="{39CCFE20-EF1D-4761-A77A-672089DC16E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 xr:uid="{5C5A8136-28D1-4F2A-ABF9-3CC6A9098A3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 xr:uid="{CA8533B8-99FD-4174-BA7D-5D16D6FDA39F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 xr:uid="{4312FA4E-4A4E-4457-B969-4819C9BE587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 xr:uid="{260FE295-DD08-47FE-8A55-E221D1C1BFB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 xr:uid="{F9493768-408D-4FD6-BDA9-8364FCC8A16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 xr:uid="{807FB506-DA98-488F-957C-E0C818E4AFF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 xr:uid="{A8864C20-24B9-4973-A2EC-5F1B9BCE1D6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 xr:uid="{5ECDC657-3835-403E-8810-ACB88651104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 xr:uid="{8F72C169-E8CD-4F71-8785-77911F92796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 xr:uid="{F89FE445-C6A7-4A7B-A063-038D3D50979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 xr:uid="{4E2B2191-7FA0-4FE2-9EFA-E05E1491ECC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 xr:uid="{2D8C28CB-7B86-4343-BD72-0F911B5D618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 xr:uid="{7A89438F-D648-4C86-9E6C-4D4DD1319DF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 xr:uid="{262AD972-59CA-40CE-AE89-5647181FEEB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 xr:uid="{EA49226B-428E-4547-BF5C-3D864B3181B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 xr:uid="{AA697123-BF09-4094-B195-A05359C2E04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 xr:uid="{DAE66F24-C178-4B4E-958E-7F0982E715D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 xr:uid="{98DA1DEC-70A5-4D03-9ECF-BC4DF06D210B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 xr:uid="{D31CFEB0-4130-4DB6-8D97-042DE440FFC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 xr:uid="{7019645B-C6BD-429B-B574-BB18FEB18DEE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 xr:uid="{525A4A68-0943-444F-B894-DDFBAA0CE51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 xr:uid="{5AC824AF-3A7E-4892-81CC-B365BB918CD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 xr:uid="{0126F404-74FB-4FB5-A3A7-A813AF8E221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 xr:uid="{5E09C155-F9D7-4B7C-931E-A66EF717DFD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 xr:uid="{F55F69A1-D2FF-4704-B3C3-B81A7F3CEDF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 xr:uid="{8D48E204-3EC6-44F3-B98F-95AAA47C716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 xr:uid="{D14989D4-E549-4CB7-A167-EF4F8D2C3D8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 xr:uid="{AAB6C9A0-7250-4B1B-AE0D-275E17130FF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 xr:uid="{1CFE8191-1F43-4034-ABBA-14139EBDC8D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 xr:uid="{5D86B95A-2FE8-4661-830E-49D9E03D427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 xr:uid="{A3BEC909-EF7D-4F7A-BB30-810CFBDFD88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 xr:uid="{C35006DB-041D-4C09-9D6A-90D97A68001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 xr:uid="{37033CF0-DFB7-4ECA-93CE-F09EBBDC102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 xr:uid="{7ECF3D8F-ECB4-4053-BE95-6280588E12FA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 xr:uid="{9FA51F3A-24BD-47F6-9808-B1BFE6ED914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 xr:uid="{50E137E7-A28A-4535-BE30-60C328FF1A7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 xr:uid="{C601873C-C917-4D6E-8F1E-87FA3B5A9EA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 xr:uid="{E2B7389C-6C5E-427C-A954-45D7A2AD1E2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 xr:uid="{BE6C435C-1D64-4B24-B5F8-0587DD9BE41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 xr:uid="{C201AC78-6DC8-460F-BFF3-CE9A24E3E49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 xr:uid="{E17B46F3-6971-41C6-9D82-C1B164813EE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 xr:uid="{980BEE44-0E0B-44EA-9B1B-692C21CC201A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 xr:uid="{D2F58A59-5C07-470A-BDF3-4AE82AD89056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 xr:uid="{BCC3FC19-9365-488A-81DD-ADB47B991AB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 xr:uid="{E4144497-162F-4348-B890-766832C5A6E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 xr:uid="{E384963E-16F9-4109-9C81-5ADED430D0F3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 xr:uid="{52304176-35E4-42ED-9772-786B59F7AA49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 xr:uid="{93846190-749F-4944-9FC2-4C4C3EE11E99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 xr:uid="{1DC20140-A595-4759-BC36-0C24F4BDA0FF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 xr:uid="{19FB16DD-B7D2-485E-A918-DF12475B1DD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 xr:uid="{0D2B25B8-CBA0-4876-AAD9-8F86C82AEE6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 xr:uid="{C6ED931B-5DE5-47A5-82D6-CD55E3F2679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 xr:uid="{89E5FA79-A938-443E-B679-838751E2BF06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 xr:uid="{394D5A54-7902-4730-80DB-009A72BA3A0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 xr:uid="{F92609A3-55AE-4304-80A8-D67D78E1649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 xr:uid="{4AF64D03-A0B0-4E81-938E-0D29FDF0B48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 xr:uid="{C587EB65-D0BF-4148-8331-7F5F3F3F89F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 xr:uid="{D1EBB413-47D6-4116-BA81-3DAECA137D9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 xr:uid="{3A293CE3-56C7-43C7-B37F-FE031553D93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 xr:uid="{D94C1F1B-3840-40DD-AB15-8D0A23D948BC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 xr:uid="{00A488CA-B5BA-4082-8094-65558B5656D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 xr:uid="{50DB0634-9FA5-4FE9-812B-2D3193AB80A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 xr:uid="{45840B48-24D0-4BB9-BD0E-A526475334C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 xr:uid="{1062A7FD-C538-4506-810B-833FC5D302F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 xr:uid="{CE8571C1-38FF-42F1-BAB1-4B151E609F6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 xr:uid="{FAC6701D-6EC2-4703-9D75-70C8B5F7491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 xr:uid="{0E9BB72B-3D63-40E3-BB82-F3936B777B3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 xr:uid="{313A067A-2651-44C0-9A2F-A48C0D95C7A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 xr:uid="{177C5EE7-8A62-4811-A951-09824B9E495A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 xr:uid="{948B2CA3-703D-4803-8278-0FCF0CEA61F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 xr:uid="{8F6D8C43-24CD-4F91-AACC-5179F288B54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 xr:uid="{54CD7015-14D9-486E-AF2D-8FD586BF01F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 xr:uid="{5ABB70E4-2969-4ECA-859C-5FD71EFB7561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 xr:uid="{CE30D395-1136-4A70-B0E7-EEF5C0FCD5C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 xr:uid="{C3941DDB-C9A6-4DA7-8B77-FD7B7BCAF70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 xr:uid="{6F130DE4-F25B-4962-A21B-C4E3FE16F56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 xr:uid="{70B7554B-081B-4F01-BF17-DC593C90DC45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 xr:uid="{3C961804-04A1-4029-A596-A9AA482A43B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 xr:uid="{793E299F-0402-46B1-B3D2-69601BEC273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 xr:uid="{0E2B98AB-1C58-4ED6-8327-34C370AF149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 xr:uid="{B3C103A8-B0F5-4414-9430-D04A6C2A515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 xr:uid="{8C98FDE6-0E76-4D03-BFE3-B5332F769F41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 xr:uid="{D4322D3F-BE3A-4C94-BE7F-FA7654FB2BD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 xr:uid="{41F53DB1-D382-466F-9528-19E6E96EF5E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 xr:uid="{5EE14C6E-9557-4F30-B698-4DCFADA71642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 xr:uid="{12654A0A-C432-44EF-9FAD-937785B2512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 xr:uid="{8F2F17F7-4809-462D-8B42-D2CF6A8D9C3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 xr:uid="{BB94EF1E-61BE-42B8-88CE-577E3F5543D5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 xr:uid="{211F352A-B4CA-48CC-B31D-720BAD72DF7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 xr:uid="{D85E1695-BCDC-48A8-A118-F81AF9C86F4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 xr:uid="{183AB98C-FEE7-459A-B128-387AEBEAF248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 xr:uid="{7DB3FA89-147F-488A-9630-C9A4E8A740C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 xr:uid="{16D287E1-476F-46AC-A58D-DB221F64DFD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 xr:uid="{F5B08091-02BF-499D-9764-C4F92E62EFE4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 xr:uid="{98103063-9F37-4DAC-93AA-B3D319E4DE5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 xr:uid="{9DDCF832-6343-4AA8-ADE9-CC12861A66C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 xr:uid="{B362F60D-66E8-4232-B3F6-E3E4B30ADD8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 xr:uid="{978346BB-0976-4742-AE35-A0F55F6D6FF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 xr:uid="{560BE423-8D53-4374-9FA0-C649936934B5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 xr:uid="{C3C72379-5587-4404-B133-DB9E24D4F6A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 xr:uid="{E0A3F244-41CC-423B-A9B9-53D2035A617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 xr:uid="{ABB4ACB0-4697-412F-B8E4-F86030566190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 xr:uid="{0A0D0918-021F-4C72-84E3-3B3EBCC62D2A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 xr:uid="{E8B7A66D-D642-44B1-92F3-262BDF3C9F57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 xr:uid="{45CF531C-CEEC-4353-B975-DABDF420811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 xr:uid="{F049ECC7-C6CF-4FD5-8A9D-5FD745F761A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 xr:uid="{C34C9D46-66F0-4726-9FF6-3E1EC0D80538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 xr:uid="{9B70EAC5-336F-4724-A3FA-8FBA4B08437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 xr:uid="{C6E313B1-E1A3-4B18-AE65-EC115B8A4A6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 xr:uid="{46B2F11A-880B-4D8F-81A8-DD948ABC9D1C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 xr:uid="{DF51CA19-0076-4ABB-9771-EEB539E4C22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 xr:uid="{3B8D7008-CDF1-4721-8CB0-838EB7EF8FFB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 xr:uid="{87A21B8B-6603-40EB-9D5B-BC79D2FECDC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 xr:uid="{AC51779B-FF41-4549-B318-F28896B4B696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 xr:uid="{E97BE129-B0E1-4D3E-B010-B67EAE8226F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 xr:uid="{536AFC10-8A79-4B01-8BC5-A2106783E92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 xr:uid="{7AA45EB8-681E-45A8-81D2-CDABF4F25DF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 xr:uid="{EDA2E6E7-03D7-4464-9B5B-D1B180A9137D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 xr:uid="{0F306964-82D1-47C8-9277-9588EC349A12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 xr:uid="{D3E54A17-B532-4804-98C9-8165CC3C99E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 xr:uid="{537422B5-627F-4F01-9498-337C0316B70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 xr:uid="{C0A6BC92-6990-4DB1-ACC4-CDBE33E458B5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 xr:uid="{BEBEB7E8-C1F9-4A3E-B46D-2E17362703DE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 xr:uid="{8A9372A6-F4A6-42C1-AC84-1F3A29EC103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 xr:uid="{D28337BB-88ED-4382-B0FF-3F91CFB5C1D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 xr:uid="{CCAEBC0A-45A9-49A6-9FD4-8E9795981237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 xr:uid="{0FA4BFAB-74D4-48BC-BCB0-48FD119068C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 xr:uid="{139B9E75-64DD-4F14-8A28-B69719696056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 xr:uid="{9C073695-8E84-44B6-8A47-D6CEB0C7DCE4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 xr:uid="{3D06EB24-FCFD-4235-85D7-E11D7C905E7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 xr:uid="{494CEF5F-CFB5-4838-8FBE-F924EA6DFE04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 xr:uid="{5A1A78C3-AE93-40DF-885A-84F0866CA24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 xr:uid="{65A38404-1468-4698-8AE8-EB25C82D9E2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 xr:uid="{41A1DE59-4422-4DDD-B2F1-0ABA6F013BF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 xr:uid="{58207F17-09E6-48FC-8101-C36C8D8DEC2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 xr:uid="{7F92403A-6414-464C-905D-C49CCBDBB98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 xr:uid="{DE3B012F-899B-498E-99CC-3C9F9E528A03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 xr:uid="{C44F84AA-7D5F-478D-9DAB-C1405161F14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 xr:uid="{7583DABC-D521-4A81-995B-E5541AB2C43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 xr:uid="{5E170CA4-A148-4CE1-A068-6F199E610F5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 xr:uid="{C6E5A60D-5F53-425E-882F-BCA7CBFE041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 xr:uid="{FF203BB8-FC78-4D38-9FCE-384E1D43397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 xr:uid="{7DB02BE9-0311-40E6-96E2-1F246825306C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 xr:uid="{3C622FD2-A027-4997-9EFB-C2F55A534461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 xr:uid="{E1607E96-337E-4001-B319-3DC3F3F8DDB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 xr:uid="{0BFC820B-4700-4287-973A-4DE68912BB0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 xr:uid="{E487F403-B0DE-4B0D-8705-621FF6D7C937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 xr:uid="{F440977C-5CB4-4A71-A811-50706B5681F2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 xr:uid="{8026C35C-9F28-4639-A147-5AA16B0863A0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B34C6BED-2147-47AF-B42C-F59D50EEAC8D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 xr:uid="{9F16A073-E203-4927-8CB3-72B5FE803BB5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 xr:uid="{12CAC890-E510-488D-9E97-4689AD57A0AA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 xr:uid="{05F6306F-E2C4-4A07-AA84-EAC9543775BC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 xr:uid="{87D5B703-BBD7-469D-AE59-A40E7AE4D13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 xr:uid="{820BA1D9-59F9-4AE4-ABEE-DE7196AF9F3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 xr:uid="{35C8DFD9-2314-4D06-86CC-E807D2D8CE1F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 xr:uid="{3EC9EADA-D50C-4BE3-9380-EFAA89BD738C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 xr:uid="{53A4DF2A-053E-43C8-8CC0-D7753C181082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 xr:uid="{54997386-3A2A-4AEF-A8A1-27BC25B770DF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 xr:uid="{A7B6E503-BBDE-4EB3-91CD-1C9667889617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 xr:uid="{A8E469BB-FB61-40EF-B419-6A080A779E9F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 xr:uid="{A2C4DF33-1DC5-4CC3-9AF5-2A616A29232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 xr:uid="{1ABF12F3-A6E4-4CD7-8D2B-E66CD9AD81C9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 xr:uid="{E6A8048A-E4E6-4E02-A690-C9F44185DF89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 xr:uid="{425FD193-E05F-4343-B1E4-1ABAD53F3A21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 xr:uid="{EFF85F8C-58CA-431E-90D8-749EA856B028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 xr:uid="{3DA242E8-9CCA-422A-BAEE-C8B3C7A5B5A1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 xr:uid="{9BA195D0-7DC3-4719-8786-647F123029BE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 xr:uid="{EEAA0005-C134-46F7-8E6B-642A5CCFE90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 xr:uid="{3AD74953-2CED-423A-B385-AF3B3E40C914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 xr:uid="{CFBC2B92-99BC-4021-ACE0-CD4963655C60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 xr:uid="{4166B734-9161-449A-9ABA-9902F596CF9F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 xr:uid="{39033938-D799-4D7F-87D8-7C484D7409BD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 xr:uid="{D6FE7217-5C60-4FCD-B012-E932CA8B3DB5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 xr:uid="{D3E7E1FE-BB9D-4839-9ADD-756BB0DC0F5D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 xr:uid="{F0A13E7F-48BF-449C-8516-C61593CCE6BB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 xr:uid="{5C76F305-7A0F-4DBE-B4C3-40845DD0EAE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 xr:uid="{94B9D526-8160-4FF2-B6A7-357DFCF0831C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 xr:uid="{2A6DF775-A632-4F0B-857F-0A3AA26974A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 xr:uid="{54452DDF-28DD-413E-9FCB-2222CF7A4ED4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 xr:uid="{02C2F860-2C6F-45A8-9323-243ABF27961B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 xr:uid="{FE557FA2-E79E-4612-9E7C-F22EC74CFF20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 xr:uid="{B7EA789C-5BF1-4B0C-9DEC-C4AD3D6EF7C2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 xr:uid="{88CCB96F-622A-4D9C-8153-75A50E90AA0E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 xr:uid="{A76495EF-F4D4-4DF6-AB65-DB3FA36FE08B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 xr:uid="{62E4B55F-B1E2-451C-BB2D-F400095270E3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 xr:uid="{51DB042E-D533-45F3-8CE7-28FEA5BAF754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 xr:uid="{1EAFCCED-51B5-43AE-AB1D-B1383C713411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 xr:uid="{A1415FD0-A3B3-42FC-9139-2064DBF76FF3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 xr:uid="{9565258C-E915-4E52-ABDE-3A049DD20B46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 xr:uid="{0994741F-09F5-45BB-8334-F63F4C4856AA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 xr:uid="{2C1D375D-84C1-452C-8FCC-6269F62F3C28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 xr:uid="{2EB90AA7-317C-49A6-AE44-A790ACCB7F70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 xr:uid="{672F485E-3EC1-4609-9D5C-05B34AD53938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 xr:uid="{8266BB9A-B375-497F-B866-862C9E356FFD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 xr:uid="{BF28E87F-9DBA-4A2D-B646-13E478F51079}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 xr:uid="{F40FFFC2-0744-42F2-941E-0AEC7A5A57AE}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 xr:uid="{4BB993B5-7270-48F1-9509-30F17CEA55B2}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 xr:uid="{2AF0E673-1A9F-4D48-91CD-986887C96C43}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 xr:uid="{B3ED4DD4-4C4C-4435-B14E-9D9DF259C31D}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 xr:uid="{E7BC68A0-6486-4E05-B724-A9EB9C33F9A6}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 xr:uid="{69A9B781-5662-4030-B7F9-CA9E2B1D4CE1}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<sst xmlns="http://schemas.openxmlformats.org/spreadsheetml/2006/main" count="7525" uniqueCount="2999">
  <si>
    <t>Enero 2019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</si>
  <si>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</si>
  <si>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</si>
  <si>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</si>
  <si>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</si>
  <si>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</si>
  <si>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</si>
  <si>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</si>
  <si>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</si>
  <si>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</si>
  <si>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</si>
  <si>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</si>
  <si>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</si>
  <si>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</si>
  <si>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</si>
  <si>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</si>
  <si>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</si>
  <si>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</si>
  <si>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</si>
  <si>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</si>
  <si>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</si>
  <si>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</si>
  <si>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</si>
  <si>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</si>
  <si>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</si>
  <si>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</si>
  <si>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Canal de cerdo</t>
  </si>
  <si>
    <t>Nu3</t>
  </si>
  <si>
    <t>do</t>
  </si>
  <si>
    <t>lu</t>
  </si>
  <si>
    <t>Pernil con piel</t>
  </si>
  <si>
    <t>Tyson</t>
  </si>
  <si>
    <t>20 combos</t>
  </si>
  <si>
    <t>mi</t>
  </si>
  <si>
    <t>hoja + 9.5  mi 26 dic</t>
  </si>
  <si>
    <t>Sioux Preme</t>
  </si>
  <si>
    <t>Ideal Trading</t>
  </si>
  <si>
    <t>21 combos</t>
  </si>
  <si>
    <t>hoja + 10  ju 27 dic</t>
  </si>
  <si>
    <t>hoja + 10.5  mi 26 dic</t>
  </si>
  <si>
    <t>Seaboard</t>
  </si>
  <si>
    <t>ju</t>
  </si>
  <si>
    <t>hoja + 10.5 vi 28 dic</t>
  </si>
  <si>
    <t>Mi</t>
  </si>
  <si>
    <t>Juan Pablo</t>
  </si>
  <si>
    <t>vi</t>
  </si>
  <si>
    <t>sa</t>
  </si>
  <si>
    <t>hoja + 10.5  ma 01 ene</t>
  </si>
  <si>
    <t>ma</t>
  </si>
  <si>
    <t>Cierre al 31/01/18</t>
  </si>
  <si>
    <t>Agrop El Topete  mi 12/12/18</t>
  </si>
  <si>
    <t>fact 6687, 6688</t>
  </si>
  <si>
    <t>cerdo vivo y matanza</t>
  </si>
  <si>
    <t>Porc San Bernardo  mi 12/12/18</t>
  </si>
  <si>
    <t>fact 3222,3223</t>
  </si>
  <si>
    <t>Transfer Odelpa</t>
  </si>
  <si>
    <t>Mansiva  mi 12/12/18</t>
  </si>
  <si>
    <t>fact 19494</t>
  </si>
  <si>
    <t>sesos de copa</t>
  </si>
  <si>
    <t>J</t>
  </si>
  <si>
    <t>Seaboard ju 03/01/19  nlse18-119</t>
  </si>
  <si>
    <t>intercam $21,000.00</t>
  </si>
  <si>
    <t>transfer santander</t>
  </si>
  <si>
    <t>Smithfield  mi 19/12/18  nl18-103</t>
  </si>
  <si>
    <t>fact 9000600012</t>
  </si>
  <si>
    <t>intercam $25,558.70</t>
  </si>
  <si>
    <t>Agrop El Topete  ju 13/12/18</t>
  </si>
  <si>
    <t>fact 6689,6690</t>
  </si>
  <si>
    <t>Agrop La Chemita  ju 13/12/18</t>
  </si>
  <si>
    <t>fact 4467,4468</t>
  </si>
  <si>
    <t>V</t>
  </si>
  <si>
    <t>Juan Pablo  vi 21/12/18</t>
  </si>
  <si>
    <t>fact 597</t>
  </si>
  <si>
    <t>canal de cerdo</t>
  </si>
  <si>
    <t>Agrop El Topete  vi 14/12/18</t>
  </si>
  <si>
    <t>fact 6697,6698</t>
  </si>
  <si>
    <t>Smithfield  mi 19/12/18  nl18-104</t>
  </si>
  <si>
    <t>fact 9000600011</t>
  </si>
  <si>
    <t>intercam $25,250.38</t>
  </si>
  <si>
    <t>Smithfield  mi 19/12/18  nl18-106</t>
  </si>
  <si>
    <t>fact 9000600013</t>
  </si>
  <si>
    <t>intercam $25,198.78</t>
  </si>
  <si>
    <t>Smithfield sa 22/12/18  nl18-107</t>
  </si>
  <si>
    <t>fact 9000606388</t>
  </si>
  <si>
    <t>intercam $22,649.79</t>
  </si>
  <si>
    <t>Adams International  mi 19/12/18</t>
  </si>
  <si>
    <t>fact 66986</t>
  </si>
  <si>
    <t>cuero belly fresco</t>
  </si>
  <si>
    <t>transfer bancomer</t>
  </si>
  <si>
    <t>S</t>
  </si>
  <si>
    <t>D</t>
  </si>
  <si>
    <t>L</t>
  </si>
  <si>
    <t>Seaboard sa 05/01/19  nlse18-120</t>
  </si>
  <si>
    <t>intercam $23,000.00</t>
  </si>
  <si>
    <t>Smithfield vi 21/12/18  nl18-105</t>
  </si>
  <si>
    <t>fact 9000602937</t>
  </si>
  <si>
    <t>intercam $23,846.32</t>
  </si>
  <si>
    <t>Smithfield sa 22/12/18  nl18-101-R</t>
  </si>
  <si>
    <t>fact 9000606389</t>
  </si>
  <si>
    <t>intercam $22,665.22</t>
  </si>
  <si>
    <t>Smithfield  sa 29/12/18 nl18-108</t>
  </si>
  <si>
    <t>fact 9000619281</t>
  </si>
  <si>
    <t>intercam $23,180.30</t>
  </si>
  <si>
    <t>Smithfield  vi 28/12/18 nl18-109</t>
  </si>
  <si>
    <t>fact 9000617169</t>
  </si>
  <si>
    <t>intercam $23,015.57</t>
  </si>
  <si>
    <t>Adams international sa 22/12/18</t>
  </si>
  <si>
    <t>fact 67121</t>
  </si>
  <si>
    <t>papa ondulada / cabeza de cerdo</t>
  </si>
  <si>
    <t>29.50  / 19.50</t>
  </si>
  <si>
    <t>Agrop La Chemita  do 16/12/18</t>
  </si>
  <si>
    <t>fact 4473, 4474</t>
  </si>
  <si>
    <t>Agrop La Gaby  do 16/12/18</t>
  </si>
  <si>
    <t>fact 6437, 6438</t>
  </si>
  <si>
    <t>Agrop El Topete  lu 17/12/18</t>
  </si>
  <si>
    <t>fact 6704,6705</t>
  </si>
  <si>
    <t>Porc San Bernardo  lu 17/12/18</t>
  </si>
  <si>
    <t>fact 3228, 3229</t>
  </si>
  <si>
    <t>Productos Xeiba  sa 29/12/18</t>
  </si>
  <si>
    <t>fact 427</t>
  </si>
  <si>
    <t>Res Central</t>
  </si>
  <si>
    <t>enero 2019</t>
  </si>
  <si>
    <t>Ma</t>
  </si>
  <si>
    <t>FESTIVO</t>
  </si>
  <si>
    <t>Tyson  mi 09/01/19  T7169</t>
  </si>
  <si>
    <t>Intercam $22,500.00</t>
  </si>
  <si>
    <t>Tyson  mi 09/01/19  T7191</t>
  </si>
  <si>
    <t>Agrop La Chemita  ma 18/12/18</t>
  </si>
  <si>
    <t>fact 4476,4477</t>
  </si>
  <si>
    <t>Porc Soto  ma 18/12/18</t>
  </si>
  <si>
    <t>fact 1693,1694</t>
  </si>
  <si>
    <t>Agrop El Topete  mi 19/12/18</t>
  </si>
  <si>
    <t>fact 6708, 6709</t>
  </si>
  <si>
    <t>Agrop La Chemita mi 19/12/18</t>
  </si>
  <si>
    <t>fact 4480,4481</t>
  </si>
  <si>
    <t>Agrop El Topete  ju 20/12/18</t>
  </si>
  <si>
    <t>fact 6714,6715</t>
  </si>
  <si>
    <t>fact 6717,6718</t>
  </si>
  <si>
    <t>Seaboard  ju 10/01/19  nlse19-101</t>
  </si>
  <si>
    <t>Ideal Trading  mi 02/12/18 nlp053</t>
  </si>
  <si>
    <t>Smithfield  do 30/12/18 nl18-110</t>
  </si>
  <si>
    <t>fact 9000619713</t>
  </si>
  <si>
    <t>intercam $23,322.69</t>
  </si>
  <si>
    <t>Smithfield  vi 28/12/18 nl18-111</t>
  </si>
  <si>
    <t>fact 9000619282</t>
  </si>
  <si>
    <t>intercam $23,473.46</t>
  </si>
  <si>
    <t>Adams International  vi 28/12/18</t>
  </si>
  <si>
    <t>fact 67266</t>
  </si>
  <si>
    <t>Ideal Trading  mi 02/12/18 nlp058</t>
  </si>
  <si>
    <t>Granjero Feliz  mi 26/12/18</t>
  </si>
  <si>
    <t>fact A056808</t>
  </si>
  <si>
    <t>merma 650.6kg no bonificada todavia</t>
  </si>
  <si>
    <t>Agrop El Topete vi 21/12/18</t>
  </si>
  <si>
    <t>fact 6723,6724</t>
  </si>
  <si>
    <t>Porcicola Soto vi 21/12/18</t>
  </si>
  <si>
    <t>fact 1704, 1705</t>
  </si>
  <si>
    <t>Agrop El Topete  sa 22/12/18</t>
  </si>
  <si>
    <t>fact 6731,6732</t>
  </si>
  <si>
    <t>fact 6736,6737</t>
  </si>
  <si>
    <t>fact 6729,6730</t>
  </si>
  <si>
    <t>Seaboard  sa 12/01/19  nlse19-102</t>
  </si>
  <si>
    <t>Adams  International sa 29/12/18</t>
  </si>
  <si>
    <t>fact 67316</t>
  </si>
  <si>
    <t>pernil Hormel</t>
  </si>
  <si>
    <t>Agrop El Topete  do 23/12/18</t>
  </si>
  <si>
    <t>fact 6746, 6747</t>
  </si>
  <si>
    <t>fact 6741, 6742</t>
  </si>
  <si>
    <t>Agrop El Topete lu 24/12/18</t>
  </si>
  <si>
    <t>fact 6748, 6749</t>
  </si>
  <si>
    <t>fact 6753,6754</t>
  </si>
  <si>
    <t>Juan Pablo  vi 28/12/18</t>
  </si>
  <si>
    <t>fact 621</t>
  </si>
  <si>
    <t>Agrop El Topete ju 27/12/18</t>
  </si>
  <si>
    <t>fact 6767,6768</t>
  </si>
  <si>
    <t>Agrop La Chemita  ju 27/12/18</t>
  </si>
  <si>
    <t>fact 4501,4502</t>
  </si>
  <si>
    <t>Agrop El Topete  vi 28/12/18</t>
  </si>
  <si>
    <t>fact 6775,6776</t>
  </si>
  <si>
    <t>Porc Soto  vi 28/12/18</t>
  </si>
  <si>
    <t>fact 1731,1732</t>
  </si>
  <si>
    <t>Agrop La Gaby  sa 29/12/18</t>
  </si>
  <si>
    <t>fact 6480, 6481</t>
  </si>
  <si>
    <t>Agrop La Chemita  sa 29/12/18</t>
  </si>
  <si>
    <t>fact 4507, 4508</t>
  </si>
  <si>
    <t>Agrop El Topete  sa 29/12/18</t>
  </si>
  <si>
    <t>fact 6780, 6781</t>
  </si>
  <si>
    <t>Smithfield vi 28/12/18 nl18-109</t>
  </si>
  <si>
    <t>Agrop Las Reses  do 30/12/18</t>
  </si>
  <si>
    <t>fact 7031, 7032</t>
  </si>
  <si>
    <t>Agrop El Topete  do 30/12/18</t>
  </si>
  <si>
    <t>fact 6794, 6795</t>
  </si>
  <si>
    <t>Agrop El Topete  lu 31/12/18</t>
  </si>
  <si>
    <t>fact 6796, 6797</t>
  </si>
  <si>
    <t>Agrop Las Reses  lu 31/12/18</t>
  </si>
  <si>
    <t>fact 7036, 7037</t>
  </si>
  <si>
    <t>L3821</t>
  </si>
  <si>
    <t>Sanchez</t>
  </si>
  <si>
    <t>nlp053</t>
  </si>
  <si>
    <t>nlp058</t>
  </si>
  <si>
    <t>Flores</t>
  </si>
  <si>
    <t>nlse18-124</t>
  </si>
  <si>
    <t>hoja + 10.5 ju 27dic</t>
  </si>
  <si>
    <t>nl18-113</t>
  </si>
  <si>
    <t>hoja + 9.5 vi 28 dic</t>
  </si>
  <si>
    <t>nl18-112</t>
  </si>
  <si>
    <t>nlse18-119</t>
  </si>
  <si>
    <t>nlse18-120</t>
  </si>
  <si>
    <t>ESTADO DE CUENTA SEABOARD</t>
  </si>
  <si>
    <t>inicio de operaciones</t>
  </si>
  <si>
    <t>recepcion carga</t>
  </si>
  <si>
    <t>PO</t>
  </si>
  <si>
    <t>anticipo</t>
  </si>
  <si>
    <t>fecha pago</t>
  </si>
  <si>
    <t>factura</t>
  </si>
  <si>
    <t>$ factura</t>
  </si>
  <si>
    <t>frontera</t>
  </si>
  <si>
    <t>diferencia</t>
  </si>
  <si>
    <t>dif acumulada</t>
  </si>
  <si>
    <t>NLSE16-276</t>
  </si>
  <si>
    <t>seaboard tiene a favor -$18,159.94 usd</t>
  </si>
  <si>
    <t>correccion el 18/01/17 en la fact 113410, NLP15-34 del 23/05/15 claim por $4,287.60usd</t>
  </si>
  <si>
    <t>ajuste con Seaboard</t>
  </si>
  <si>
    <t>NLSE16-253</t>
  </si>
  <si>
    <t>NLSE17-03</t>
  </si>
  <si>
    <t>NLSE17-04</t>
  </si>
  <si>
    <t>NLSE17-05</t>
  </si>
  <si>
    <t>NLSE17-06</t>
  </si>
  <si>
    <t>NLSE17-07</t>
  </si>
  <si>
    <t xml:space="preserve">lu </t>
  </si>
  <si>
    <t>NLSE17-08</t>
  </si>
  <si>
    <t>CANCELADA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</si>
  <si>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</si>
  <si>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</si>
  <si>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</si>
  <si>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</si>
  <si>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</si>
  <si>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</si>
  <si>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</si>
  <si>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</si>
  <si>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</si>
  <si>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</si>
  <si>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</si>
  <si>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</si>
  <si>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</si>
  <si>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</si>
  <si>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</si>
  <si>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</si>
  <si>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</si>
  <si>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</si>
  <si>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</si>
  <si>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</si>
  <si>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</si>
  <si>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</si>
  <si>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</si>
  <si>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</si>
  <si>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</si>
  <si>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</si>
  <si>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</si>
  <si>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</si>
  <si>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</si>
  <si>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</si>
  <si>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</si>
  <si>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</si>
  <si>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</si>
  <si>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</si>
  <si>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</si>
  <si>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</si>
  <si>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</si>
  <si>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</si>
  <si>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</si>
  <si>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</si>
  <si>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</si>
  <si>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</si>
  <si>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</si>
  <si>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claim 55752</t>
  </si>
  <si>
    <t xml:space="preserve">ju </t>
  </si>
  <si>
    <t>reclamo por diferencia en precio carga NLSE17-50</t>
  </si>
  <si>
    <t>NLSE17-51</t>
  </si>
  <si>
    <t>NLSE17-52</t>
  </si>
  <si>
    <t>NLSE17-53</t>
  </si>
  <si>
    <t>NLSE17-54</t>
  </si>
  <si>
    <t xml:space="preserve">mi 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</si>
  <si>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</si>
  <si>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</si>
  <si>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</si>
  <si>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</si>
  <si>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</si>
  <si>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</si>
  <si>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</si>
  <si>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</si>
  <si>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</si>
  <si>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</si>
  <si>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</si>
  <si>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</si>
  <si>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</si>
  <si>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</si>
  <si>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</si>
  <si>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</si>
  <si>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</si>
  <si>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</si>
  <si>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</si>
  <si>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</si>
  <si>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</si>
  <si>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</si>
  <si>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</si>
  <si>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</si>
  <si>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</si>
  <si>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</si>
  <si>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</si>
  <si>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</si>
  <si>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</si>
  <si>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</si>
  <si>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</si>
  <si>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</si>
  <si>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</si>
  <si>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</si>
  <si>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</si>
  <si>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</si>
  <si>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</si>
  <si>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</si>
  <si>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</si>
  <si>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</si>
  <si>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</si>
  <si>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</si>
  <si>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</si>
  <si>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</si>
  <si>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</si>
  <si>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</si>
  <si>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</si>
  <si>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</si>
  <si>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</si>
  <si>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</si>
  <si>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</si>
  <si>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</si>
  <si>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</si>
  <si>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</si>
  <si>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</si>
  <si>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</si>
  <si>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</si>
  <si>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</si>
  <si>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</si>
  <si>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</si>
  <si>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</si>
  <si>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</si>
  <si>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</si>
  <si>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</si>
  <si>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</si>
  <si>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</si>
  <si>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</si>
  <si>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</si>
  <si>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</si>
  <si>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</si>
  <si>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</si>
  <si>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</si>
  <si>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</si>
  <si>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</si>
  <si>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claim 59184</t>
  </si>
  <si>
    <t>reclamo por diferencia en precio carga NLSE17-126 por 0.01 usd</t>
  </si>
  <si>
    <t>NLSE17-127</t>
  </si>
  <si>
    <t>NLSE17-128</t>
  </si>
  <si>
    <t>NLSE17-129</t>
  </si>
  <si>
    <t>NLSE17-131</t>
  </si>
  <si>
    <t>NLSE17-132</t>
  </si>
  <si>
    <t>NLSE17-130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</si>
  <si>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</si>
  <si>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</si>
  <si>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</si>
  <si>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</si>
  <si>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</si>
  <si>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</si>
  <si>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</si>
  <si>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</si>
  <si>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</si>
  <si>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</si>
  <si>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</si>
  <si>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</si>
  <si>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Claim#59460</t>
  </si>
  <si>
    <t>ju 28/12/17</t>
  </si>
  <si>
    <t>diferencia en precio carga NLSE17-144</t>
  </si>
  <si>
    <t>NLSE17-145</t>
  </si>
  <si>
    <t>NLSE17-146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</si>
  <si>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</si>
  <si>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</si>
  <si>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</si>
  <si>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</si>
  <si>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</si>
  <si>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</si>
  <si>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</si>
  <si>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</si>
  <si>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</si>
  <si>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</si>
  <si>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</si>
  <si>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</si>
  <si>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</si>
  <si>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</si>
  <si>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</si>
  <si>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</si>
  <si>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</si>
  <si>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</si>
  <si>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</si>
  <si>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</si>
  <si>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</si>
  <si>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</si>
  <si>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</si>
  <si>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NLSECONG-01</t>
  </si>
  <si>
    <t>NLSE18-20</t>
  </si>
  <si>
    <t>NLSE18-21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</si>
  <si>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</si>
  <si>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</si>
  <si>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</si>
  <si>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</si>
  <si>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</si>
  <si>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</si>
  <si>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</si>
  <si>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</si>
  <si>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</si>
  <si>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</si>
  <si>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</si>
  <si>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</si>
  <si>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</si>
  <si>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</si>
  <si>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</si>
  <si>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</si>
  <si>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</si>
  <si>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</si>
  <si>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</si>
  <si>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</si>
  <si>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</si>
  <si>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</si>
  <si>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</si>
  <si>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</si>
  <si>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</si>
  <si>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</si>
  <si>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</si>
  <si>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</si>
  <si>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</si>
  <si>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</si>
  <si>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</si>
  <si>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</si>
  <si>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</si>
  <si>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</si>
  <si>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</si>
  <si>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</si>
  <si>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</si>
  <si>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</si>
  <si>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</si>
  <si>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</si>
  <si>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</si>
  <si>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</si>
  <si>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</si>
  <si>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</si>
  <si>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</si>
  <si>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</si>
  <si>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</si>
  <si>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</si>
  <si>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</si>
  <si>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</si>
  <si>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</si>
  <si>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</si>
  <si>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</si>
  <si>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 xml:space="preserve">vi 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</si>
  <si>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</si>
  <si>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</si>
  <si>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</si>
  <si>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</si>
  <si>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</si>
  <si>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</si>
  <si>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</si>
  <si>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</si>
  <si>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</si>
  <si>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</si>
  <si>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</si>
  <si>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</si>
  <si>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</si>
  <si>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</si>
  <si>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</si>
  <si>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</si>
  <si>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</si>
  <si>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</si>
  <si>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</si>
  <si>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</si>
  <si>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</si>
  <si>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</si>
  <si>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</si>
  <si>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</si>
  <si>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</si>
  <si>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</si>
  <si>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</si>
  <si>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</si>
  <si>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NLSE18-106</t>
  </si>
  <si>
    <t>NLSE18-102</t>
  </si>
  <si>
    <t>NLSE18-103</t>
  </si>
  <si>
    <t>NLSE18-107</t>
  </si>
  <si>
    <t>NLSE18-108</t>
  </si>
  <si>
    <t>NLSE18-109</t>
  </si>
  <si>
    <t>NLSE18-110</t>
  </si>
  <si>
    <t>NLSE18-111</t>
  </si>
  <si>
    <t>NLSE18-122</t>
  </si>
  <si>
    <t>NLSE18-112</t>
  </si>
  <si>
    <t>NLSE18-113</t>
  </si>
  <si>
    <t>NLSE18-114</t>
  </si>
  <si>
    <t>NLSE18-115</t>
  </si>
  <si>
    <t>NLSE18-116</t>
  </si>
  <si>
    <t>NLSE18-123</t>
  </si>
  <si>
    <t>NLSE18-117</t>
  </si>
  <si>
    <t>NLSE18-118</t>
  </si>
  <si>
    <t>NLSE18-124</t>
  </si>
  <si>
    <t>NLSE18-119</t>
  </si>
  <si>
    <t>NLSE18-120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</si>
  <si>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</si>
  <si>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</si>
  <si>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</si>
  <si>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</si>
  <si>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</si>
  <si>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</si>
  <si>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</si>
  <si>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</si>
  <si>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</si>
  <si>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</si>
  <si>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</si>
  <si>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</si>
  <si>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</si>
  <si>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</si>
  <si>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</si>
  <si>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</si>
  <si>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</si>
  <si>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</si>
  <si>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</si>
  <si>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</si>
  <si>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</si>
  <si>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</si>
  <si>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</si>
  <si>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</si>
  <si>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</si>
  <si>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</si>
  <si>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</si>
  <si>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088E29821A</t>
  </si>
  <si>
    <t>X4030</t>
  </si>
  <si>
    <t>088E30822A</t>
  </si>
  <si>
    <t>X4031</t>
  </si>
  <si>
    <t>088F03822A</t>
  </si>
  <si>
    <t>X4032</t>
  </si>
  <si>
    <t>069F05826A</t>
  </si>
  <si>
    <t>storm lake 244</t>
  </si>
  <si>
    <t>X4033</t>
  </si>
  <si>
    <t>088F06821A</t>
  </si>
  <si>
    <t>waterloo  244W</t>
  </si>
  <si>
    <t>Y5642</t>
  </si>
  <si>
    <t>069F13825A</t>
  </si>
  <si>
    <t>X4034</t>
  </si>
  <si>
    <t>088F13824A</t>
  </si>
  <si>
    <t>X4035</t>
  </si>
  <si>
    <t>088F17820A</t>
  </si>
  <si>
    <t>X4036</t>
  </si>
  <si>
    <t>088F20820A</t>
  </si>
  <si>
    <t>X4037</t>
  </si>
  <si>
    <t>088F20824A</t>
  </si>
  <si>
    <t>X4038</t>
  </si>
  <si>
    <t>088F22820A</t>
  </si>
  <si>
    <t>069F29823A</t>
  </si>
  <si>
    <t>069G01828A</t>
  </si>
  <si>
    <t>069G05821A</t>
  </si>
  <si>
    <t>069G05831A</t>
  </si>
  <si>
    <t>cancelada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</si>
  <si>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</si>
  <si>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</si>
  <si>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</si>
  <si>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</si>
  <si>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</si>
  <si>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</si>
  <si>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</si>
  <si>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</si>
  <si>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</si>
  <si>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</si>
  <si>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</si>
  <si>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</si>
  <si>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</si>
  <si>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</si>
  <si>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</si>
  <si>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</si>
  <si>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069H22822A</t>
  </si>
  <si>
    <t>G8659</t>
  </si>
  <si>
    <t>038H28822A</t>
  </si>
  <si>
    <t>G8685</t>
  </si>
  <si>
    <t>038H28826A</t>
  </si>
  <si>
    <t>G8686</t>
  </si>
  <si>
    <t>038I05822A</t>
  </si>
  <si>
    <t>G8687</t>
  </si>
  <si>
    <t>038I06821A</t>
  </si>
  <si>
    <t>G8688</t>
  </si>
  <si>
    <t>072I12821A</t>
  </si>
  <si>
    <t>G8689</t>
  </si>
  <si>
    <t>069I12822A</t>
  </si>
  <si>
    <t>G8690</t>
  </si>
  <si>
    <t>038I19823A</t>
  </si>
  <si>
    <t>G8691</t>
  </si>
  <si>
    <t>038I19821A</t>
  </si>
  <si>
    <t>G8692</t>
  </si>
  <si>
    <t>038I27824A</t>
  </si>
  <si>
    <t>G8693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</si>
  <si>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</si>
  <si>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</si>
  <si>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</si>
  <si>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</si>
  <si>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</si>
  <si>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</si>
  <si>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</si>
  <si>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</si>
  <si>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</si>
  <si>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</si>
  <si>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</si>
  <si>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</si>
  <si>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</si>
  <si>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</si>
  <si>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072J23821A</t>
  </si>
  <si>
    <t>L9682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</si>
  <si>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</si>
  <si>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</si>
  <si>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</si>
  <si>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</si>
  <si>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</si>
  <si>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</si>
  <si>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</si>
  <si>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</si>
  <si>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</si>
  <si>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088K14824A</t>
  </si>
  <si>
    <t>U3031</t>
  </si>
  <si>
    <t>088K15821A</t>
  </si>
  <si>
    <t>U3032</t>
  </si>
  <si>
    <t>088K20822A</t>
  </si>
  <si>
    <t>U3033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</si>
  <si>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</si>
  <si>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</si>
  <si>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</si>
  <si>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</si>
  <si>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</si>
  <si>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</si>
  <si>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</si>
  <si>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</si>
  <si>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</si>
  <si>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</si>
  <si>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</si>
  <si>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</si>
  <si>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</si>
  <si>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</si>
  <si>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</si>
  <si>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</si>
  <si>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</si>
  <si>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</si>
  <si>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</si>
  <si>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</si>
  <si>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</si>
  <si>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</si>
  <si>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</si>
  <si>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</si>
  <si>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</si>
  <si>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</si>
  <si>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</si>
  <si>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</si>
  <si>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</si>
  <si>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</si>
  <si>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</si>
  <si>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</si>
  <si>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</si>
  <si>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</si>
  <si>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</si>
  <si>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069N19824A</t>
  </si>
  <si>
    <t>F0777</t>
  </si>
  <si>
    <t>069N20822A</t>
  </si>
  <si>
    <t>F0778</t>
  </si>
  <si>
    <t>069N20826A</t>
  </si>
  <si>
    <t>F0779</t>
  </si>
  <si>
    <t>069N28822A</t>
  </si>
  <si>
    <t>F0780</t>
  </si>
  <si>
    <t>072N29821A</t>
  </si>
  <si>
    <t>J0601</t>
  </si>
  <si>
    <t>038C11820A</t>
  </si>
  <si>
    <t>J0613</t>
  </si>
  <si>
    <t>I9810</t>
  </si>
  <si>
    <t>038C17826A</t>
  </si>
  <si>
    <t>J0614</t>
  </si>
  <si>
    <t>038C18829A</t>
  </si>
  <si>
    <t>J0615</t>
  </si>
  <si>
    <t>m</t>
  </si>
  <si>
    <t>038C24828A</t>
  </si>
  <si>
    <t>J0616</t>
  </si>
  <si>
    <t>038C27821A</t>
  </si>
  <si>
    <t>J0617</t>
  </si>
  <si>
    <t>038C31820A</t>
  </si>
  <si>
    <t>J0618</t>
  </si>
  <si>
    <t>038C31822A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</si>
  <si>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</si>
  <si>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</si>
  <si>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</si>
  <si>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</si>
  <si>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</si>
  <si>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</si>
  <si>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</si>
  <si>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</si>
  <si>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069E08826A</t>
  </si>
  <si>
    <t>X0644</t>
  </si>
  <si>
    <t>088E16821A</t>
  </si>
  <si>
    <t>X0645</t>
  </si>
  <si>
    <t>088E16823A</t>
  </si>
  <si>
    <t>X0646</t>
  </si>
  <si>
    <t>069E22827A</t>
  </si>
  <si>
    <t>X0647</t>
  </si>
  <si>
    <t>069E30821A</t>
  </si>
  <si>
    <t>X0648</t>
  </si>
  <si>
    <t>038E30820A</t>
  </si>
  <si>
    <t>088F04824A</t>
  </si>
  <si>
    <t>088F06822A</t>
  </si>
  <si>
    <t>088F13827A</t>
  </si>
  <si>
    <t>088F19824A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</si>
  <si>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</si>
  <si>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</si>
  <si>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</si>
  <si>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</si>
  <si>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</si>
  <si>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</si>
  <si>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</si>
  <si>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</si>
  <si>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</si>
  <si>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</si>
  <si>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</si>
  <si>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</si>
  <si>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069G24821A</t>
  </si>
  <si>
    <t>A7501</t>
  </si>
  <si>
    <t>carga cancelada</t>
  </si>
  <si>
    <t>A7502</t>
  </si>
  <si>
    <t>069G31829A</t>
  </si>
  <si>
    <t>A7503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</si>
  <si>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</si>
  <si>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</si>
  <si>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</si>
  <si>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</si>
  <si>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</si>
  <si>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</si>
  <si>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</si>
  <si>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</si>
  <si>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069H19824A</t>
  </si>
  <si>
    <t>H0103</t>
  </si>
  <si>
    <t>069H19822A</t>
  </si>
  <si>
    <t>H0104</t>
  </si>
  <si>
    <t>069H26827A</t>
  </si>
  <si>
    <t>H0106</t>
  </si>
  <si>
    <t>G3525</t>
  </si>
  <si>
    <t>088H27821A</t>
  </si>
  <si>
    <t>H0107</t>
  </si>
  <si>
    <t>069I03826A</t>
  </si>
  <si>
    <t>H0108</t>
  </si>
  <si>
    <t>069I03827A</t>
  </si>
  <si>
    <t>N9858</t>
  </si>
  <si>
    <t>088I06826A</t>
  </si>
  <si>
    <t>N8846</t>
  </si>
  <si>
    <t>072I13824A</t>
  </si>
  <si>
    <t>N8847</t>
  </si>
  <si>
    <t>069I13822A</t>
  </si>
  <si>
    <t>N8848</t>
  </si>
  <si>
    <t>N8849</t>
  </si>
  <si>
    <t>069I19830A</t>
  </si>
  <si>
    <t>N8850</t>
  </si>
  <si>
    <t>069I26827A</t>
  </si>
  <si>
    <t>N8851</t>
  </si>
  <si>
    <t>069I27820A</t>
  </si>
  <si>
    <t>N8853</t>
  </si>
  <si>
    <t>069J02831A</t>
  </si>
  <si>
    <t>N8854</t>
  </si>
  <si>
    <t>069J02825A</t>
  </si>
  <si>
    <t>V8744</t>
  </si>
  <si>
    <t>038J09825A</t>
  </si>
  <si>
    <t>V8747</t>
  </si>
  <si>
    <t>038J09826A</t>
  </si>
  <si>
    <t>V8748</t>
  </si>
  <si>
    <t>038J16822A</t>
  </si>
  <si>
    <t>V8749</t>
  </si>
  <si>
    <t>038J16826A</t>
  </si>
  <si>
    <t>V8750</t>
  </si>
  <si>
    <t>038J24829A</t>
  </si>
  <si>
    <t>V8751</t>
  </si>
  <si>
    <t>038J24824A</t>
  </si>
  <si>
    <t>V8752</t>
  </si>
  <si>
    <t>069J31825A</t>
  </si>
  <si>
    <t>V8753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</si>
  <si>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</si>
  <si>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</si>
  <si>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</si>
  <si>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</si>
  <si>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</si>
  <si>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</si>
  <si>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</si>
  <si>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</si>
  <si>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</si>
  <si>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</si>
  <si>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</si>
  <si>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</si>
  <si>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</si>
  <si>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069K27820A</t>
  </si>
  <si>
    <t>09835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</si>
  <si>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</si>
  <si>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</si>
  <si>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</si>
  <si>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</si>
  <si>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</si>
  <si>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</si>
  <si>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</si>
  <si>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</si>
  <si>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</si>
  <si>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</si>
  <si>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069L17825A</t>
  </si>
  <si>
    <t>87564</t>
  </si>
  <si>
    <t>069L26825A</t>
  </si>
  <si>
    <t>87565</t>
  </si>
  <si>
    <t>069L25827A</t>
  </si>
  <si>
    <t>87566</t>
  </si>
  <si>
    <t>069M01833A</t>
  </si>
  <si>
    <t>87567</t>
  </si>
  <si>
    <t>069M01831A</t>
  </si>
  <si>
    <t>E4469</t>
  </si>
  <si>
    <t>E4470</t>
  </si>
  <si>
    <t>038M16821A</t>
  </si>
  <si>
    <t>E4471</t>
  </si>
  <si>
    <t>E4472</t>
  </si>
  <si>
    <t>038M29827A</t>
  </si>
  <si>
    <t>E4473</t>
  </si>
  <si>
    <t>072M30822A</t>
  </si>
  <si>
    <t>L3797</t>
  </si>
  <si>
    <t>L3820</t>
  </si>
  <si>
    <t>069N22821A</t>
  </si>
  <si>
    <t>072N27821A</t>
  </si>
  <si>
    <t>T7169</t>
  </si>
  <si>
    <t>T7191</t>
  </si>
  <si>
    <t>REALCION DE ENTEGA DE REMISIONES CAJA OBRADOR</t>
  </si>
  <si>
    <t>REMISION</t>
  </si>
  <si>
    <t>VALOR</t>
  </si>
  <si>
    <t>PAGOS</t>
  </si>
  <si>
    <t>FECHA PAGO</t>
  </si>
  <si>
    <t>DIFERENCIA</t>
  </si>
  <si>
    <t>FECHA RECIBIDA</t>
  </si>
  <si>
    <t>FECHA ENTREGADA A CAJA</t>
  </si>
  <si>
    <t>d19680</t>
  </si>
  <si>
    <t>dep en transfer</t>
  </si>
  <si>
    <t>vale rosa</t>
  </si>
  <si>
    <t>rem 971</t>
  </si>
  <si>
    <t>rem 961</t>
  </si>
  <si>
    <t>d19977</t>
  </si>
  <si>
    <t>transfer</t>
  </si>
  <si>
    <t>d20155</t>
  </si>
  <si>
    <t>d20079</t>
  </si>
  <si>
    <t>efectivo</t>
  </si>
  <si>
    <t>d20116</t>
  </si>
  <si>
    <t>d22348</t>
  </si>
  <si>
    <t>d22843</t>
  </si>
  <si>
    <t>d22632</t>
  </si>
  <si>
    <t>d23087</t>
  </si>
  <si>
    <t>d23298</t>
  </si>
  <si>
    <t>d22958</t>
  </si>
  <si>
    <t>d22633</t>
  </si>
  <si>
    <t>rem 1081</t>
  </si>
  <si>
    <t>rem 1079</t>
  </si>
  <si>
    <t>rem xx</t>
  </si>
  <si>
    <t>rem 1071</t>
  </si>
  <si>
    <t>d23690</t>
  </si>
  <si>
    <t>d23496</t>
  </si>
  <si>
    <t>d23345</t>
  </si>
  <si>
    <t>rem 1099</t>
  </si>
  <si>
    <t>rem 1072</t>
  </si>
  <si>
    <t>d23832</t>
  </si>
  <si>
    <t>d23964</t>
  </si>
  <si>
    <t>Transfer</t>
  </si>
  <si>
    <t>d24432</t>
  </si>
  <si>
    <t>d24148</t>
  </si>
  <si>
    <t>d24249</t>
  </si>
  <si>
    <t>d24398</t>
  </si>
  <si>
    <t>d24247</t>
  </si>
  <si>
    <t>d24402</t>
  </si>
  <si>
    <t>d24724</t>
  </si>
  <si>
    <t>d24607</t>
  </si>
  <si>
    <t>d24841</t>
  </si>
  <si>
    <t>E00102</t>
  </si>
  <si>
    <t>e00240</t>
  </si>
  <si>
    <t>e00101</t>
  </si>
  <si>
    <t>e00589</t>
  </si>
  <si>
    <t>e00262</t>
  </si>
  <si>
    <t>e00267</t>
  </si>
  <si>
    <t>rem 1122</t>
  </si>
  <si>
    <t>e00251</t>
  </si>
  <si>
    <t>rem 1125</t>
  </si>
  <si>
    <t>e00539</t>
  </si>
  <si>
    <t>rem 1132</t>
  </si>
  <si>
    <t>28/29/30/31/08/17</t>
  </si>
  <si>
    <t xml:space="preserve"> </t>
  </si>
  <si>
    <t>e000644</t>
  </si>
  <si>
    <t>e00427</t>
  </si>
  <si>
    <t>e00902</t>
  </si>
  <si>
    <t>e00906</t>
  </si>
  <si>
    <t>e01243</t>
  </si>
  <si>
    <t>rem 1143</t>
  </si>
  <si>
    <t>rem 1151</t>
  </si>
  <si>
    <t>e00905</t>
  </si>
  <si>
    <t>e02148</t>
  </si>
  <si>
    <t>e01389</t>
  </si>
  <si>
    <t>e01402</t>
  </si>
  <si>
    <t>e01242</t>
  </si>
  <si>
    <t>rem 1166</t>
  </si>
  <si>
    <t>e01529</t>
  </si>
  <si>
    <t>rem 1150</t>
  </si>
  <si>
    <t>8-11/08/17</t>
  </si>
  <si>
    <t xml:space="preserve">                                                    </t>
  </si>
  <si>
    <t>e01807</t>
  </si>
  <si>
    <t>e02421</t>
  </si>
  <si>
    <t>rem 1172</t>
  </si>
  <si>
    <t>sobrante no registrado en proledo</t>
  </si>
  <si>
    <t>e02183</t>
  </si>
  <si>
    <t>e02147</t>
  </si>
  <si>
    <t>e02573</t>
  </si>
  <si>
    <t>e02737</t>
  </si>
  <si>
    <t>rem 1179</t>
  </si>
  <si>
    <t>rem 1192</t>
  </si>
  <si>
    <t>rem 1193</t>
  </si>
  <si>
    <t>e02857</t>
  </si>
  <si>
    <t>e02954</t>
  </si>
  <si>
    <t>e03023</t>
  </si>
  <si>
    <t>e03040</t>
  </si>
  <si>
    <t>e03267</t>
  </si>
  <si>
    <t>e03266</t>
  </si>
  <si>
    <t>e02764</t>
  </si>
  <si>
    <t>e03691</t>
  </si>
  <si>
    <t>rem 1220</t>
  </si>
  <si>
    <t>rem 1188</t>
  </si>
  <si>
    <t>rem 1186</t>
  </si>
  <si>
    <t>rem1181</t>
  </si>
  <si>
    <t>rem 1180</t>
  </si>
  <si>
    <t>rem 1216</t>
  </si>
  <si>
    <t>transfer banco</t>
  </si>
  <si>
    <t xml:space="preserve">transfer  </t>
  </si>
  <si>
    <t>e03727</t>
  </si>
  <si>
    <t>e03681</t>
  </si>
  <si>
    <t>e03690</t>
  </si>
  <si>
    <t>e03892</t>
  </si>
  <si>
    <t>e03397</t>
  </si>
  <si>
    <t>tranfer</t>
  </si>
  <si>
    <t>e04146</t>
  </si>
  <si>
    <t>e04014</t>
  </si>
  <si>
    <t>rem 1234</t>
  </si>
  <si>
    <t>rem 1233</t>
  </si>
  <si>
    <t>rem 1237</t>
  </si>
  <si>
    <t>rem 1235</t>
  </si>
  <si>
    <t>rem 1238</t>
  </si>
  <si>
    <t>rem 1242</t>
  </si>
  <si>
    <t>e04772</t>
  </si>
  <si>
    <t>e04019</t>
  </si>
  <si>
    <t>e04426</t>
  </si>
  <si>
    <t>e04412</t>
  </si>
  <si>
    <t>e04892</t>
  </si>
  <si>
    <t>e04893</t>
  </si>
  <si>
    <t>rem 1264</t>
  </si>
  <si>
    <t>e05038</t>
  </si>
  <si>
    <t>rem 1262</t>
  </si>
  <si>
    <t>rem 1248</t>
  </si>
  <si>
    <t>rem 1255</t>
  </si>
  <si>
    <t>rem 1258</t>
  </si>
  <si>
    <t>e05066</t>
  </si>
  <si>
    <t xml:space="preserve">transfer </t>
  </si>
  <si>
    <t>e05173</t>
  </si>
  <si>
    <t>e05570</t>
  </si>
  <si>
    <t>e04749</t>
  </si>
  <si>
    <t>e05332</t>
  </si>
  <si>
    <t>e05469</t>
  </si>
  <si>
    <t>e05321</t>
  </si>
  <si>
    <t>e05793</t>
  </si>
  <si>
    <t>e05820</t>
  </si>
  <si>
    <t>rem 1283</t>
  </si>
  <si>
    <t>rem 1275</t>
  </si>
  <si>
    <t>rem 1271</t>
  </si>
  <si>
    <t>rem 1266</t>
  </si>
  <si>
    <t>e05842</t>
  </si>
  <si>
    <t>e05953</t>
  </si>
  <si>
    <t>e06096</t>
  </si>
  <si>
    <t>e06269</t>
  </si>
  <si>
    <t>rem 1302</t>
  </si>
  <si>
    <t>rem 1295</t>
  </si>
  <si>
    <t>e06632</t>
  </si>
  <si>
    <t>e06655</t>
  </si>
  <si>
    <t>e06569</t>
  </si>
  <si>
    <t>e07189</t>
  </si>
  <si>
    <t>e07190</t>
  </si>
  <si>
    <t>e07033</t>
  </si>
  <si>
    <t>e06777</t>
  </si>
  <si>
    <t>e07214</t>
  </si>
  <si>
    <t>e07485</t>
  </si>
  <si>
    <t>e07547</t>
  </si>
  <si>
    <t>e07556</t>
  </si>
  <si>
    <t>rem 1311</t>
  </si>
  <si>
    <t>rem 1310</t>
  </si>
  <si>
    <t>e 07682</t>
  </si>
  <si>
    <t>rem 1342</t>
  </si>
  <si>
    <t>e07808</t>
  </si>
  <si>
    <t>rem 1352</t>
  </si>
  <si>
    <t>e07954</t>
  </si>
  <si>
    <t>rem1345</t>
  </si>
  <si>
    <t>rem 1355</t>
  </si>
  <si>
    <t>e08110</t>
  </si>
  <si>
    <t>e08247</t>
  </si>
  <si>
    <t>e08544</t>
  </si>
  <si>
    <t>e08558</t>
  </si>
  <si>
    <t>e08703</t>
  </si>
  <si>
    <t>rem 1362</t>
  </si>
  <si>
    <t>rem 1371</t>
  </si>
  <si>
    <t>rem 1378</t>
  </si>
  <si>
    <t>rem 1373</t>
  </si>
  <si>
    <t>e08774</t>
  </si>
  <si>
    <t>e09054</t>
  </si>
  <si>
    <t>e08958</t>
  </si>
  <si>
    <t>e09056</t>
  </si>
  <si>
    <t>e09073</t>
  </si>
  <si>
    <t>e09329</t>
  </si>
  <si>
    <t>e09340</t>
  </si>
  <si>
    <t>e09448</t>
  </si>
  <si>
    <t>rem 1399</t>
  </si>
  <si>
    <t>e09576</t>
  </si>
  <si>
    <t>e09720</t>
  </si>
  <si>
    <t>e09719</t>
  </si>
  <si>
    <t>e09637</t>
  </si>
  <si>
    <t>e09854</t>
  </si>
  <si>
    <t>vale es por 59105.70</t>
  </si>
  <si>
    <t>e10172</t>
  </si>
  <si>
    <t>e09339</t>
  </si>
  <si>
    <t>e10062</t>
  </si>
  <si>
    <t>e10461</t>
  </si>
  <si>
    <t>e10396</t>
  </si>
  <si>
    <t>e11004</t>
  </si>
  <si>
    <t>e11133</t>
  </si>
  <si>
    <t>e11134</t>
  </si>
  <si>
    <t>rem 1451</t>
  </si>
  <si>
    <t>rem 1458</t>
  </si>
  <si>
    <t>rem 1437</t>
  </si>
  <si>
    <t>e11270</t>
  </si>
  <si>
    <t>la transfer real es por 148,000 pero se contemplo solo 147, los 1000 se compensan en la siguiente nota</t>
  </si>
  <si>
    <t>rem 1457</t>
  </si>
  <si>
    <t>rem 1397</t>
  </si>
  <si>
    <t>rem 1443</t>
  </si>
  <si>
    <t>rem 1413</t>
  </si>
  <si>
    <t>rem 1409</t>
  </si>
  <si>
    <t>rem 1402</t>
  </si>
  <si>
    <t>rem 1425</t>
  </si>
  <si>
    <t>sobrante real en caja $54,024.00</t>
  </si>
  <si>
    <t>e11142</t>
  </si>
  <si>
    <t>sobrante</t>
  </si>
  <si>
    <t>sobrante real en caja $45,492.00</t>
  </si>
  <si>
    <t>e10581</t>
  </si>
  <si>
    <t>e11559</t>
  </si>
  <si>
    <t>e11862</t>
  </si>
  <si>
    <t>e11750</t>
  </si>
  <si>
    <t>vale por 143,243.40 , menos 100 por adeudo de billete falso</t>
  </si>
  <si>
    <t>hay una diferencia en vales de 400 en total a cobrar</t>
  </si>
  <si>
    <t>e11863</t>
  </si>
  <si>
    <t>rem 1489</t>
  </si>
  <si>
    <t>e12115</t>
  </si>
  <si>
    <t>rem 1484</t>
  </si>
  <si>
    <t>e12087</t>
  </si>
  <si>
    <t>rem 1481</t>
  </si>
  <si>
    <t>e12015</t>
  </si>
  <si>
    <t>e11984</t>
  </si>
  <si>
    <t>e12690</t>
  </si>
  <si>
    <t>e12258</t>
  </si>
  <si>
    <t>rem 1507</t>
  </si>
  <si>
    <t>e12395</t>
  </si>
  <si>
    <t>rem 1512</t>
  </si>
  <si>
    <t>rem 1504</t>
  </si>
  <si>
    <t>rem 1502</t>
  </si>
  <si>
    <t>rem 1494</t>
  </si>
  <si>
    <t>rem 1505</t>
  </si>
  <si>
    <t>e12853</t>
  </si>
  <si>
    <t>e12997</t>
  </si>
  <si>
    <t>e12721</t>
  </si>
  <si>
    <t>rem 1518</t>
  </si>
  <si>
    <t>rem 1520</t>
  </si>
  <si>
    <t>rem 1513</t>
  </si>
  <si>
    <t>e13151</t>
  </si>
  <si>
    <t>rem 1536</t>
  </si>
  <si>
    <t>e13306</t>
  </si>
  <si>
    <t>e13150</t>
  </si>
  <si>
    <t>rem 1537</t>
  </si>
  <si>
    <t>e13677</t>
  </si>
  <si>
    <t>boleta transfer</t>
  </si>
  <si>
    <t>e13688</t>
  </si>
  <si>
    <t>e13281</t>
  </si>
  <si>
    <t>e13431</t>
  </si>
  <si>
    <t>rem 1544</t>
  </si>
  <si>
    <t>rem 1545</t>
  </si>
  <si>
    <t>e13588</t>
  </si>
  <si>
    <t>rem 1552</t>
  </si>
  <si>
    <t>e13863</t>
  </si>
  <si>
    <t>E13731</t>
  </si>
  <si>
    <t>E14151</t>
  </si>
  <si>
    <t>rem 1563</t>
  </si>
  <si>
    <t>e14188</t>
  </si>
  <si>
    <t>e14175</t>
  </si>
  <si>
    <t>e14194</t>
  </si>
  <si>
    <t>rem 1575</t>
  </si>
  <si>
    <t>e14051</t>
  </si>
  <si>
    <t>e14730</t>
  </si>
  <si>
    <t>e14888</t>
  </si>
  <si>
    <t>rem 1587</t>
  </si>
  <si>
    <t>rem 1601</t>
  </si>
  <si>
    <t>rem 1599</t>
  </si>
  <si>
    <t>rem 1589</t>
  </si>
  <si>
    <t>rem 1600</t>
  </si>
  <si>
    <t>rem 1607</t>
  </si>
  <si>
    <t>rem 1583</t>
  </si>
  <si>
    <t>rem 1570</t>
  </si>
  <si>
    <t>rem 1595</t>
  </si>
  <si>
    <t>e15235</t>
  </si>
  <si>
    <t>e15511</t>
  </si>
  <si>
    <t>e15272</t>
  </si>
  <si>
    <t>no captura este pago con sobrante</t>
  </si>
  <si>
    <t>rem 1623</t>
  </si>
  <si>
    <t>rem 1620</t>
  </si>
  <si>
    <t>rem 1613</t>
  </si>
  <si>
    <t>e15596</t>
  </si>
  <si>
    <t>e15512</t>
  </si>
  <si>
    <t>rem 1618</t>
  </si>
  <si>
    <t>rem 1628</t>
  </si>
  <si>
    <t>rem 1631</t>
  </si>
  <si>
    <t>rem 1633</t>
  </si>
  <si>
    <t>e 15751</t>
  </si>
  <si>
    <t>e15754</t>
  </si>
  <si>
    <t>e16521</t>
  </si>
  <si>
    <t>e16277</t>
  </si>
  <si>
    <t>e16168</t>
  </si>
  <si>
    <t>e16389</t>
  </si>
  <si>
    <t>e16388</t>
  </si>
  <si>
    <t>rem 1621</t>
  </si>
  <si>
    <t>rem 1630</t>
  </si>
  <si>
    <t>rem 1635</t>
  </si>
  <si>
    <t>e16680</t>
  </si>
  <si>
    <t>e16818</t>
  </si>
  <si>
    <t>e16963</t>
  </si>
  <si>
    <t>rem 1662</t>
  </si>
  <si>
    <t>rem 1679</t>
  </si>
  <si>
    <t>s/f</t>
  </si>
  <si>
    <t>rem 1668</t>
  </si>
  <si>
    <t>rem 1680</t>
  </si>
  <si>
    <t>rem 1675</t>
  </si>
  <si>
    <t>rem 1684</t>
  </si>
  <si>
    <t>rem 1676</t>
  </si>
  <si>
    <t>e17300</t>
  </si>
  <si>
    <t>e17162</t>
  </si>
  <si>
    <t>e17196</t>
  </si>
  <si>
    <t>e16976</t>
  </si>
  <si>
    <t>e17299</t>
  </si>
  <si>
    <t>e17211</t>
  </si>
  <si>
    <t>e17292</t>
  </si>
  <si>
    <t>e17437</t>
  </si>
  <si>
    <t>e17570</t>
  </si>
  <si>
    <t>sobrante $42,694 15/01/18</t>
  </si>
  <si>
    <t>e18055</t>
  </si>
  <si>
    <t>e18184</t>
  </si>
  <si>
    <t>e18308</t>
  </si>
  <si>
    <t>e18341</t>
  </si>
  <si>
    <t>e18579</t>
  </si>
  <si>
    <t>pagado 12/06/18</t>
  </si>
  <si>
    <t>e18405</t>
  </si>
  <si>
    <t>rem 1751</t>
  </si>
  <si>
    <t>e18719</t>
  </si>
  <si>
    <t>rem 1696</t>
  </si>
  <si>
    <t>e18836</t>
  </si>
  <si>
    <t>rem 1688</t>
  </si>
  <si>
    <t>rem 1705</t>
  </si>
  <si>
    <t>rem 1706</t>
  </si>
  <si>
    <t>rem 1721</t>
  </si>
  <si>
    <t>rem 1715</t>
  </si>
  <si>
    <t>rem 1737</t>
  </si>
  <si>
    <t>e18897</t>
  </si>
  <si>
    <t>e19151</t>
  </si>
  <si>
    <t>e19466</t>
  </si>
  <si>
    <t>e19027</t>
  </si>
  <si>
    <t>rem 1767</t>
  </si>
  <si>
    <t>e19611</t>
  </si>
  <si>
    <t>e20039</t>
  </si>
  <si>
    <t>rem 1782</t>
  </si>
  <si>
    <t>e19973</t>
  </si>
  <si>
    <t>corregida</t>
  </si>
  <si>
    <t>e19669</t>
  </si>
  <si>
    <t>e19893</t>
  </si>
  <si>
    <t>e20487</t>
  </si>
  <si>
    <t>e20348</t>
  </si>
  <si>
    <t>e20184</t>
  </si>
  <si>
    <t>e20510</t>
  </si>
  <si>
    <t>rem 1799</t>
  </si>
  <si>
    <t>rem 1798</t>
  </si>
  <si>
    <t>e20711</t>
  </si>
  <si>
    <t>e20491</t>
  </si>
  <si>
    <t>e20649</t>
  </si>
  <si>
    <t>rem 1804</t>
  </si>
  <si>
    <t>rem 1806</t>
  </si>
  <si>
    <t>e20907</t>
  </si>
  <si>
    <t>e20908</t>
  </si>
  <si>
    <t>e21195</t>
  </si>
  <si>
    <t>e21196</t>
  </si>
  <si>
    <t>e21159</t>
  </si>
  <si>
    <t>rem 1818</t>
  </si>
  <si>
    <t>e21332</t>
  </si>
  <si>
    <t>rem 1832</t>
  </si>
  <si>
    <t>e21341</t>
  </si>
  <si>
    <t>e21824</t>
  </si>
  <si>
    <t>e22328</t>
  </si>
  <si>
    <t>e22003</t>
  </si>
  <si>
    <t>e21734</t>
  </si>
  <si>
    <t>rem 11862</t>
  </si>
  <si>
    <t>rem 1849</t>
  </si>
  <si>
    <t>e21733</t>
  </si>
  <si>
    <t>e21838</t>
  </si>
  <si>
    <t>e22329</t>
  </si>
  <si>
    <t>e22475</t>
  </si>
  <si>
    <t>trasnsfer</t>
  </si>
  <si>
    <t>e22581</t>
  </si>
  <si>
    <t>e22709</t>
  </si>
  <si>
    <t>e22986</t>
  </si>
  <si>
    <t>e22987</t>
  </si>
  <si>
    <t>vale</t>
  </si>
  <si>
    <t>entrega caja</t>
  </si>
  <si>
    <t xml:space="preserve">tomo </t>
  </si>
  <si>
    <t xml:space="preserve">entrega caja </t>
  </si>
  <si>
    <t>e22850</t>
  </si>
  <si>
    <t>e23287</t>
  </si>
  <si>
    <t>e23445</t>
  </si>
  <si>
    <t>e23170</t>
  </si>
  <si>
    <t>e23573</t>
  </si>
  <si>
    <t>e23711</t>
  </si>
  <si>
    <t>e24009</t>
  </si>
  <si>
    <t>e23935</t>
  </si>
  <si>
    <t>rem 1912</t>
  </si>
  <si>
    <t>corregida esta ultima</t>
  </si>
  <si>
    <t>e24137</t>
  </si>
  <si>
    <t>e24024</t>
  </si>
  <si>
    <t>rem 1910</t>
  </si>
  <si>
    <t>rem 1914</t>
  </si>
  <si>
    <t>rem 1911</t>
  </si>
  <si>
    <t>e24287</t>
  </si>
  <si>
    <t>rem 1919</t>
  </si>
  <si>
    <t>e24529</t>
  </si>
  <si>
    <t>e24649</t>
  </si>
  <si>
    <t>e24686</t>
  </si>
  <si>
    <t>e24855</t>
  </si>
  <si>
    <t>rem1939</t>
  </si>
  <si>
    <t>rem 1937</t>
  </si>
  <si>
    <t>rem 1933</t>
  </si>
  <si>
    <t>e24990</t>
  </si>
  <si>
    <t>e24981</t>
  </si>
  <si>
    <t>f00092</t>
  </si>
  <si>
    <t>f00217</t>
  </si>
  <si>
    <t>rem 1947</t>
  </si>
  <si>
    <t>sobran 430 en el deposito</t>
  </si>
  <si>
    <t>f00362</t>
  </si>
  <si>
    <t>f00499</t>
  </si>
  <si>
    <t>f00802</t>
  </si>
  <si>
    <t>f00803</t>
  </si>
  <si>
    <t>f00933</t>
  </si>
  <si>
    <t>f00932</t>
  </si>
  <si>
    <t>f01298</t>
  </si>
  <si>
    <t>f01066</t>
  </si>
  <si>
    <t>rem 1974</t>
  </si>
  <si>
    <t>f01299</t>
  </si>
  <si>
    <t>rem 1970</t>
  </si>
  <si>
    <t>rem 1952</t>
  </si>
  <si>
    <t>f01719</t>
  </si>
  <si>
    <t>f01022</t>
  </si>
  <si>
    <t>rem 0001</t>
  </si>
  <si>
    <t>rem 1994</t>
  </si>
  <si>
    <t>f01502</t>
  </si>
  <si>
    <t>f02152</t>
  </si>
  <si>
    <t>f02247</t>
  </si>
  <si>
    <t>f02253</t>
  </si>
  <si>
    <t>f02255</t>
  </si>
  <si>
    <t>f02400</t>
  </si>
  <si>
    <t>f02249</t>
  </si>
  <si>
    <t>f02370</t>
  </si>
  <si>
    <t>f02702</t>
  </si>
  <si>
    <t>f02498</t>
  </si>
  <si>
    <t>f02526</t>
  </si>
  <si>
    <t>f02568</t>
  </si>
  <si>
    <t>f02832</t>
  </si>
  <si>
    <t>f03156</t>
  </si>
  <si>
    <t>f03036</t>
  </si>
  <si>
    <t>f03408</t>
  </si>
  <si>
    <t>f03293</t>
  </si>
  <si>
    <t>f03261</t>
  </si>
  <si>
    <t>f03561</t>
  </si>
  <si>
    <t>f03552</t>
  </si>
  <si>
    <t>f03566</t>
  </si>
  <si>
    <t>f03693</t>
  </si>
  <si>
    <t>f03890</t>
  </si>
  <si>
    <t>f04131</t>
  </si>
  <si>
    <t>f04018</t>
  </si>
  <si>
    <t>f04257</t>
  </si>
  <si>
    <t>f04388</t>
  </si>
  <si>
    <t>f04566</t>
  </si>
  <si>
    <t>f04381</t>
  </si>
  <si>
    <t>f04512</t>
  </si>
  <si>
    <t>f04940</t>
  </si>
  <si>
    <t>f04925</t>
  </si>
  <si>
    <t>f05064</t>
  </si>
  <si>
    <t>f05209</t>
  </si>
  <si>
    <t>f04719</t>
  </si>
  <si>
    <t>f05556</t>
  </si>
  <si>
    <t>f05557</t>
  </si>
  <si>
    <t>f05794</t>
  </si>
  <si>
    <t>f05964</t>
  </si>
  <si>
    <t>transfer.</t>
  </si>
  <si>
    <t>f05795</t>
  </si>
  <si>
    <t>f06076</t>
  </si>
  <si>
    <t>trensfer</t>
  </si>
  <si>
    <t>f062233</t>
  </si>
  <si>
    <t>f06075</t>
  </si>
  <si>
    <t>f06687</t>
  </si>
  <si>
    <t>rem 190</t>
  </si>
  <si>
    <t>f06688</t>
  </si>
  <si>
    <t>rem 162</t>
  </si>
  <si>
    <t>rem 163</t>
  </si>
  <si>
    <t>f06435</t>
  </si>
  <si>
    <t>f06842</t>
  </si>
  <si>
    <t>rem 194</t>
  </si>
  <si>
    <t>f06986</t>
  </si>
  <si>
    <t>rem 103</t>
  </si>
  <si>
    <t>f07142</t>
  </si>
  <si>
    <t>f07127</t>
  </si>
  <si>
    <t>transfer caja</t>
  </si>
  <si>
    <t>f06993</t>
  </si>
  <si>
    <t>rem 115</t>
  </si>
  <si>
    <t>f07467</t>
  </si>
  <si>
    <t>f07465</t>
  </si>
  <si>
    <t>f07918</t>
  </si>
  <si>
    <t>f07783</t>
  </si>
  <si>
    <t>f07610</t>
  </si>
  <si>
    <t>f07754</t>
  </si>
  <si>
    <t>f08211</t>
  </si>
  <si>
    <t>f08064</t>
  </si>
  <si>
    <t>f08367</t>
  </si>
  <si>
    <t>f08366</t>
  </si>
  <si>
    <t>f08624</t>
  </si>
  <si>
    <t>f08509</t>
  </si>
  <si>
    <t>f09533</t>
  </si>
  <si>
    <t>f09393</t>
  </si>
  <si>
    <t>f09269</t>
  </si>
  <si>
    <t>f09151</t>
  </si>
  <si>
    <t>f09150</t>
  </si>
  <si>
    <t>rem 149</t>
  </si>
  <si>
    <t>f09696</t>
  </si>
  <si>
    <t>rem 148</t>
  </si>
  <si>
    <t>real 7978</t>
  </si>
  <si>
    <t>f09860</t>
  </si>
  <si>
    <t>f10186</t>
  </si>
  <si>
    <t>f09673</t>
  </si>
  <si>
    <t>f08793</t>
  </si>
  <si>
    <t>f10313</t>
  </si>
  <si>
    <t>f10178</t>
  </si>
  <si>
    <t>diferencia en kg vale</t>
  </si>
  <si>
    <t>rem 0263</t>
  </si>
  <si>
    <t>rem 253</t>
  </si>
  <si>
    <t>rem 258</t>
  </si>
  <si>
    <t>rem 252</t>
  </si>
  <si>
    <t>efectivo/deposito</t>
  </si>
  <si>
    <t>f10610</t>
  </si>
  <si>
    <t>f10429</t>
  </si>
  <si>
    <t>f10761</t>
  </si>
  <si>
    <t>f10929</t>
  </si>
  <si>
    <t>f10779</t>
  </si>
  <si>
    <t>f11073</t>
  </si>
  <si>
    <t>f11092</t>
  </si>
  <si>
    <t>f11076</t>
  </si>
  <si>
    <t>f11121</t>
  </si>
  <si>
    <t>rem 266</t>
  </si>
  <si>
    <t>diferencia con vale 16/6/18</t>
  </si>
  <si>
    <t>f11338</t>
  </si>
  <si>
    <t>f10762</t>
  </si>
  <si>
    <t>f11399</t>
  </si>
  <si>
    <t>rem 292</t>
  </si>
  <si>
    <t>rem 287</t>
  </si>
  <si>
    <t>14-15/06/2018</t>
  </si>
  <si>
    <t>f11509</t>
  </si>
  <si>
    <t>f11664</t>
  </si>
  <si>
    <t>f11507</t>
  </si>
  <si>
    <t>f11842</t>
  </si>
  <si>
    <t>f11853</t>
  </si>
  <si>
    <t>F11854</t>
  </si>
  <si>
    <t>pagado  28/07/18</t>
  </si>
  <si>
    <t>$22,050 a Lety</t>
  </si>
  <si>
    <t>f11977</t>
  </si>
  <si>
    <t>f11921</t>
  </si>
  <si>
    <t>f12249</t>
  </si>
  <si>
    <t>f12113</t>
  </si>
  <si>
    <t>f12350</t>
  </si>
  <si>
    <t>f12415</t>
  </si>
  <si>
    <t>f12542</t>
  </si>
  <si>
    <t>f12735</t>
  </si>
  <si>
    <t>f12771</t>
  </si>
  <si>
    <t>f12751</t>
  </si>
  <si>
    <t>f12862</t>
  </si>
  <si>
    <t>f13036</t>
  </si>
  <si>
    <t>f12991</t>
  </si>
  <si>
    <t>f13435</t>
  </si>
  <si>
    <t>f13299</t>
  </si>
  <si>
    <t>f12398</t>
  </si>
  <si>
    <t>f13756</t>
  </si>
  <si>
    <t>f13755</t>
  </si>
  <si>
    <t>f13899</t>
  </si>
  <si>
    <t>f13439</t>
  </si>
  <si>
    <t>f14043</t>
  </si>
  <si>
    <t>f14203</t>
  </si>
  <si>
    <t>f14370</t>
  </si>
  <si>
    <t>f14381</t>
  </si>
  <si>
    <t>f14178</t>
  </si>
  <si>
    <t>f14582</t>
  </si>
  <si>
    <t>f14699</t>
  </si>
  <si>
    <t>f14698</t>
  </si>
  <si>
    <t>f14839</t>
  </si>
  <si>
    <t>f15118</t>
  </si>
  <si>
    <t>F15327</t>
  </si>
  <si>
    <t>F15851</t>
  </si>
  <si>
    <t>F15654</t>
  </si>
  <si>
    <t>F15585</t>
  </si>
  <si>
    <t>F15471</t>
  </si>
  <si>
    <t>F 15740</t>
  </si>
  <si>
    <t>F 15273</t>
  </si>
  <si>
    <t>F16172</t>
  </si>
  <si>
    <t>F16195</t>
  </si>
  <si>
    <t>F16321</t>
  </si>
  <si>
    <t>F16545</t>
  </si>
  <si>
    <t>F16546</t>
  </si>
  <si>
    <t>F16827</t>
  </si>
  <si>
    <t>F16841</t>
  </si>
  <si>
    <t>F16840</t>
  </si>
  <si>
    <t>F16953</t>
  </si>
  <si>
    <t>F17162</t>
  </si>
  <si>
    <t>F17454</t>
  </si>
  <si>
    <t>f17746</t>
  </si>
  <si>
    <t>f17564</t>
  </si>
  <si>
    <t>F18322</t>
  </si>
  <si>
    <t>F17847</t>
  </si>
  <si>
    <t>F18028</t>
  </si>
  <si>
    <t>F18565</t>
  </si>
  <si>
    <t xml:space="preserve">Transfer </t>
  </si>
  <si>
    <t>F18222</t>
  </si>
  <si>
    <t>rem 473</t>
  </si>
  <si>
    <t>F18464</t>
  </si>
  <si>
    <t>F18736</t>
  </si>
  <si>
    <t>F18874</t>
  </si>
  <si>
    <t>F19058</t>
  </si>
  <si>
    <t>rem 494</t>
  </si>
  <si>
    <t>rem 479</t>
  </si>
  <si>
    <t>F19292</t>
  </si>
  <si>
    <t>F19570</t>
  </si>
  <si>
    <t>F19165</t>
  </si>
  <si>
    <t>F19702</t>
  </si>
  <si>
    <t>F19897</t>
  </si>
  <si>
    <t>F20001</t>
  </si>
  <si>
    <t>F20405</t>
  </si>
  <si>
    <t>f20571</t>
  </si>
  <si>
    <t>F20701</t>
  </si>
  <si>
    <t>F20207</t>
  </si>
  <si>
    <t>F20258</t>
  </si>
  <si>
    <t>F20775</t>
  </si>
  <si>
    <t xml:space="preserve">  </t>
  </si>
  <si>
    <t>F21131</t>
  </si>
  <si>
    <t>F20896</t>
  </si>
  <si>
    <t>F21184</t>
  </si>
  <si>
    <t>F21023</t>
  </si>
  <si>
    <t>f21321</t>
  </si>
  <si>
    <t>F21549</t>
  </si>
  <si>
    <t>F21673</t>
  </si>
  <si>
    <t>F21674</t>
  </si>
  <si>
    <t>F21774</t>
  </si>
  <si>
    <t>F21931</t>
  </si>
  <si>
    <t>F21797</t>
  </si>
  <si>
    <t>F22038</t>
  </si>
  <si>
    <t>rem565</t>
  </si>
  <si>
    <t>rem 568</t>
  </si>
  <si>
    <t>F22189</t>
  </si>
  <si>
    <t>F22539</t>
  </si>
  <si>
    <t>F22664</t>
  </si>
  <si>
    <t>F22781</t>
  </si>
  <si>
    <t>F22333</t>
  </si>
  <si>
    <t>F22872</t>
  </si>
  <si>
    <t>F22300</t>
  </si>
  <si>
    <t>F22923</t>
  </si>
  <si>
    <t>F23114</t>
  </si>
  <si>
    <t>F23240</t>
  </si>
  <si>
    <t>F22922</t>
  </si>
  <si>
    <t>F23531</t>
  </si>
  <si>
    <t>F23782</t>
  </si>
  <si>
    <t>F23656</t>
  </si>
  <si>
    <t>F23940</t>
  </si>
  <si>
    <t>F23530</t>
  </si>
  <si>
    <t>F23790</t>
  </si>
  <si>
    <t>F24086</t>
  </si>
  <si>
    <t>F24397</t>
  </si>
  <si>
    <t>F24789</t>
  </si>
  <si>
    <t>F24949</t>
  </si>
  <si>
    <t>F24261</t>
  </si>
  <si>
    <t>F24536</t>
  </si>
  <si>
    <t>rem 637</t>
  </si>
  <si>
    <t>rem 625</t>
  </si>
  <si>
    <t>rem 634</t>
  </si>
  <si>
    <t>rem 633</t>
  </si>
  <si>
    <t>G00147</t>
  </si>
  <si>
    <t>G00275</t>
  </si>
  <si>
    <t>G00409</t>
  </si>
  <si>
    <t>rem 657</t>
  </si>
  <si>
    <t>rem 642</t>
  </si>
  <si>
    <t>rem 644</t>
  </si>
  <si>
    <t>rem 636</t>
  </si>
  <si>
    <t>G00678</t>
  </si>
  <si>
    <t>G00655</t>
  </si>
  <si>
    <t>G00541</t>
  </si>
  <si>
    <t>G00800</t>
  </si>
  <si>
    <t>G01014</t>
  </si>
  <si>
    <t>G02111</t>
  </si>
  <si>
    <t>G01986</t>
  </si>
  <si>
    <t>G01857</t>
  </si>
  <si>
    <t>G01673</t>
  </si>
  <si>
    <t>G01521</t>
  </si>
  <si>
    <t>G01237</t>
  </si>
  <si>
    <t>G01127</t>
  </si>
  <si>
    <t>G01858</t>
  </si>
  <si>
    <t>G02243</t>
  </si>
  <si>
    <t>G01351</t>
  </si>
  <si>
    <t>G02398</t>
  </si>
  <si>
    <t>G02535</t>
  </si>
  <si>
    <t>G02854</t>
  </si>
  <si>
    <t>G02952</t>
  </si>
  <si>
    <t>rem 744</t>
  </si>
  <si>
    <t>G03412</t>
  </si>
  <si>
    <t>rem 754</t>
  </si>
  <si>
    <t>rem 758</t>
  </si>
  <si>
    <t>G03112</t>
  </si>
  <si>
    <t>G03626</t>
  </si>
  <si>
    <t>G03741</t>
  </si>
  <si>
    <t>G03863</t>
  </si>
  <si>
    <t>G04003</t>
  </si>
  <si>
    <t>rem 768</t>
  </si>
  <si>
    <t>G04115</t>
  </si>
  <si>
    <t>G04140</t>
  </si>
  <si>
    <t>G04248</t>
  </si>
  <si>
    <t>G04275</t>
  </si>
  <si>
    <t>G04550</t>
  </si>
  <si>
    <t>G04466</t>
  </si>
  <si>
    <t>G05064</t>
  </si>
  <si>
    <t>G04963</t>
  </si>
  <si>
    <t>G05306</t>
  </si>
  <si>
    <t>G05210</t>
  </si>
  <si>
    <t>G04831</t>
  </si>
  <si>
    <t>G05428</t>
  </si>
  <si>
    <t>G05562</t>
  </si>
  <si>
    <t>G05679</t>
  </si>
  <si>
    <t>rem 797</t>
  </si>
  <si>
    <t>rem 788</t>
  </si>
  <si>
    <t>G05774</t>
  </si>
  <si>
    <t>G05975</t>
  </si>
  <si>
    <t>G05954</t>
  </si>
  <si>
    <t>G06433</t>
  </si>
  <si>
    <t>G06297</t>
  </si>
  <si>
    <t>G06296</t>
  </si>
  <si>
    <t>G06718</t>
  </si>
  <si>
    <t>G07043</t>
  </si>
  <si>
    <t>G06568</t>
  </si>
  <si>
    <t>G07168</t>
  </si>
  <si>
    <t>G07197</t>
  </si>
  <si>
    <t>G07301</t>
  </si>
  <si>
    <t>G07045</t>
  </si>
  <si>
    <t>G07174</t>
  </si>
  <si>
    <t>G07596</t>
  </si>
  <si>
    <t>diferencia en precio rem G07174</t>
  </si>
  <si>
    <t>G07738</t>
  </si>
  <si>
    <t>G08223</t>
  </si>
  <si>
    <t>G07961</t>
  </si>
  <si>
    <t>G07422</t>
  </si>
  <si>
    <t>rem 938</t>
  </si>
  <si>
    <t>G08512</t>
  </si>
  <si>
    <t>G08683</t>
  </si>
  <si>
    <t>G08341</t>
  </si>
  <si>
    <t>G08520</t>
  </si>
  <si>
    <t>G08938</t>
  </si>
  <si>
    <t>G09209</t>
  </si>
  <si>
    <t>G08078</t>
  </si>
  <si>
    <t>G09215</t>
  </si>
  <si>
    <t>G09091</t>
  </si>
  <si>
    <t>G09336</t>
  </si>
  <si>
    <t>G09330</t>
  </si>
  <si>
    <t>G09697</t>
  </si>
  <si>
    <t>G09937</t>
  </si>
  <si>
    <t>G10062</t>
  </si>
  <si>
    <t>G10108</t>
  </si>
  <si>
    <t>G10254</t>
  </si>
  <si>
    <t>rem 1080</t>
  </si>
  <si>
    <t>G10374</t>
  </si>
  <si>
    <t>rem 1073</t>
  </si>
  <si>
    <t>G10427</t>
  </si>
  <si>
    <t>G10614</t>
  </si>
  <si>
    <t>vale rosa cic Adriana</t>
  </si>
  <si>
    <t>G10779</t>
  </si>
  <si>
    <t>G11110</t>
  </si>
  <si>
    <t>G11109</t>
  </si>
  <si>
    <t>G11044</t>
  </si>
  <si>
    <t>G10798</t>
  </si>
  <si>
    <t>G11249</t>
  </si>
  <si>
    <t>rem 967</t>
  </si>
  <si>
    <t>rem 1097</t>
  </si>
  <si>
    <t>rem 957</t>
  </si>
  <si>
    <t>rem 958</t>
  </si>
  <si>
    <t>G11757</t>
  </si>
  <si>
    <t>G11568</t>
  </si>
  <si>
    <t>sobrantes antiguos</t>
  </si>
  <si>
    <t>fact 202271</t>
  </si>
  <si>
    <t>intercam $22,213.16</t>
  </si>
  <si>
    <t>NLSE19-101</t>
  </si>
  <si>
    <t>NLSE19-102</t>
  </si>
  <si>
    <t>NLSE19-103</t>
  </si>
  <si>
    <t>NLSE19-104</t>
  </si>
  <si>
    <t>NLSE19-105</t>
  </si>
  <si>
    <t>NLSE19-106</t>
  </si>
  <si>
    <t>intercam $24,500.00</t>
  </si>
  <si>
    <t>fact 202270</t>
  </si>
  <si>
    <t>intercam $22,836.32</t>
  </si>
  <si>
    <t>Cruz</t>
  </si>
  <si>
    <t>G12210</t>
  </si>
  <si>
    <t>rem 984</t>
  </si>
  <si>
    <t>rem 986</t>
  </si>
  <si>
    <t>rem 969</t>
  </si>
  <si>
    <t>rem 992</t>
  </si>
  <si>
    <t>rem 991</t>
  </si>
  <si>
    <t>fact 1564823</t>
  </si>
  <si>
    <t>merma 650.6kg Ya bonificada todavia el 04/01/19</t>
  </si>
  <si>
    <t>Gaby y Topete</t>
  </si>
  <si>
    <t>fact 6503,6504,6806,6807</t>
  </si>
  <si>
    <t>Agrop Las Reses</t>
  </si>
  <si>
    <t>fact 7042, 7043</t>
  </si>
  <si>
    <t>fact 6500,6501</t>
  </si>
  <si>
    <t>p 37.50 G12698</t>
  </si>
  <si>
    <t>hoja + 9.5  ju 3 ene</t>
  </si>
  <si>
    <t>hoja + 10  ju 3 ene</t>
  </si>
  <si>
    <t>hoja + 10.5 vi 4 ene</t>
  </si>
  <si>
    <t>hoja + 9.5 vi 4 ene</t>
  </si>
  <si>
    <t>hoja + 10.5  ma 8 ene</t>
  </si>
  <si>
    <t>nl19-01</t>
  </si>
  <si>
    <t>nlp067</t>
  </si>
  <si>
    <t>T7192</t>
  </si>
  <si>
    <t>nlse19-101</t>
  </si>
  <si>
    <t>nl18-02</t>
  </si>
  <si>
    <t>nlse19-102</t>
  </si>
  <si>
    <t>P 37.45  G12732</t>
  </si>
  <si>
    <t>T7193</t>
  </si>
  <si>
    <t>T7194</t>
  </si>
  <si>
    <t>T7195</t>
  </si>
  <si>
    <t>T7196</t>
  </si>
  <si>
    <t>T7197</t>
  </si>
  <si>
    <t>T7198</t>
  </si>
  <si>
    <t>T7199</t>
  </si>
  <si>
    <t>Intercam $22,000.00</t>
  </si>
  <si>
    <t>intercam $24,000.00</t>
  </si>
  <si>
    <t>Seaboard  ju 17/01/19  nlse19-103</t>
  </si>
  <si>
    <t>Seaboard  sa 19/01/19  nlse19-104</t>
  </si>
  <si>
    <t>Tyson mi 16/01/19   T7192</t>
  </si>
  <si>
    <t>Tyson mi 16/01/19   T7193</t>
  </si>
  <si>
    <t>Smithfield  vi 4/01/19  nl18-112</t>
  </si>
  <si>
    <t>fact 9000631984</t>
  </si>
  <si>
    <t>Smithfield  vi 4/01/19  nl18-113</t>
  </si>
  <si>
    <t>fact 9000629949</t>
  </si>
  <si>
    <t>intercam $23,213.36</t>
  </si>
  <si>
    <t>Ideal Trading  ma 08/01/19  nlp067</t>
  </si>
  <si>
    <t>intercam $23,587.78-1,159.02</t>
  </si>
  <si>
    <t>Aplicación de NC de la orden NL18-108 que falto un combo, NC por $1,159.02usd</t>
  </si>
  <si>
    <t>Seaboard  vi 11/01/19  nlse19-111</t>
  </si>
  <si>
    <t>nlse19-111</t>
  </si>
  <si>
    <t>hoja + 10.5 lu 07 ene</t>
  </si>
  <si>
    <t>G12732</t>
  </si>
  <si>
    <t>G12698</t>
  </si>
  <si>
    <t>G12212</t>
  </si>
  <si>
    <t>rem 1114</t>
  </si>
  <si>
    <t>rem 1121</t>
  </si>
  <si>
    <t>fact 202274</t>
  </si>
  <si>
    <t>Agrop El Topete</t>
  </si>
  <si>
    <t>fact 6814, 6815</t>
  </si>
  <si>
    <t>Porc San Bernardo</t>
  </si>
  <si>
    <t>fact 3272,3273</t>
  </si>
  <si>
    <t>fact 6817, 6818</t>
  </si>
  <si>
    <t>P 37.50  G13119</t>
  </si>
  <si>
    <t>P 37.40 G13120</t>
  </si>
  <si>
    <t>intercam $23,035.58-802.42</t>
  </si>
  <si>
    <t>Tamez</t>
  </si>
  <si>
    <t>fact 069C04829A</t>
  </si>
  <si>
    <t>fact 069C05821A</t>
  </si>
  <si>
    <t>fact 1566683</t>
  </si>
  <si>
    <t>069C04829A</t>
  </si>
  <si>
    <t>069C05821A</t>
  </si>
  <si>
    <t>Productos Xeiba  sa 05/01/19</t>
  </si>
  <si>
    <t xml:space="preserve">fact 433 </t>
  </si>
  <si>
    <t>fact 6821, 6822</t>
  </si>
  <si>
    <t>P 37.40 G13235</t>
  </si>
  <si>
    <t>Agrop la Gaby</t>
  </si>
  <si>
    <t>merma por error de tara, compensada en el pago con NC</t>
  </si>
  <si>
    <t>NLSE19-111</t>
  </si>
  <si>
    <t>Ju</t>
  </si>
  <si>
    <t>fact 1567430</t>
  </si>
  <si>
    <t xml:space="preserve">NC aplicada por diferencia en peso por error en bascula en planta </t>
  </si>
  <si>
    <t>fact 632</t>
  </si>
  <si>
    <t>Juan Pablo  vi 04/01/19</t>
  </si>
  <si>
    <t>fact 6827,6828,6830,6831</t>
  </si>
  <si>
    <t>P 37.40  G13384</t>
  </si>
  <si>
    <t>Smithfield  ma 08/01/19  nl19-01</t>
  </si>
  <si>
    <t>fact 9000637472</t>
  </si>
  <si>
    <t>intercam $22,756.95</t>
  </si>
  <si>
    <t>G13120</t>
  </si>
  <si>
    <t>G13119</t>
  </si>
  <si>
    <t>G13235</t>
  </si>
  <si>
    <t>G13384</t>
  </si>
  <si>
    <t>fact 1567660</t>
  </si>
  <si>
    <t>Agrop La Gaby</t>
  </si>
  <si>
    <t>fact 6522,6523</t>
  </si>
  <si>
    <t>Agrop La Chemita</t>
  </si>
  <si>
    <t>fact 4544,4545</t>
  </si>
  <si>
    <t>fact 3284,3285</t>
  </si>
  <si>
    <t>hoja + 9.5  ju 10 ene</t>
  </si>
  <si>
    <t>hoja + 10  ju 10 ene</t>
  </si>
  <si>
    <t>hoja + 9.5  vi 11 ene</t>
  </si>
  <si>
    <t>hoja + 10.5 vi 11 ene</t>
  </si>
  <si>
    <t>hoja + 10 vi 11 ene</t>
  </si>
  <si>
    <t>hoja + 10.5  ma 15 ene</t>
  </si>
  <si>
    <t>Contra</t>
  </si>
  <si>
    <t>excel</t>
  </si>
  <si>
    <t>Ryc</t>
  </si>
  <si>
    <t>Menudo</t>
  </si>
  <si>
    <t>excel 86M</t>
  </si>
  <si>
    <t>Roel</t>
  </si>
  <si>
    <t>Saga</t>
  </si>
  <si>
    <t>nl19-03</t>
  </si>
  <si>
    <t>nlp068</t>
  </si>
  <si>
    <t>nl19-04</t>
  </si>
  <si>
    <t>nlse19-103</t>
  </si>
  <si>
    <t>nlp071</t>
  </si>
  <si>
    <t>nlse19-104</t>
  </si>
  <si>
    <t>hoja + 10  ju 17 ene</t>
  </si>
  <si>
    <t>hoja + 9.5  ju 17 ene</t>
  </si>
  <si>
    <t>hoja + 10.5 vi 18 ene</t>
  </si>
  <si>
    <t>hoja + 9.5 lu 21 ene</t>
  </si>
  <si>
    <t>hoja + 10.5  ma 22 ene</t>
  </si>
  <si>
    <t>nlp069</t>
  </si>
  <si>
    <t>nl19-05</t>
  </si>
  <si>
    <t>nlse19-105</t>
  </si>
  <si>
    <t>nlp072</t>
  </si>
  <si>
    <t>nl19-06</t>
  </si>
  <si>
    <t>nlse19-106</t>
  </si>
  <si>
    <t>hoja + 9.5  ju 24 ene</t>
  </si>
  <si>
    <t>hoja + 10  ju 24 ene</t>
  </si>
  <si>
    <t>nl19-07</t>
  </si>
  <si>
    <t>nlp070</t>
  </si>
  <si>
    <t>nl19-08</t>
  </si>
  <si>
    <t>hoja + 10.5 vi 25 ene</t>
  </si>
  <si>
    <t>hoja + 9.5  vi 25 ene</t>
  </si>
  <si>
    <t>hoja + 10.5  ma 29 ene</t>
  </si>
  <si>
    <t>Smithfield  vi 11/01/19  nl19-02</t>
  </si>
  <si>
    <t>fact 9000645309</t>
  </si>
  <si>
    <t>intercam $23,304.69</t>
  </si>
  <si>
    <t>intercam $26,000.00</t>
  </si>
  <si>
    <t>P 37.05  G13566</t>
  </si>
  <si>
    <t>Agrop Las Reses  ju 03/01/19</t>
  </si>
  <si>
    <t>Agrop La Gaby  ju 03/01/19</t>
  </si>
  <si>
    <t>Agrop La Gaby  vi 04/01/19</t>
  </si>
  <si>
    <t>fact 6503,6504</t>
  </si>
  <si>
    <t>fact 6806,6807</t>
  </si>
  <si>
    <t>Agrop El Topete  vi 04/01/19</t>
  </si>
  <si>
    <t>Febrero 19</t>
  </si>
  <si>
    <t>Agrop El Topete  do 6/01/19</t>
  </si>
  <si>
    <t>fact 6814,6815</t>
  </si>
  <si>
    <t>fact 322,3273</t>
  </si>
  <si>
    <t>Porc San Bernardo  do 06/01/19</t>
  </si>
  <si>
    <t>Agrop El Topete  lu 07/01/19</t>
  </si>
  <si>
    <t>Agrop El Topete  ma 08/01/19</t>
  </si>
  <si>
    <t>Agrop El Topete mi 09/01/19</t>
  </si>
  <si>
    <t>fact 6830,6831</t>
  </si>
  <si>
    <t>fact6827, 6828</t>
  </si>
  <si>
    <t>Agrop La Gaby  ju 10/01/19</t>
  </si>
  <si>
    <t>fact 6522, 6523</t>
  </si>
  <si>
    <t>fact 4544, 4545</t>
  </si>
  <si>
    <t>Agrop La Chemita  ju 10/01/19</t>
  </si>
  <si>
    <t>Porc San Bernardo  vi 11/01/19</t>
  </si>
  <si>
    <t>Juan Pablo Torres vi 11/01/19</t>
  </si>
  <si>
    <t>P 37  G13713</t>
  </si>
  <si>
    <t>Corbata al vacio</t>
  </si>
  <si>
    <t>Smithfield</t>
  </si>
  <si>
    <t>104 cajas</t>
  </si>
  <si>
    <t>fact HC0825</t>
  </si>
  <si>
    <t>Roel  mi 09/01/19</t>
  </si>
  <si>
    <t>corbata smithfield vacio</t>
  </si>
  <si>
    <t>85 cajas</t>
  </si>
  <si>
    <t>fact 66637</t>
  </si>
  <si>
    <t>Saga Inc  ju 10/01/19</t>
  </si>
  <si>
    <t>menudo excell 86M</t>
  </si>
  <si>
    <t>Esp carnero</t>
  </si>
  <si>
    <t>Alliance</t>
  </si>
  <si>
    <t>278 cajas</t>
  </si>
  <si>
    <t>fact 1097262</t>
  </si>
  <si>
    <t>Ryc Alimentos  mi 09/01/19</t>
  </si>
  <si>
    <t>esp carnero Alliance</t>
  </si>
  <si>
    <t>Cuero belly fco</t>
  </si>
  <si>
    <t>Adams</t>
  </si>
  <si>
    <t>1 combo</t>
  </si>
  <si>
    <t>fact 67388</t>
  </si>
  <si>
    <t>Adams International  mi 02/01/19</t>
  </si>
  <si>
    <t>86M</t>
  </si>
  <si>
    <t>60 cajas</t>
  </si>
  <si>
    <t>fact 67486</t>
  </si>
  <si>
    <t>Adams International  sa 05/01/19</t>
  </si>
  <si>
    <t>Swift</t>
  </si>
  <si>
    <t>3 combos</t>
  </si>
  <si>
    <t>fact 67582</t>
  </si>
  <si>
    <t>Adams International mi 09/01/19</t>
  </si>
  <si>
    <t>Tyson  mi 23/01/19  T7194</t>
  </si>
  <si>
    <t>Tyson  mi 23/01/19  T7195</t>
  </si>
  <si>
    <t>Seaboard  ju  24/01/19  nlse19-105</t>
  </si>
  <si>
    <t>Ideal trading  ju 17/01/19 nlp071</t>
  </si>
  <si>
    <t>Ideal Trading  ma 15/01/19 nlp068</t>
  </si>
  <si>
    <t>Smithfield  mi 16/01/19  nl19-04</t>
  </si>
  <si>
    <t>Smithfield  ma 15/001/19  nl19-03</t>
  </si>
  <si>
    <t>fact 9000656018</t>
  </si>
  <si>
    <t>intercam $24,263.27</t>
  </si>
  <si>
    <t>fact 202277</t>
  </si>
  <si>
    <t>intercam $24,705.05</t>
  </si>
  <si>
    <t>Porc Soto</t>
  </si>
  <si>
    <t>fact 1780,1781</t>
  </si>
  <si>
    <t>fact 7071,7072</t>
  </si>
  <si>
    <t>G13566</t>
  </si>
  <si>
    <t>G13713</t>
  </si>
  <si>
    <t>rem 1136</t>
  </si>
  <si>
    <t>rem 1126</t>
  </si>
  <si>
    <t>P 36.90 G13935</t>
  </si>
  <si>
    <t>se pagaron $1,000 usd de mas, se descuentan en la NLP071</t>
  </si>
  <si>
    <t>088C11826A</t>
  </si>
  <si>
    <t>069C11822A</t>
  </si>
  <si>
    <t>fact 088C11826A</t>
  </si>
  <si>
    <t>fact 069C11822A</t>
  </si>
  <si>
    <t>fact 9000657200</t>
  </si>
  <si>
    <t>intercam $24,883.76</t>
  </si>
  <si>
    <t>P 37  G14065</t>
  </si>
  <si>
    <t>Soto y Las Reses</t>
  </si>
  <si>
    <t>fact 1785,1786,7074,7075</t>
  </si>
  <si>
    <t>G14068</t>
  </si>
  <si>
    <t>G14065</t>
  </si>
  <si>
    <t>fact 1569382</t>
  </si>
  <si>
    <t>fact 7078,7079,7080,7081</t>
  </si>
  <si>
    <t>intercam $26,500.00</t>
  </si>
  <si>
    <t>fact 202281</t>
  </si>
  <si>
    <t>intercam $24,717.50-1,000</t>
  </si>
  <si>
    <t>P 37.10 G14197</t>
  </si>
  <si>
    <t>G14197</t>
  </si>
  <si>
    <t>rem 1165</t>
  </si>
  <si>
    <t>El Dorado y San Bernardo</t>
  </si>
  <si>
    <t>fact 2071,2072,3294, 3290</t>
  </si>
  <si>
    <t>NLSE19-107</t>
  </si>
  <si>
    <t>NLSE19-108</t>
  </si>
  <si>
    <t>NLSE19-109</t>
  </si>
  <si>
    <t>NLSE19-110</t>
  </si>
  <si>
    <t>Seaboard  sa 26/01/19  nlse19-106</t>
  </si>
  <si>
    <t>Productos Xeiba  ma 15/01/19</t>
  </si>
  <si>
    <t>fact 438</t>
  </si>
  <si>
    <t>G13935</t>
  </si>
  <si>
    <t>rem 1160</t>
  </si>
  <si>
    <t>rem 1156</t>
  </si>
  <si>
    <t>fact 656</t>
  </si>
  <si>
    <t>fact 1570173</t>
  </si>
  <si>
    <t>Agrop El Dorado</t>
  </si>
  <si>
    <t>fact 2075, 2076</t>
  </si>
  <si>
    <t>fact 792,7093</t>
  </si>
  <si>
    <t>P 37 G14328</t>
  </si>
  <si>
    <t>P 36.50  G14499</t>
  </si>
  <si>
    <t>Juan Pablo Torres  vi 25/01/19</t>
  </si>
  <si>
    <t>Agrop Las Reses  do 13/01/19</t>
  </si>
  <si>
    <t>fact 1780, 1781</t>
  </si>
  <si>
    <t>Porc Soto  do 13/01/19</t>
  </si>
  <si>
    <t>Porc Soto  lu 14/01/19</t>
  </si>
  <si>
    <t>fact 1785, 1786</t>
  </si>
  <si>
    <t>fact 7074, 7075</t>
  </si>
  <si>
    <t>Agrop Las Reses lu 14/01/19</t>
  </si>
  <si>
    <t>Agrop Las Reses  ma 15/01/19</t>
  </si>
  <si>
    <t>fact 7080, 7081</t>
  </si>
  <si>
    <t>Agrop El Dorado  mi 16/01/19</t>
  </si>
  <si>
    <t>fact 2071, 2072</t>
  </si>
  <si>
    <t>fact 3294, 3295</t>
  </si>
  <si>
    <t>Porc San Bernardo  mi 16/01/19</t>
  </si>
  <si>
    <t>fact 7092, 7093</t>
  </si>
  <si>
    <t>fact 7078,7079</t>
  </si>
  <si>
    <t>Agrop Las Reses  ju 17/01/19</t>
  </si>
  <si>
    <t>Agrop El Dorado  ju 17/01/19</t>
  </si>
  <si>
    <t>fact 6544, 6545</t>
  </si>
  <si>
    <t>P 36.40  G14669</t>
  </si>
  <si>
    <t>Agrop La Gaby  vi 18/01/19</t>
  </si>
  <si>
    <t>Tyson  mi 30/01/19  T7196</t>
  </si>
  <si>
    <t>Seaboard  ju 31/01/19 nlse19-107</t>
  </si>
  <si>
    <t>Seaboard  sa 02/02/19 nlse19-108</t>
  </si>
  <si>
    <t>Ideal Trading  ma 22/01/19 nlp069</t>
  </si>
  <si>
    <t>Ideal Trading  ju 24/01/19  nlp072</t>
  </si>
  <si>
    <t>intercam $27,500.00</t>
  </si>
  <si>
    <t>Smithfield  mi 23/01/19  nl19-05</t>
  </si>
  <si>
    <t>Smithfield  sa 26/1/19  nl19-06</t>
  </si>
  <si>
    <t>fact 202284</t>
  </si>
  <si>
    <t>intercam $25,913.39</t>
  </si>
  <si>
    <t>fact 6548,6549</t>
  </si>
  <si>
    <t>fact 6550,6551</t>
  </si>
  <si>
    <t>Cuero Belly fco</t>
  </si>
  <si>
    <t>5 combos</t>
  </si>
  <si>
    <t>fact 67735</t>
  </si>
  <si>
    <t>Papa ondulada 1/2</t>
  </si>
  <si>
    <t>permafrost</t>
  </si>
  <si>
    <t>100 cajas</t>
  </si>
  <si>
    <t>fact 67855</t>
  </si>
  <si>
    <t>Adams International  lu 14/01/19</t>
  </si>
  <si>
    <t>Adams International  vi 18/01/19</t>
  </si>
  <si>
    <t xml:space="preserve">papa ondulada  </t>
  </si>
  <si>
    <t>fact 9000672662</t>
  </si>
  <si>
    <t>intercam $26,098.30</t>
  </si>
  <si>
    <t>280 cajas</t>
  </si>
  <si>
    <t>Roel   vi 18/01/19</t>
  </si>
  <si>
    <t>fact 1099112</t>
  </si>
  <si>
    <t>Ryc Alimentos  vi 18/01/19</t>
  </si>
  <si>
    <t>contra excell</t>
  </si>
  <si>
    <t>P 36.40  G14881</t>
  </si>
  <si>
    <t>Productos Xeiba  vi 18/01/19</t>
  </si>
  <si>
    <t>fact 439</t>
  </si>
  <si>
    <t>Odelpa</t>
  </si>
  <si>
    <t>088C19825A</t>
  </si>
  <si>
    <t>069C18824A</t>
  </si>
  <si>
    <t>fact 069C18824A</t>
  </si>
  <si>
    <t>fact 088C19825A</t>
  </si>
  <si>
    <t>Productos Xeiba  lu 21/01/19</t>
  </si>
  <si>
    <t>fact 447</t>
  </si>
  <si>
    <t>611 cajas</t>
  </si>
  <si>
    <t>241 cajas</t>
  </si>
  <si>
    <t>Roel  ju 17/01/19</t>
  </si>
  <si>
    <t>fact 676</t>
  </si>
  <si>
    <t>fact HC0876</t>
  </si>
  <si>
    <t>fact HC0875</t>
  </si>
  <si>
    <t>fact 2085, 2086</t>
  </si>
  <si>
    <t>fact1807,1808</t>
  </si>
  <si>
    <t>P 36.6  G15007</t>
  </si>
  <si>
    <t>fact 1572344</t>
  </si>
  <si>
    <t>hoja + 10 Lu 21 ene</t>
  </si>
  <si>
    <t>fact 4572,4573</t>
  </si>
  <si>
    <t>fact 6554,6555,6557,6558</t>
  </si>
  <si>
    <t>fact 202289</t>
  </si>
  <si>
    <t>intercam $25,397.30</t>
  </si>
  <si>
    <t>P 36.50  G15277</t>
  </si>
  <si>
    <t>Productos La Xeiba  mi 23/01/19</t>
  </si>
  <si>
    <t>fact 448</t>
  </si>
  <si>
    <t>fact 1572662</t>
  </si>
  <si>
    <t>intercam $24,558.29</t>
  </si>
  <si>
    <t>fact 9000677923</t>
  </si>
  <si>
    <t>fact 7101,7102</t>
  </si>
  <si>
    <t>fact 2091,2092</t>
  </si>
  <si>
    <t>P 36.60  G15448</t>
  </si>
  <si>
    <t>84 cajas</t>
  </si>
  <si>
    <t>fact 1823,1824</t>
  </si>
  <si>
    <t>p 36.60  G15595</t>
  </si>
  <si>
    <t>prom 5 = 33.46</t>
  </si>
  <si>
    <t>prom 3= 32.68 de las que quedan</t>
  </si>
  <si>
    <t>prom total 33.07</t>
  </si>
  <si>
    <t>Agrop La Gaby  do 20/01/19</t>
  </si>
  <si>
    <t>fact 6548, 6549</t>
  </si>
  <si>
    <t>nlse19-107</t>
  </si>
  <si>
    <t>nlp073</t>
  </si>
  <si>
    <t>G14881</t>
  </si>
  <si>
    <t>G14669</t>
  </si>
  <si>
    <t>G15595</t>
  </si>
  <si>
    <t>G15448</t>
  </si>
  <si>
    <t>G15277</t>
  </si>
  <si>
    <t>G15007</t>
  </si>
  <si>
    <t>G14858</t>
  </si>
  <si>
    <t>G14328</t>
  </si>
  <si>
    <t>Tyson mi 06/02/19  T7198</t>
  </si>
  <si>
    <t>Tyson mi 06/02/19  T7199</t>
  </si>
  <si>
    <t>Seaboard  ju 07/02/19  nlse19-109</t>
  </si>
  <si>
    <t>Ideal Trading  ma 29/01/19  nlp070</t>
  </si>
  <si>
    <t>Smithfield  ma 29/01/19 nl19-07</t>
  </si>
  <si>
    <t>fact 9000683875</t>
  </si>
  <si>
    <t>intercam $22,249.40</t>
  </si>
  <si>
    <t>Ideal Trading  vi 01/02/19 nlp073</t>
  </si>
  <si>
    <t>Smithfield  vi  01/02/19  nl19-08</t>
  </si>
  <si>
    <t>fact 202293</t>
  </si>
  <si>
    <t>intercam $23,381.56</t>
  </si>
  <si>
    <t>Febrero 2019</t>
  </si>
  <si>
    <t>fact 6853,6854</t>
  </si>
  <si>
    <t>fact 4587,4588</t>
  </si>
  <si>
    <t>P 36  G15837</t>
  </si>
  <si>
    <t>Tyson  vi 01/02/19  T7197</t>
  </si>
  <si>
    <t>fact 689</t>
  </si>
  <si>
    <t>Juan Pablo  vi 25/01/19</t>
  </si>
  <si>
    <t>Productos La Xeiba  sa 26/01/19</t>
  </si>
  <si>
    <t>fact 450</t>
  </si>
  <si>
    <t>Topete y Dorado</t>
  </si>
  <si>
    <t>fact 6859,6860,2098,2099</t>
  </si>
  <si>
    <t>Topete y Soto</t>
  </si>
  <si>
    <t>fact 6856,6857,1832,1833</t>
  </si>
  <si>
    <t>nlse19-108</t>
  </si>
  <si>
    <t>fact 9000690933</t>
  </si>
  <si>
    <t>intercam $23,443.69</t>
  </si>
  <si>
    <t>fact 088C27821A</t>
  </si>
  <si>
    <t>indiana</t>
  </si>
  <si>
    <t>2 combos</t>
  </si>
  <si>
    <t>fact 68008</t>
  </si>
  <si>
    <t>fact68029</t>
  </si>
  <si>
    <t>Roel  vi 25/01/19</t>
  </si>
  <si>
    <t>Adams International  ju 24/01/19</t>
  </si>
  <si>
    <t>fact 68029</t>
  </si>
  <si>
    <t>Adams International  vi 25/01/19</t>
  </si>
  <si>
    <t>fact 68065</t>
  </si>
  <si>
    <t>111 cajas</t>
  </si>
  <si>
    <t>fact 68089</t>
  </si>
  <si>
    <t>Adams International  lu 28/01/19</t>
  </si>
  <si>
    <t>Agrop El Dorado  lu 21/01/19</t>
  </si>
  <si>
    <t>fact 2085,2086</t>
  </si>
  <si>
    <t>fact 1807,1808</t>
  </si>
  <si>
    <t>Porc Soto  lu 21/01/19</t>
  </si>
  <si>
    <t>Agrop La Chemita  ma 22/04/19</t>
  </si>
  <si>
    <t>Agrop La Gaby  mi 23/01/19</t>
  </si>
  <si>
    <t>fact 6554,6555</t>
  </si>
  <si>
    <t>fact 6557,6558</t>
  </si>
  <si>
    <t>Agrop Las Reses  ju 24/01/19</t>
  </si>
  <si>
    <t>Agrop El Dorado  ju 24/01/19</t>
  </si>
  <si>
    <t>Porc Soto  vi 25/01/19</t>
  </si>
  <si>
    <t>Agrop El Topete  do 27/01/19</t>
  </si>
  <si>
    <t>Agrop La Chemita  do 27/01/19</t>
  </si>
  <si>
    <t>Agrop El Topete  lu 28/01/19</t>
  </si>
  <si>
    <t>fact 6856,6857</t>
  </si>
  <si>
    <t>fact 1832,1833</t>
  </si>
  <si>
    <t>Porc Soto  lu 28/01/19</t>
  </si>
  <si>
    <t>088C27821A</t>
  </si>
  <si>
    <t>prom 32.5 de 3</t>
  </si>
  <si>
    <t>P35.90  G15972</t>
  </si>
  <si>
    <t>fact 1575172</t>
  </si>
  <si>
    <t>nl19-09</t>
  </si>
  <si>
    <t>hoja + 9.5 lu 28 ene</t>
  </si>
  <si>
    <t>Marimex  mi 30/01/19</t>
  </si>
  <si>
    <t>fact PUI7789</t>
  </si>
  <si>
    <t>basa 5/7 45, atun 170,salmon 175</t>
  </si>
  <si>
    <t>Marimex</t>
  </si>
  <si>
    <t>Ideal Trading  vi 01/02/19 nlp074</t>
  </si>
  <si>
    <t>Smithfield  sa 02/02/19 nl19-09</t>
  </si>
  <si>
    <t>fact 9000694616</t>
  </si>
  <si>
    <t>intercam $23,089.82</t>
  </si>
  <si>
    <t>G14499</t>
  </si>
  <si>
    <t>G15972</t>
  </si>
  <si>
    <t>fact 6861,6862</t>
  </si>
  <si>
    <t>fact 1839,1840</t>
  </si>
  <si>
    <t>P 35.90  G16221</t>
  </si>
  <si>
    <t>P35.90  G16222</t>
  </si>
  <si>
    <t>Prodctos la Xeiba  mi 30/01/19</t>
  </si>
  <si>
    <t xml:space="preserve">fact 454 </t>
  </si>
  <si>
    <t>Filete Basa</t>
  </si>
  <si>
    <t>5/7 pielago</t>
  </si>
  <si>
    <t>Salmon porcion</t>
  </si>
  <si>
    <t>Atun porcion</t>
  </si>
  <si>
    <t>8/10 baja bay</t>
  </si>
  <si>
    <t>6/8</t>
  </si>
  <si>
    <t>12 cajas</t>
  </si>
  <si>
    <t xml:space="preserve">10 cajas </t>
  </si>
  <si>
    <t xml:space="preserve">100 cajas </t>
  </si>
  <si>
    <t>088C28821A</t>
  </si>
  <si>
    <t>fact 088C28821A</t>
  </si>
  <si>
    <t>mantuvieron el precio del martes</t>
  </si>
  <si>
    <t>fact 6859,6860</t>
  </si>
  <si>
    <t>fact 2098,2099</t>
  </si>
  <si>
    <t>Agrop El Dorado  ma 29/01/19</t>
  </si>
  <si>
    <t>Agrop El Topete  ma 29/01/19</t>
  </si>
  <si>
    <t>Agrop El Topete  mi 30/01/19</t>
  </si>
  <si>
    <t>Porc Soto  mi 30/01/19</t>
  </si>
  <si>
    <t>fact 7107,7108</t>
  </si>
  <si>
    <t>fact 6867,6868</t>
  </si>
  <si>
    <t>Agrop El Topete  ju 31/01/19</t>
  </si>
  <si>
    <t>fact 6867, 6868</t>
  </si>
  <si>
    <t>Agrop Las Reses  ju 31/01/19</t>
  </si>
  <si>
    <t>Seaboard  sa 09/02/19  nlse19-110</t>
  </si>
  <si>
    <t>NLSE19-112</t>
  </si>
  <si>
    <t>NLSE19-113</t>
  </si>
  <si>
    <t>NLSE19-114</t>
  </si>
  <si>
    <t>NLSE19-115</t>
  </si>
  <si>
    <t>NLSE19-116</t>
  </si>
  <si>
    <t>NLSE19-117</t>
  </si>
  <si>
    <t>NLSE19-118</t>
  </si>
  <si>
    <t>NLSE19-119</t>
  </si>
  <si>
    <t>fact 1844,1845</t>
  </si>
  <si>
    <t>hoja + 10  ju 31 ene</t>
  </si>
  <si>
    <t>hoja + 10.5 vi 01 feb</t>
  </si>
  <si>
    <t>hoja + 9.5  vi 01 feb</t>
  </si>
  <si>
    <t>hoja + 10 vi 01 feb</t>
  </si>
  <si>
    <t>hoja + 10.5  ma 05 feb</t>
  </si>
  <si>
    <t>fact 1575828</t>
  </si>
  <si>
    <t>Porc Soto  vi 01/02/19</t>
  </si>
  <si>
    <t>Lengua de res</t>
  </si>
  <si>
    <t xml:space="preserve">excel   </t>
  </si>
  <si>
    <t>fact 68237</t>
  </si>
  <si>
    <t>Adams International  ju 31/01/19</t>
  </si>
  <si>
    <t>lengua de res</t>
  </si>
  <si>
    <t>G16022</t>
  </si>
  <si>
    <t>G15837</t>
  </si>
  <si>
    <t>rem 1200</t>
  </si>
  <si>
    <t>transferencia</t>
  </si>
  <si>
    <t>fact HC0956</t>
  </si>
  <si>
    <t>P 35.85 G16401</t>
  </si>
  <si>
    <t>nlp074</t>
  </si>
  <si>
    <t>nlse19-109</t>
  </si>
  <si>
    <t>nl19-10</t>
  </si>
  <si>
    <t>nlp078</t>
  </si>
  <si>
    <t>nlse19-110</t>
  </si>
  <si>
    <t>CIERRE AL 31 DE ENERO DE 2019</t>
  </si>
  <si>
    <t>ANTICIPOS CARGAS DE PIERNA</t>
  </si>
  <si>
    <t>ADEUDO PROVEEDORES NACIONALES VARIOS</t>
  </si>
  <si>
    <t>ADEUDO NU3</t>
  </si>
  <si>
    <t>TOTAL NETO ADEUDO CERDO</t>
  </si>
  <si>
    <t>TOTAL NETO ADEUDO PRODUCTOS VARIOS</t>
  </si>
  <si>
    <t>INVENTARIO ALMACEN GENERAL CAJAS AL CIERRE 31/01/19</t>
  </si>
  <si>
    <t>INVENTARIO OBRADOR</t>
  </si>
  <si>
    <t>INVENTARIO CENTRAL</t>
  </si>
  <si>
    <t>DEUDORES AL 31/01/19</t>
  </si>
  <si>
    <t>Juan Pablo Torres  vi 01/02/19</t>
  </si>
  <si>
    <t>Tyson  mi 13/02/19  Z0972</t>
  </si>
  <si>
    <t>Seaboard  ju 14/02/19 nlse19-112</t>
  </si>
  <si>
    <t>Seaboard  sa 16/02/19  nlse19-113</t>
  </si>
  <si>
    <t>Smithfield  vi 08/02/19  nl19-10</t>
  </si>
  <si>
    <t>Ideal Trading  vi 08/02/19 nlp078</t>
  </si>
  <si>
    <t>Tyson  mi 20/02/19  Z1002</t>
  </si>
  <si>
    <t>Ideal Trading  ma 12/02/19 nlp075</t>
  </si>
  <si>
    <t>Seaboard  mi 20/02/19  nlse19-120</t>
  </si>
  <si>
    <t>Seaboard  ju 21/02/19  nlse19-114</t>
  </si>
  <si>
    <t>Seaboard  sa 23/02/19  nlse19-115</t>
  </si>
  <si>
    <t>Seaboard  mi 27/02/19  nlse19-121</t>
  </si>
  <si>
    <t>Seaboard  ju 28/02/19  nlse19-116</t>
  </si>
  <si>
    <t>Seaboard  sa 02/03/19  nlse19-117</t>
  </si>
  <si>
    <t>Smithfield  ma 12/02/19  nl19-11</t>
  </si>
  <si>
    <t>Smithfield  mi 13/02/19  nl19-19</t>
  </si>
  <si>
    <t>Ideal Trading  vi 15/02/19 nlp079</t>
  </si>
  <si>
    <t>Smithfield  vi 15/02/19  nl19-12</t>
  </si>
  <si>
    <t>Smithfield  ma 19/02/19  nl19-13</t>
  </si>
  <si>
    <t>Ideal Trading  ma 19/02/19  nlp076</t>
  </si>
  <si>
    <t>Smithfield  vi 22/02/19 nl19-14</t>
  </si>
  <si>
    <t>Ideal Trading  vi 22/02/19  nlp080</t>
  </si>
  <si>
    <t>P 36.1  G16553</t>
  </si>
  <si>
    <t>Productos Xeiba  ju 31/01/19</t>
  </si>
  <si>
    <t>fact 455</t>
  </si>
  <si>
    <t>marzo 2019</t>
  </si>
  <si>
    <t>Tyson  mi 06/03/19  Z1003</t>
  </si>
  <si>
    <t>Tyson  mi 06/03/19  Z1004</t>
  </si>
  <si>
    <t>Seaboard  ju 07/03/19  nlse19-118</t>
  </si>
  <si>
    <t>Seaboard  sa 09/03/19  nlse19-119</t>
  </si>
  <si>
    <t>Smithfield  ma 26/02/19  nl19-15</t>
  </si>
  <si>
    <t>Ideal Trading ma 26/02/19 nlp077</t>
  </si>
  <si>
    <t>Ideal Trading  vi 01/03/19 nlp081</t>
  </si>
  <si>
    <t>Ideal Trading ma05/03/19  nlp</t>
  </si>
  <si>
    <t>Z0972</t>
  </si>
  <si>
    <t>Z1002</t>
  </si>
  <si>
    <t>Z1003</t>
  </si>
  <si>
    <t>Z1004</t>
  </si>
  <si>
    <t>intercam $20,000.00</t>
  </si>
  <si>
    <t>hoja + 9.5  ju 07 feb</t>
  </si>
  <si>
    <t>hoja + 10  ju 07 feb</t>
  </si>
  <si>
    <t>hoja + 10.5 vi 08 feb</t>
  </si>
  <si>
    <t>hoja + 9.5  vi 08 feb</t>
  </si>
  <si>
    <t>hoja + 10 lu 11 feb</t>
  </si>
  <si>
    <t>hoja + 10.5  ma 12 feb</t>
  </si>
  <si>
    <t>nl19-11</t>
  </si>
  <si>
    <t>nlp075</t>
  </si>
  <si>
    <t>nl19-19</t>
  </si>
  <si>
    <t>nlse19-112</t>
  </si>
  <si>
    <t>nl19-12</t>
  </si>
  <si>
    <t>nlp079</t>
  </si>
  <si>
    <t>nlse19-113</t>
  </si>
  <si>
    <t>hoja + 9.5  ju 14 feb</t>
  </si>
  <si>
    <t>hoja + 10  ju 14 feb</t>
  </si>
  <si>
    <t>nl19-13</t>
  </si>
  <si>
    <t>nlp076</t>
  </si>
  <si>
    <t>nlse19-120</t>
  </si>
  <si>
    <t>nlse19-114</t>
  </si>
  <si>
    <t>hoja + 10.5 vi 15 feb</t>
  </si>
  <si>
    <t>nl19-14</t>
  </si>
  <si>
    <t>nlp080</t>
  </si>
  <si>
    <t>hoja + 9.5  vi 15 feb</t>
  </si>
  <si>
    <t>hoja + 10 lu 18 feb</t>
  </si>
  <si>
    <t>nlse19-115</t>
  </si>
  <si>
    <t>hoja + 10.5  ma 19 feb</t>
  </si>
  <si>
    <t>088D01821A</t>
  </si>
  <si>
    <t>fact 088D02822A</t>
  </si>
  <si>
    <t>fact 088D01821A</t>
  </si>
  <si>
    <t>fact 6872,6873</t>
  </si>
  <si>
    <t>fact 6580,6581</t>
  </si>
  <si>
    <t>Topete y Gaby</t>
  </si>
  <si>
    <t>fact 6874,6875,6582,6583</t>
  </si>
  <si>
    <t>fact 202296</t>
  </si>
  <si>
    <t>intercam $23,558.66</t>
  </si>
  <si>
    <t>intercam $23,417.77</t>
  </si>
  <si>
    <t>fact 202299</t>
  </si>
  <si>
    <t>G16297</t>
  </si>
  <si>
    <t>G16401</t>
  </si>
  <si>
    <t>G16221</t>
  </si>
  <si>
    <t>G16800</t>
  </si>
  <si>
    <t>G16553</t>
  </si>
  <si>
    <t>G16222</t>
  </si>
  <si>
    <t>P 35.90  G16926</t>
  </si>
  <si>
    <t>P 35.90  G16927</t>
  </si>
  <si>
    <t>Flensa</t>
  </si>
  <si>
    <t>G16927</t>
  </si>
  <si>
    <t>fact 900706606</t>
  </si>
  <si>
    <t>intercam $23,672.13</t>
  </si>
  <si>
    <t>fact 1577367</t>
  </si>
  <si>
    <t>fact 3316,3317</t>
  </si>
  <si>
    <t>P 35.85  G17037</t>
  </si>
  <si>
    <t>G16926</t>
  </si>
  <si>
    <t>fact 701</t>
  </si>
  <si>
    <t>fact 6878,6879,3320,3321</t>
  </si>
  <si>
    <t>fact 202300</t>
  </si>
  <si>
    <t>intercam $23,353.99</t>
  </si>
  <si>
    <t>P 35.90 G17181</t>
  </si>
  <si>
    <t>fact 1859,1860</t>
  </si>
  <si>
    <t>fact 6882, 6883</t>
  </si>
  <si>
    <t xml:space="preserve">120 cajas </t>
  </si>
  <si>
    <t>fact 67505</t>
  </si>
  <si>
    <t>Saga Inc  mi 06/02/19</t>
  </si>
  <si>
    <t>Pata de cerdo</t>
  </si>
  <si>
    <t>IBP</t>
  </si>
  <si>
    <t>16 cajas</t>
  </si>
  <si>
    <t>fact 68313</t>
  </si>
  <si>
    <t>Adams International sa 02/02/19</t>
  </si>
  <si>
    <t>patitas de cerdo</t>
  </si>
  <si>
    <t>fact 1862,1863</t>
  </si>
  <si>
    <t>fact 1578063</t>
  </si>
  <si>
    <t>NL19-13</t>
  </si>
  <si>
    <t>ESTADO DE CUENTA SMITHFIELD</t>
  </si>
  <si>
    <t>NL19-14</t>
  </si>
  <si>
    <t>NL19-15</t>
  </si>
  <si>
    <t>NL19-16</t>
  </si>
  <si>
    <t>NL19-17</t>
  </si>
  <si>
    <t>NL19-18</t>
  </si>
  <si>
    <t>intercam $25,000.00</t>
  </si>
  <si>
    <t>Smithfield  vi 01/03/19  nl19-16</t>
  </si>
  <si>
    <t>Smithfield  mi 27/02/19  nl19-20</t>
  </si>
  <si>
    <t>Smithfield  ma 05/03/19  nl19-17</t>
  </si>
  <si>
    <t>Smithfield  vi /08/03/19  nl19-18</t>
  </si>
  <si>
    <t>P 35.90  G17328</t>
  </si>
  <si>
    <t>Agrop La Gaby  do 03/02/19</t>
  </si>
  <si>
    <t>Agrop El Topete  do 03/02/19</t>
  </si>
  <si>
    <t>fact 6874,6875</t>
  </si>
  <si>
    <t>fact 6582,6583</t>
  </si>
  <si>
    <t>Agrop La Gaby  lu 04/02/19</t>
  </si>
  <si>
    <t>Agrop El Topete  lu 04/02/19</t>
  </si>
  <si>
    <t>P 36.10  G17471</t>
  </si>
  <si>
    <t>hoja + 9.5  ju 21 feb</t>
  </si>
  <si>
    <t>hoja + 10  ju 21 feb</t>
  </si>
  <si>
    <t>nl19-15</t>
  </si>
  <si>
    <t>nlp077</t>
  </si>
  <si>
    <t>nlse19-121</t>
  </si>
  <si>
    <t>nl19-20</t>
  </si>
  <si>
    <t>hoja + 10.5  ju 21 feb</t>
  </si>
  <si>
    <t>hoja + 10.5 vi 22 feb</t>
  </si>
  <si>
    <t>nlse19-116</t>
  </si>
  <si>
    <t>nl19-16</t>
  </si>
  <si>
    <t>nlp081</t>
  </si>
  <si>
    <t>nlse19-117</t>
  </si>
  <si>
    <t>hoja + 10 lu 25 feb</t>
  </si>
  <si>
    <t>hoja + 9.5  vi 22 feb</t>
  </si>
  <si>
    <t>hoja + 10.5  ma 26 feb</t>
  </si>
  <si>
    <t>Porc San Bernardo  ma/02/19</t>
  </si>
  <si>
    <t>fact 6878,679</t>
  </si>
  <si>
    <t>fact 3320,3321</t>
  </si>
  <si>
    <t>Agrop El Topete  mi 06/02/19</t>
  </si>
  <si>
    <t>Porc San Bernardo  mi 06/02/19</t>
  </si>
  <si>
    <t>Porc Soto  ju 07/02/19</t>
  </si>
  <si>
    <t>fact 6882,6883</t>
  </si>
  <si>
    <t>Agrop El Topete  ju 07/20/19</t>
  </si>
  <si>
    <t>Porc Soto  vi 08/02/19</t>
  </si>
  <si>
    <t>fact 1862, 1863</t>
  </si>
  <si>
    <t>Juan Pablo Torres vi 08/02/19</t>
  </si>
  <si>
    <t>fact 202303</t>
  </si>
  <si>
    <t>intercam $20,956.63</t>
  </si>
  <si>
    <t>fact 2116,2117</t>
  </si>
  <si>
    <t>fact 6595, 6596</t>
  </si>
  <si>
    <t>G17181</t>
  </si>
  <si>
    <t>G17328</t>
  </si>
  <si>
    <t>G17037</t>
  </si>
  <si>
    <t>G17162</t>
  </si>
  <si>
    <t>P 35.90 G17718</t>
  </si>
  <si>
    <t>Productos Xeiba lu 04/02/19</t>
  </si>
  <si>
    <t>Productos Xeiba sa 09/02/20</t>
  </si>
  <si>
    <t xml:space="preserve">fact 457 </t>
  </si>
  <si>
    <t>fact 458</t>
  </si>
  <si>
    <t>069D07833A</t>
  </si>
  <si>
    <t>NLSE19-120</t>
  </si>
  <si>
    <t>fact 9000716534</t>
  </si>
  <si>
    <t>intercam $21,612.85</t>
  </si>
  <si>
    <t>fact 9000718426</t>
  </si>
  <si>
    <t>intercam $20,962.41</t>
  </si>
  <si>
    <t>P 35.90   G17848</t>
  </si>
  <si>
    <t>fact 069D07833A</t>
  </si>
  <si>
    <t>G17471</t>
  </si>
  <si>
    <t>G17848</t>
  </si>
  <si>
    <t>rem 1230</t>
  </si>
  <si>
    <t>rem 1243</t>
  </si>
  <si>
    <t>fact 9000721472</t>
  </si>
  <si>
    <t>intercam $22,046.28</t>
  </si>
  <si>
    <t>fact 1580060</t>
  </si>
  <si>
    <t>P35.85  G18009</t>
  </si>
  <si>
    <t>Agrop La Gaby  do 10/02/19</t>
  </si>
  <si>
    <t>Agrop El Dorado  do 10/02/19</t>
  </si>
  <si>
    <t>fact 6595,6596</t>
  </si>
  <si>
    <t>30 cajas</t>
  </si>
  <si>
    <t>fact 68424</t>
  </si>
  <si>
    <t>Topete y Sn Bernardo</t>
  </si>
  <si>
    <t>P 35.90 G18140</t>
  </si>
  <si>
    <t>Juan Pablo  vi 15/02/19</t>
  </si>
  <si>
    <t>G17718</t>
  </si>
  <si>
    <t>Marimex  ju 14/02/19</t>
  </si>
  <si>
    <t>fact PUI7942</t>
  </si>
  <si>
    <t>filete Tilapia 53</t>
  </si>
  <si>
    <t>221 cajas</t>
  </si>
  <si>
    <t>Filete Tilapia</t>
  </si>
  <si>
    <t>3/5 Marimex</t>
  </si>
  <si>
    <t>fact 202306</t>
  </si>
  <si>
    <t>intercam $23,500.00</t>
  </si>
  <si>
    <t>NL19-20</t>
  </si>
  <si>
    <t>P 35.9  G18325</t>
  </si>
  <si>
    <t>fact 1580843</t>
  </si>
  <si>
    <t>fact 702</t>
  </si>
  <si>
    <t>fact 6889,6890</t>
  </si>
  <si>
    <t>fact 2118, 2119</t>
  </si>
  <si>
    <t>fact 1869,1870</t>
  </si>
  <si>
    <t>fact 2121,2122</t>
  </si>
  <si>
    <t>fact 6893,6894</t>
  </si>
  <si>
    <t>Agrop El Dorado  lu 11/02/19</t>
  </si>
  <si>
    <t>Agrop El Topete  ma 12/02/19</t>
  </si>
  <si>
    <t>fact 6889, 6890</t>
  </si>
  <si>
    <t>fact 1869, 1870</t>
  </si>
  <si>
    <t>Porc Soto  ma 12/02/19</t>
  </si>
  <si>
    <t>Agrop El Dorado  mi 13/02/19</t>
  </si>
  <si>
    <t>Agrop El Topete  ju 14/02/19</t>
  </si>
  <si>
    <t>fact 2123,2124</t>
  </si>
  <si>
    <t>Agrop El Dorado  ju  14/02/19</t>
  </si>
  <si>
    <t>fact 2123, 2124</t>
  </si>
  <si>
    <t>intercam $21,932.35-994.18=20,938.17</t>
  </si>
  <si>
    <t>fact 3329,3330,2127,2128</t>
  </si>
  <si>
    <t>San Bernardo y Dorado</t>
  </si>
  <si>
    <t>Juan Pablo  vi 22/02/19</t>
  </si>
  <si>
    <t>Porc San Bernardo  vi 16/02/19</t>
  </si>
  <si>
    <t>fact 3329,3330</t>
  </si>
  <si>
    <t>fact 2127,2128</t>
  </si>
  <si>
    <t>Agrop El Dorado  vi 16/02/19</t>
  </si>
  <si>
    <t>bonificacion de Merma por error en bascula</t>
  </si>
  <si>
    <t>P 35.80  G18451</t>
  </si>
  <si>
    <t>fact 68404</t>
  </si>
  <si>
    <t>Adams International  ju 07/02/19</t>
  </si>
  <si>
    <t>fact 68465</t>
  </si>
  <si>
    <t>Adams International  sa 09/02/19</t>
  </si>
  <si>
    <t>Patitas cerdo</t>
  </si>
  <si>
    <t>Manitas cerdo</t>
  </si>
  <si>
    <t>keken</t>
  </si>
  <si>
    <t>14 cajas</t>
  </si>
  <si>
    <t xml:space="preserve">93 cajas </t>
  </si>
  <si>
    <t>Abastacedora Roel  ju 09/02/19</t>
  </si>
  <si>
    <t>manitas y patitas de cerdo</t>
  </si>
  <si>
    <t>20.5  /  17</t>
  </si>
  <si>
    <t>fact 1106013</t>
  </si>
  <si>
    <t>Ryc Alimentos</t>
  </si>
  <si>
    <t>680 cajas</t>
  </si>
  <si>
    <t>Ryc Alimentos  lu 18/02/19</t>
  </si>
  <si>
    <t>G18192</t>
  </si>
  <si>
    <t>G18140</t>
  </si>
  <si>
    <t>G18009</t>
  </si>
  <si>
    <t>G18234</t>
  </si>
  <si>
    <t>fact 9000730561</t>
  </si>
  <si>
    <t>fact 1881, 1882</t>
  </si>
  <si>
    <t>fact 3334,3335</t>
  </si>
  <si>
    <t>P 35.95  G18697</t>
  </si>
  <si>
    <t>fact 1582151</t>
  </si>
  <si>
    <t>NLSE19-121</t>
  </si>
  <si>
    <t>fact 202308</t>
  </si>
  <si>
    <t>intercam $21,728.41</t>
  </si>
  <si>
    <t>Chemita y Gaby</t>
  </si>
  <si>
    <t>fact 4615,4616,6610,6611</t>
  </si>
  <si>
    <t>G18325</t>
  </si>
  <si>
    <t>P 36  G18826</t>
  </si>
  <si>
    <t>fact HC1069</t>
  </si>
  <si>
    <t>fact 2134</t>
  </si>
  <si>
    <t>fact 1582698</t>
  </si>
  <si>
    <t>fact 088D18822A</t>
  </si>
  <si>
    <t>fact 9000737600</t>
  </si>
  <si>
    <t>088D18822A</t>
  </si>
  <si>
    <t>internet $21,000.00</t>
  </si>
  <si>
    <t>G18826</t>
  </si>
  <si>
    <t>chiclan</t>
  </si>
  <si>
    <t>Productos La Xeiba ma 12/02/19</t>
  </si>
  <si>
    <t>fact 463</t>
  </si>
  <si>
    <t>fact 733</t>
  </si>
  <si>
    <t>fact 1583449</t>
  </si>
  <si>
    <t>fact 202310</t>
  </si>
  <si>
    <t>intercam $21,205.10</t>
  </si>
  <si>
    <t>nc merma ok</t>
  </si>
  <si>
    <t>fact 6896,6897,6617,6618</t>
  </si>
  <si>
    <t>fact 4618,4619</t>
  </si>
  <si>
    <t>fact 3343,3344</t>
  </si>
  <si>
    <t>fact 3347,3348</t>
  </si>
  <si>
    <t>G18697</t>
  </si>
  <si>
    <t>G18451</t>
  </si>
  <si>
    <t>G19123</t>
  </si>
  <si>
    <t>P 35.90 G19264</t>
  </si>
  <si>
    <t>P 35.95 G19269</t>
  </si>
  <si>
    <t>fact 742</t>
  </si>
  <si>
    <t>P 35.80  G19411</t>
  </si>
  <si>
    <t>19 combos</t>
  </si>
  <si>
    <t>fact 202312</t>
  </si>
  <si>
    <t>intercam $21,839.39</t>
  </si>
  <si>
    <t>NL19-21</t>
  </si>
  <si>
    <t>NL19-22</t>
  </si>
  <si>
    <t>NL19-23</t>
  </si>
  <si>
    <t>NL19-24</t>
  </si>
  <si>
    <t>NL19-25</t>
  </si>
  <si>
    <t>NL19-26</t>
  </si>
  <si>
    <t>NL19-27</t>
  </si>
  <si>
    <t>NL19-28</t>
  </si>
  <si>
    <t>Intercam $20,000.00</t>
  </si>
  <si>
    <t>G19269</t>
  </si>
  <si>
    <t>entrada 7312</t>
  </si>
  <si>
    <t>Porc Soto  do 17/02/19</t>
  </si>
  <si>
    <t>fact 1881,1882</t>
  </si>
  <si>
    <t>Porc San Bernardo  do 17/02/19</t>
  </si>
  <si>
    <t>Agrop La Chemita  lu 18/02/19</t>
  </si>
  <si>
    <t>fact 4615,4616</t>
  </si>
  <si>
    <t>fact 6610, 6611</t>
  </si>
  <si>
    <t>Agrop La Gaby  lu 18/02/19</t>
  </si>
  <si>
    <t>Agrop El Dorado  ma 19/02/19</t>
  </si>
  <si>
    <t>fact 2134,2135</t>
  </si>
  <si>
    <t>fact 6896,6897</t>
  </si>
  <si>
    <t>Agrop El Topete  mi 20/02/19</t>
  </si>
  <si>
    <t>Agrop La Gaby  mi 20/02/19</t>
  </si>
  <si>
    <t>fact 6617,6618</t>
  </si>
  <si>
    <t>Agrop La Chemita  ju 21/02/19</t>
  </si>
  <si>
    <t>Porc San Bernardo ju 21/02/19</t>
  </si>
  <si>
    <t>Porc San Bernardo  vi 22/02/19</t>
  </si>
  <si>
    <t xml:space="preserve">excel  </t>
  </si>
  <si>
    <t>107 cajas</t>
  </si>
  <si>
    <t>Roel   ju 21/02/19</t>
  </si>
  <si>
    <t>fact 67674</t>
  </si>
  <si>
    <t>Papa ondulada</t>
  </si>
  <si>
    <t>ecofrost</t>
  </si>
  <si>
    <t>Cuero Belli fco</t>
  </si>
  <si>
    <t>Indiana</t>
  </si>
  <si>
    <t>fact 68728</t>
  </si>
  <si>
    <t>Adams International lu 18/02/19</t>
  </si>
  <si>
    <t>fact 68674</t>
  </si>
  <si>
    <t>Adams International mi 20/02/19</t>
  </si>
  <si>
    <t>4 combos</t>
  </si>
  <si>
    <t>Adams Internacional lu 25/02/19</t>
  </si>
  <si>
    <t>fact 68854</t>
  </si>
  <si>
    <t>Chemita y Soto</t>
  </si>
  <si>
    <t>fact 4621,4622,1891,1892</t>
  </si>
  <si>
    <t>G19411</t>
  </si>
  <si>
    <t>fact HC1121</t>
  </si>
  <si>
    <t>fact 9000748243</t>
  </si>
  <si>
    <t>fact 9000746845</t>
  </si>
  <si>
    <t>fact 1584378</t>
  </si>
  <si>
    <t>P 35.90  G19670</t>
  </si>
  <si>
    <t>Productos Xeiba sa 23/02/19</t>
  </si>
  <si>
    <t>fact 464</t>
  </si>
  <si>
    <t>fact 2153,2154</t>
  </si>
  <si>
    <t>fact 4621, 4622</t>
  </si>
  <si>
    <t>Agrop La Chemita do 24/02/19</t>
  </si>
  <si>
    <t>Porc Soto do 24/02/19</t>
  </si>
  <si>
    <t>fact 1892, 1892</t>
  </si>
  <si>
    <t>Agrop El Dorado lu 25/02/19</t>
  </si>
  <si>
    <t>P 35.80   G19784</t>
  </si>
  <si>
    <t>fact 1585629</t>
  </si>
  <si>
    <t>fact 9000754882</t>
  </si>
  <si>
    <t>fact 3357, 3358</t>
  </si>
  <si>
    <t>Agrop El Dorado ma 26/02/19</t>
  </si>
  <si>
    <t>Porc San Bernardo mi 27/02/19</t>
  </si>
  <si>
    <t>P 35.90  G19898</t>
  </si>
  <si>
    <t>fact 202315</t>
  </si>
  <si>
    <t>intercam $21,926.29</t>
  </si>
  <si>
    <t>fact 4628, 4629</t>
  </si>
  <si>
    <t>Agrop La Chemita ju 28/02/19</t>
  </si>
  <si>
    <t>fact 2158, 2159</t>
  </si>
  <si>
    <t>Agrop El Dorado ju 28/02/19</t>
  </si>
  <si>
    <t>Transferencia BBVA</t>
  </si>
  <si>
    <t>Se le deposito 10000 de mas a estas facturas</t>
  </si>
  <si>
    <t>Se le desconto 10000 depositado de mas en el pago anterior</t>
  </si>
  <si>
    <t>G19898</t>
  </si>
  <si>
    <t>G19784</t>
  </si>
  <si>
    <t>G19264</t>
  </si>
  <si>
    <t>fact 4628, 4629,6641,6642</t>
  </si>
  <si>
    <t xml:space="preserve">Agrop El Topete </t>
  </si>
  <si>
    <t>fact 6913,6914</t>
  </si>
  <si>
    <t>hoja + 9.5  ju 28 feb</t>
  </si>
  <si>
    <t>hoja + 10  ju 28 feb</t>
  </si>
  <si>
    <t>nl19-17</t>
  </si>
  <si>
    <t>nlp082</t>
  </si>
  <si>
    <t>hoja + 10.5 vi 01 mzo</t>
  </si>
  <si>
    <t>nlse19-118</t>
  </si>
  <si>
    <t>nl19-18</t>
  </si>
  <si>
    <t>nlse19-119</t>
  </si>
  <si>
    <t>hoja + 10.5  ma 05 mzo</t>
  </si>
  <si>
    <t>excell</t>
  </si>
  <si>
    <t>P 35.85 G20236</t>
  </si>
  <si>
    <t>P 36.10  G20240</t>
  </si>
  <si>
    <t>NLSE19-122</t>
  </si>
  <si>
    <t>NLSE19-123</t>
  </si>
  <si>
    <t>NLSE19-124</t>
  </si>
  <si>
    <t>NLSE19-125</t>
  </si>
  <si>
    <t>NLSE19-126</t>
  </si>
  <si>
    <t>NLSE19-127</t>
  </si>
  <si>
    <t>NLSE19-128</t>
  </si>
  <si>
    <t>NLSE19-129</t>
  </si>
  <si>
    <t>intercam $27,000.00</t>
  </si>
  <si>
    <t>fact 1586157</t>
  </si>
  <si>
    <t>Juan Pablo  vi 01/03/19</t>
  </si>
  <si>
    <t>fact 2152,5149</t>
  </si>
  <si>
    <t>fact 2152,2149</t>
  </si>
  <si>
    <t>Agrop La Gaby  ju 28/02/19</t>
  </si>
  <si>
    <t>fact 641,6642</t>
  </si>
  <si>
    <t>Deuda hasta el 28 de febrero de 2019</t>
  </si>
  <si>
    <t>Agrop El Topete  vi 01/03/19</t>
  </si>
  <si>
    <t>fact 6913/6914</t>
  </si>
  <si>
    <t>fact 6641,6642</t>
  </si>
  <si>
    <t>P 35.95 G20380</t>
  </si>
  <si>
    <t>G19670</t>
  </si>
  <si>
    <t>G20380</t>
  </si>
  <si>
    <t>rem 31</t>
  </si>
  <si>
    <t>rem 28</t>
  </si>
  <si>
    <t>rem 22</t>
  </si>
  <si>
    <t>rem 25</t>
  </si>
  <si>
    <t>Smithfield ma 12/03/19 nl19-21</t>
  </si>
  <si>
    <t>NL19-29</t>
  </si>
  <si>
    <t>NL19-30</t>
  </si>
  <si>
    <t>Smithfield  vi 15/03/19  nl19-22</t>
  </si>
  <si>
    <t>Tyson  mi 13/03/19  57059</t>
  </si>
  <si>
    <t>Tyson   vi 15/3/19  57060</t>
  </si>
  <si>
    <t>intercam $25,500.00</t>
  </si>
  <si>
    <t>Seaboard  ju 14/03/19  nlse19-122</t>
  </si>
  <si>
    <t>Seaboard  sa 16/03/19  nlse19-123</t>
  </si>
  <si>
    <t>Tyson  mi  20/03/19   57061</t>
  </si>
  <si>
    <t>Tyson  vi 22/03/19   57062</t>
  </si>
  <si>
    <t>Seaboard  ju 21/03/19  nlse19-124</t>
  </si>
  <si>
    <t>Seaboard  sa 23/03/19  nlse19-125</t>
  </si>
  <si>
    <t>Ideal Trading  ma 05/03/19  nlp082</t>
  </si>
  <si>
    <t>fact 202318</t>
  </si>
  <si>
    <t>intercam $23,115.98</t>
  </si>
  <si>
    <t>Adams International  ju 28/02/19</t>
  </si>
  <si>
    <t>fact 3366, 3367</t>
  </si>
  <si>
    <t>festivo</t>
  </si>
  <si>
    <t>Porc San Bernardo  do 03/03/19</t>
  </si>
  <si>
    <t>G20240</t>
  </si>
  <si>
    <t>G20236</t>
  </si>
  <si>
    <t>Esp Carnero</t>
  </si>
  <si>
    <t>Guillermo Muñoz</t>
  </si>
  <si>
    <t>338 cajas</t>
  </si>
  <si>
    <t>fact 559</t>
  </si>
  <si>
    <t>Guillermo Muñoz  ju 28/02/19</t>
  </si>
  <si>
    <t>fact 599</t>
  </si>
  <si>
    <t>fact 68960</t>
  </si>
  <si>
    <t>fact 4645, 4646</t>
  </si>
  <si>
    <t>Agrop La Chemita  lu 04/03/19</t>
  </si>
  <si>
    <t>hoja + 9.5  lu 04 mzo</t>
  </si>
  <si>
    <t>P 35.80 G20739</t>
  </si>
  <si>
    <t>P 36  G20740</t>
  </si>
  <si>
    <t>fact 069D028824A</t>
  </si>
  <si>
    <t>fact 069D028826A</t>
  </si>
  <si>
    <t>069D28826A</t>
  </si>
  <si>
    <t>069D08824A</t>
  </si>
  <si>
    <t>fact 759</t>
  </si>
  <si>
    <t>fact 9000764039</t>
  </si>
  <si>
    <t>fact 1587910</t>
  </si>
  <si>
    <t>Productos la Xeiba vi 01/03/19</t>
  </si>
  <si>
    <t>fact 472</t>
  </si>
  <si>
    <t>Marimex  sa 01/03/19</t>
  </si>
  <si>
    <t>fact PUI8166</t>
  </si>
  <si>
    <t>tilapia / basa/ camaron</t>
  </si>
  <si>
    <t>53/ 49/ 139</t>
  </si>
  <si>
    <t>5 cajas</t>
  </si>
  <si>
    <t>Tilapia</t>
  </si>
  <si>
    <t>Basa</t>
  </si>
  <si>
    <t>Camaron c/cabeza</t>
  </si>
  <si>
    <t>3/5 marimex</t>
  </si>
  <si>
    <t>5/7 baja bay</t>
  </si>
  <si>
    <t>30/40 mkt</t>
  </si>
  <si>
    <t xml:space="preserve">  "    "</t>
  </si>
  <si>
    <t>319 cajas</t>
  </si>
  <si>
    <t>Roel   vi  01/03/19</t>
  </si>
  <si>
    <t>fact 68992</t>
  </si>
  <si>
    <t>fact 69026</t>
  </si>
  <si>
    <t>Adams  International vi 01/03/19</t>
  </si>
  <si>
    <t>Adams  International lu 04/03/19</t>
  </si>
  <si>
    <t>fact 1910, 1911</t>
  </si>
  <si>
    <t>Porc Soto  ma 05/03/19</t>
  </si>
  <si>
    <t>fact 1910,1911</t>
  </si>
  <si>
    <t>P 36.10  G20832</t>
  </si>
  <si>
    <t>G20739</t>
  </si>
  <si>
    <t>G20771</t>
  </si>
  <si>
    <t>rem 52</t>
  </si>
  <si>
    <t>rem 50</t>
  </si>
  <si>
    <t>hoja + 9.5  ju 07 mzo</t>
  </si>
  <si>
    <t>hoja + 10  ju 07 mzo</t>
  </si>
  <si>
    <t>hoja + 10.5 vi 08 mzo</t>
  </si>
  <si>
    <t>hoja + 10 vi 08 mzo</t>
  </si>
  <si>
    <t>nl19-21</t>
  </si>
  <si>
    <t>nlp083</t>
  </si>
  <si>
    <t>nlse19-122</t>
  </si>
  <si>
    <t>nlp086</t>
  </si>
  <si>
    <t>nl19-22</t>
  </si>
  <si>
    <t>hoja + 9.5  vi 08 mzo</t>
  </si>
  <si>
    <t>hoja + 10 lu 11 mzo</t>
  </si>
  <si>
    <t>nlse19-123</t>
  </si>
  <si>
    <t>nl19-23</t>
  </si>
  <si>
    <t>hoja + 10.5  ma 12 mzo</t>
  </si>
  <si>
    <t>hoja + 9.5  lu 11 mzo</t>
  </si>
  <si>
    <t>fact 9000770375</t>
  </si>
  <si>
    <t>fact 2174,2175</t>
  </si>
  <si>
    <t>P 36 G20960</t>
  </si>
  <si>
    <t>fact HC1191</t>
  </si>
  <si>
    <t>Productos La Xeiba  mi 06/03/19</t>
  </si>
  <si>
    <t>fact 474</t>
  </si>
  <si>
    <t>Juan Pablo   vi 08/03/19</t>
  </si>
  <si>
    <t xml:space="preserve">Gan Rancho Sn Felipe </t>
  </si>
  <si>
    <t>fact 844,845</t>
  </si>
  <si>
    <t>fact 3373,3374</t>
  </si>
  <si>
    <t>prom 30.66</t>
  </si>
  <si>
    <t>G20740</t>
  </si>
  <si>
    <t>G20832</t>
  </si>
  <si>
    <t>Smithfield  sa 16/03/19  nl19-23</t>
  </si>
  <si>
    <t>prom 33.5</t>
  </si>
  <si>
    <t>prom 35.80</t>
  </si>
  <si>
    <t>P 35.85  G21112</t>
  </si>
  <si>
    <t>P 36.10  G21227</t>
  </si>
  <si>
    <t>hoja + 10  ju 14 mzo</t>
  </si>
  <si>
    <t>nlp084</t>
  </si>
  <si>
    <t>nlp087</t>
  </si>
  <si>
    <t>hoja + 10.5 vi 15 mzo</t>
  </si>
  <si>
    <t>hoja + 9.5  vi 15 mzo</t>
  </si>
  <si>
    <t>hoja + 10 lu 18 mzo</t>
  </si>
  <si>
    <t>hoja + 10.5  ma 19 mzo</t>
  </si>
  <si>
    <t>nlse19-124</t>
  </si>
  <si>
    <t>nl19-24</t>
  </si>
  <si>
    <t>nlse19-125</t>
  </si>
  <si>
    <t>Abril 2019</t>
  </si>
  <si>
    <t>Marzo 2019</t>
  </si>
  <si>
    <t>hoja + 10 mi 20 mzo</t>
  </si>
  <si>
    <t>hoja + 9.5  ju 21 mzo</t>
  </si>
  <si>
    <t>hoja + 10  ju 21 mzo</t>
  </si>
  <si>
    <t>hoja + 10.5 vi 22 mzo</t>
  </si>
  <si>
    <t>hoja + 9.5  vi 22 mzo</t>
  </si>
  <si>
    <t>hoja + 10.5  ma 26 mzo</t>
  </si>
  <si>
    <t>nl19-25</t>
  </si>
  <si>
    <t>nlp085</t>
  </si>
  <si>
    <t>nlse19-126</t>
  </si>
  <si>
    <t>nl19-26</t>
  </si>
  <si>
    <t>nlse127</t>
  </si>
  <si>
    <t>fact 4653, 4654</t>
  </si>
  <si>
    <t>intercam $29,000.00</t>
  </si>
  <si>
    <t>ideal Trading  ma 12/03/19  nlp083</t>
  </si>
  <si>
    <t>fact 202325</t>
  </si>
  <si>
    <t>intercam $24,872.78</t>
  </si>
  <si>
    <t>fact 9000778986</t>
  </si>
  <si>
    <t>fact 1589024</t>
  </si>
  <si>
    <t>NC por $337.59 orden NLP081 aplicada a esta factura</t>
  </si>
  <si>
    <t>Marimex  sa 09/03/19</t>
  </si>
  <si>
    <t>fact PUI8277</t>
  </si>
  <si>
    <t>basa 5/7  $49.0</t>
  </si>
  <si>
    <t>San Bernardo y Soto</t>
  </si>
  <si>
    <t>fact 3383,3384,1917,1918</t>
  </si>
  <si>
    <t>069E07823A</t>
  </si>
  <si>
    <t>fact 069E0783A</t>
  </si>
  <si>
    <t>Agrop El dorado  mi 06/03/19</t>
  </si>
  <si>
    <t>Gan Rancho San Felipe  ju 07/03/19</t>
  </si>
  <si>
    <t>fact 844, 845</t>
  </si>
  <si>
    <t>Porc San Bernardo  ju 07/03/19</t>
  </si>
  <si>
    <t>G21112</t>
  </si>
  <si>
    <t>G20960</t>
  </si>
  <si>
    <t>G21212</t>
  </si>
  <si>
    <t>Agrop la Chemita  vi 08/03/19</t>
  </si>
  <si>
    <t>fact 4653 y 4654</t>
  </si>
  <si>
    <t>P 35.45  G21450</t>
  </si>
  <si>
    <t>Productos La Xeiba sa 09/03/19</t>
  </si>
  <si>
    <t>fact 475</t>
  </si>
  <si>
    <t>intercam $30,000.00</t>
  </si>
  <si>
    <t>fact 773</t>
  </si>
  <si>
    <t>fact 3385, 3386</t>
  </si>
  <si>
    <t>Porc San Bernardo  do 10/03/19</t>
  </si>
  <si>
    <t>fact 3383,3384</t>
  </si>
  <si>
    <t>fact 1917,1918</t>
  </si>
  <si>
    <t>Porc Soto  do 10/03/19</t>
  </si>
  <si>
    <t>Porc San Bernardo  lu 11/03/19</t>
  </si>
  <si>
    <t>P 35.40  G21571</t>
  </si>
  <si>
    <t>G21450</t>
  </si>
  <si>
    <t>rem 56</t>
  </si>
  <si>
    <t>rem 67</t>
  </si>
  <si>
    <t>rem 66</t>
  </si>
  <si>
    <t>rem 71</t>
  </si>
  <si>
    <t>fact 7136,7137</t>
  </si>
  <si>
    <t>fact 9000786960</t>
  </si>
  <si>
    <t>intercam $27,025.33-844.70</t>
  </si>
  <si>
    <t>18 combos</t>
  </si>
  <si>
    <t>fact 1590837</t>
  </si>
  <si>
    <t>G21571</t>
  </si>
  <si>
    <t>G21227</t>
  </si>
  <si>
    <t>fact 476</t>
  </si>
  <si>
    <t>fact 477</t>
  </si>
  <si>
    <t>Productos Xeiba  ju 07/03/19</t>
  </si>
  <si>
    <t>Productos Xeiba ma 12/03/19</t>
  </si>
  <si>
    <t>fact 7139,7140</t>
  </si>
  <si>
    <t>intercam $28,000.00+ $3,000</t>
  </si>
  <si>
    <t>069E11825A</t>
  </si>
  <si>
    <t>cotejado Tyson OK 14/03/19</t>
  </si>
  <si>
    <t>Juan Pablo  vi 15/03/19</t>
  </si>
  <si>
    <t>P 35.40  G21817</t>
  </si>
  <si>
    <t>P 35.40  G21818</t>
  </si>
  <si>
    <t>G21817</t>
  </si>
  <si>
    <t>G21645</t>
  </si>
  <si>
    <t>rem 72</t>
  </si>
  <si>
    <t>fact 852,853</t>
  </si>
  <si>
    <t>Gan Rancho San Felipe</t>
  </si>
  <si>
    <t>fact 3396,3397</t>
  </si>
  <si>
    <t>P 35.50 G21956</t>
  </si>
  <si>
    <t>Productos Xeiba ju 14/03/19</t>
  </si>
  <si>
    <t>fact 478</t>
  </si>
  <si>
    <t xml:space="preserve">inicia pago con credito valor factura  </t>
  </si>
  <si>
    <t>fact 9000784546</t>
  </si>
  <si>
    <t>fact 069E11825A</t>
  </si>
  <si>
    <t>fact 1591402</t>
  </si>
  <si>
    <t>fact 202327</t>
  </si>
  <si>
    <t>intercam $24,528.85</t>
  </si>
  <si>
    <t>intercam $35,500.00</t>
  </si>
  <si>
    <t>fact 3400, 3401</t>
  </si>
  <si>
    <t>P 35.50 G22069</t>
  </si>
  <si>
    <t>Ideal Trading  ju 14/03/19 nlp86</t>
  </si>
  <si>
    <t>Tyson  mi 27/03/19  57064</t>
  </si>
  <si>
    <t>Seaboard ju 28/03/19  nlse19-126</t>
  </si>
  <si>
    <t>intercam $35,000.00</t>
  </si>
  <si>
    <t>intercam $33,000.00</t>
  </si>
  <si>
    <t>069E14828A</t>
  </si>
  <si>
    <t>Seaboard  mi 27/03/19 nlco19-01 sesos</t>
  </si>
  <si>
    <t>NLCO19-01</t>
  </si>
  <si>
    <t>Tyson  ma 26/03/19  57063</t>
  </si>
  <si>
    <t>38-39</t>
  </si>
  <si>
    <t>Ideal Trading  ma 19/03/19  nlp084</t>
  </si>
  <si>
    <t>fact 202330</t>
  </si>
  <si>
    <t>intercam $29,488.73</t>
  </si>
  <si>
    <t>G22069</t>
  </si>
  <si>
    <t>fact 857,858</t>
  </si>
  <si>
    <t>fact 3405, 3406</t>
  </si>
  <si>
    <t>fact 859, 860</t>
  </si>
  <si>
    <t>P 35.40 G22442</t>
  </si>
  <si>
    <t>P 35.40  G22443</t>
  </si>
  <si>
    <t>fact 1593440</t>
  </si>
  <si>
    <t>Ideal Trading  ma 19/03/19  nlp087</t>
  </si>
  <si>
    <t>fact 202331</t>
  </si>
  <si>
    <t>intercam $29,363.72</t>
  </si>
  <si>
    <t>fact 776</t>
  </si>
  <si>
    <t>fact 861, 862</t>
  </si>
  <si>
    <t>fact 863, 864</t>
  </si>
  <si>
    <t>P 35.40  G22570</t>
  </si>
  <si>
    <t>nlp093</t>
  </si>
  <si>
    <t>hoja + 10 vi 22 mzo</t>
  </si>
  <si>
    <t>Sesos copa</t>
  </si>
  <si>
    <t>Corbata vacio</t>
  </si>
  <si>
    <t>Buche</t>
  </si>
  <si>
    <t>Nana</t>
  </si>
  <si>
    <t>Lengua</t>
  </si>
  <si>
    <t>nlco19-01</t>
  </si>
  <si>
    <t>abril 2019</t>
  </si>
  <si>
    <t>Agrop Las Reses  ma 12/03/19</t>
  </si>
  <si>
    <t>Agrop Las Reses  mi 13/03/19</t>
  </si>
  <si>
    <t>Gan Rancho San Felipe ju 14/03/19</t>
  </si>
  <si>
    <t>fact 852, 853</t>
  </si>
  <si>
    <t>fact 3396, 3394</t>
  </si>
  <si>
    <t>Porc San Bernardo  ju 14/03/19</t>
  </si>
  <si>
    <t>Porc San Bernardo  vi 15/03/19</t>
  </si>
  <si>
    <t>088E18822A</t>
  </si>
  <si>
    <t>fact 069E14828A</t>
  </si>
  <si>
    <t>P 35.40 G22695</t>
  </si>
  <si>
    <t>fact PUI8406</t>
  </si>
  <si>
    <t>442 cajas</t>
  </si>
  <si>
    <t>20 cajas</t>
  </si>
  <si>
    <t>15 cajas</t>
  </si>
  <si>
    <t>Atun porción</t>
  </si>
  <si>
    <t>8/10 Baja Bay</t>
  </si>
  <si>
    <t>5/7  Baja Bay</t>
  </si>
  <si>
    <t>30/40</t>
  </si>
  <si>
    <t>Marimex  mi 20/03/19</t>
  </si>
  <si>
    <t>tilapia / basa/ camaron/atun</t>
  </si>
  <si>
    <t>52/49/ 139/180</t>
  </si>
  <si>
    <t>Gan Rancho San Felipe do 17/03/19</t>
  </si>
  <si>
    <t>fact 857, 858</t>
  </si>
  <si>
    <t>Porc San Bernardo  do 17/03/19</t>
  </si>
  <si>
    <t>Gan Rancho San Felipe lu 18/03/19</t>
  </si>
  <si>
    <t>Gan Rancho San Felipe ma 19/03/19</t>
  </si>
  <si>
    <t>Gan Rancho San Felipe mi 20/03/19</t>
  </si>
  <si>
    <t>Juan Pablo  vi 22/03/19</t>
  </si>
  <si>
    <t>305 cajas</t>
  </si>
  <si>
    <t>fact HC1253</t>
  </si>
  <si>
    <t>Roel   vi 15/03/19</t>
  </si>
  <si>
    <t>contra Swift</t>
  </si>
  <si>
    <t>fact 69095</t>
  </si>
  <si>
    <t>Adams   ju 07/03/19</t>
  </si>
  <si>
    <t>fact 69208</t>
  </si>
  <si>
    <t>Adams  ma  12/03/19</t>
  </si>
  <si>
    <t>fact 69326</t>
  </si>
  <si>
    <t>Adams  sa 16/03/19</t>
  </si>
  <si>
    <t>G22448</t>
  </si>
  <si>
    <t>G21818</t>
  </si>
  <si>
    <t>G21956</t>
  </si>
  <si>
    <t>G22442</t>
  </si>
  <si>
    <t>Smithfield  sa 23/03/19  nl19-24</t>
  </si>
  <si>
    <t>fact 9000802385</t>
  </si>
  <si>
    <t>intercam $29,954.49</t>
  </si>
  <si>
    <t>fact 1594407</t>
  </si>
  <si>
    <t>fact 867,868</t>
  </si>
  <si>
    <t>fact 4665, 4666</t>
  </si>
  <si>
    <t>P 35.55  G22824</t>
  </si>
  <si>
    <t>Prom 40.85 de 3</t>
  </si>
  <si>
    <t>G22695</t>
  </si>
  <si>
    <t>rem 102</t>
  </si>
  <si>
    <t>rem 101</t>
  </si>
  <si>
    <t>rem 80</t>
  </si>
  <si>
    <t>rem 87</t>
  </si>
  <si>
    <t>G22824</t>
  </si>
  <si>
    <t>fact 871,872</t>
  </si>
  <si>
    <t>069E20825A</t>
  </si>
  <si>
    <t>Seaboard sa 30/03/19  nlse19-127</t>
  </si>
  <si>
    <t>Tyson ma 02/04/19  57065</t>
  </si>
  <si>
    <t>intercam $37,000.00</t>
  </si>
  <si>
    <t>Tyson vi  05/04/19  57066</t>
  </si>
  <si>
    <t>Smithfield  ma 26/03/19 nl19-25</t>
  </si>
  <si>
    <t>fact 9000810701</t>
  </si>
  <si>
    <t>intercam $35,048.60</t>
  </si>
  <si>
    <t>Smithfield  mi 27/03/19  nl19-26</t>
  </si>
  <si>
    <t>fact 9000811385</t>
  </si>
  <si>
    <t>intercam $33,589.24</t>
  </si>
  <si>
    <t>Seaboard sa 06/04/19  nls19-129</t>
  </si>
  <si>
    <t>Ideal Trading ma 26/03/19 nlp085</t>
  </si>
  <si>
    <t>Ideal Trading  ju 28/03/19  nlp093</t>
  </si>
  <si>
    <t>P 35  G22976</t>
  </si>
  <si>
    <t>Gan Rancho San Felipe  ju 21/03/19</t>
  </si>
  <si>
    <t>fact 4665,4666</t>
  </si>
  <si>
    <t xml:space="preserve">Agrop La Chemita  ju 21/03/19 </t>
  </si>
  <si>
    <t>Gan Rancho San Felipe vi 22/03/19</t>
  </si>
  <si>
    <t>G22443</t>
  </si>
  <si>
    <t>G22570</t>
  </si>
  <si>
    <t>fact 202337</t>
  </si>
  <si>
    <t>intercam $34,506.43</t>
  </si>
  <si>
    <t>fact 877, 878</t>
  </si>
  <si>
    <t>fact 4678, 4679</t>
  </si>
  <si>
    <t>G22976</t>
  </si>
  <si>
    <t>fact 069E20825A</t>
  </si>
  <si>
    <t>Empacadora Bonnacarne 20/3/17</t>
  </si>
  <si>
    <t>fact 71229</t>
  </si>
  <si>
    <t>embutidos varios</t>
  </si>
  <si>
    <t>Productos La Xeiba  vi 22/03/19</t>
  </si>
  <si>
    <t>fact 480</t>
  </si>
  <si>
    <t>Productos La Xeiba  sa 23/03/19</t>
  </si>
  <si>
    <t>fact 483</t>
  </si>
  <si>
    <t>Porc Paso Blanco</t>
  </si>
  <si>
    <t>fact 3580, 3581</t>
  </si>
  <si>
    <t>P 35 G23209</t>
  </si>
  <si>
    <t>fact 088E23824A</t>
  </si>
  <si>
    <t>088E23824A</t>
  </si>
  <si>
    <t>P 34.90  G23329</t>
  </si>
  <si>
    <t>fact 798</t>
  </si>
  <si>
    <t>fact 1596389</t>
  </si>
  <si>
    <t>Prom 43.13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</si>
  <si>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</si>
  <si>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</si>
  <si>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</si>
  <si>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</si>
  <si>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</si>
  <si>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</si>
  <si>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</si>
  <si>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</si>
  <si>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</si>
  <si>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</si>
  <si>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Obregon</t>
  </si>
  <si>
    <t>hoja + 9.5  ju 28 mzo</t>
  </si>
  <si>
    <t>hoja + 10  ju 28 mzo</t>
  </si>
  <si>
    <t>hoja + 10 mi 27 mzo</t>
  </si>
  <si>
    <t>hoja + 10.5 vi 29 mzo</t>
  </si>
  <si>
    <t>hoja + 9.5  vi 29 mzo</t>
  </si>
  <si>
    <t>hoja + 10  lu 01 abr</t>
  </si>
  <si>
    <t>hoja + 10.5  ma 02 abr</t>
  </si>
  <si>
    <t>nl19-27</t>
  </si>
  <si>
    <t>nlp088</t>
  </si>
  <si>
    <t>nlse19-128</t>
  </si>
  <si>
    <t>nl19-28</t>
  </si>
  <si>
    <t>nlse19-129</t>
  </si>
  <si>
    <t>hoja + 9.5  ju 04 abr</t>
  </si>
  <si>
    <t>hoja + 10  ju 04 abr</t>
  </si>
  <si>
    <t>hoja + 10.5 vi 05 abr</t>
  </si>
  <si>
    <t>hoja + 9.5  vi 05 abr</t>
  </si>
  <si>
    <t>hoja + 10 lu 08 abr</t>
  </si>
  <si>
    <t>hoja + 10.5  ma 09 abr</t>
  </si>
  <si>
    <t>nl19-29</t>
  </si>
  <si>
    <t>nlp089</t>
  </si>
  <si>
    <t>B2857</t>
  </si>
  <si>
    <t>nlse19-130</t>
  </si>
  <si>
    <t>nl19-30</t>
  </si>
  <si>
    <t>B2859</t>
  </si>
  <si>
    <t>nlse19-131</t>
  </si>
  <si>
    <t>hoja + 9.5  ju 11 abr</t>
  </si>
  <si>
    <t>hoja + 10  ju 11 abr</t>
  </si>
  <si>
    <t>hoja + 10 mi 10 abr</t>
  </si>
  <si>
    <t>hoja + 9.5  vi 12 abr</t>
  </si>
  <si>
    <t>hoja + 10.5 vi 12 abr</t>
  </si>
  <si>
    <t>hoja + 10.5  lu 15 abr</t>
  </si>
  <si>
    <t>nl19-31</t>
  </si>
  <si>
    <t>nlp090</t>
  </si>
  <si>
    <t>B2861</t>
  </si>
  <si>
    <t>nl19-32</t>
  </si>
  <si>
    <t>B2862</t>
  </si>
  <si>
    <t>B2863</t>
  </si>
  <si>
    <t>nlse19-132</t>
  </si>
  <si>
    <t>nlse19-133</t>
  </si>
  <si>
    <t>hoja + 9.5  ju 18 abr</t>
  </si>
  <si>
    <t>hoja + 10  ju 18 abr</t>
  </si>
  <si>
    <t>hoja + 10.5 vi 19 abr</t>
  </si>
  <si>
    <t>hoja + 9.5  vi 19 abr</t>
  </si>
  <si>
    <t>hoja + 10 lu 22 abr</t>
  </si>
  <si>
    <t>hoja + 10.5  ma 23 abr</t>
  </si>
  <si>
    <t>nl19-33</t>
  </si>
  <si>
    <t>nlp091</t>
  </si>
  <si>
    <t>B2864</t>
  </si>
  <si>
    <t>nlse19-134</t>
  </si>
  <si>
    <t>nl19-34</t>
  </si>
  <si>
    <t>B2865</t>
  </si>
  <si>
    <t>nlse19-135</t>
  </si>
  <si>
    <t>hoja + 10  ju 25 abr</t>
  </si>
  <si>
    <t>hoja + 9.5  ju 25 abr</t>
  </si>
  <si>
    <t>hoja + 10.5 vi 26 abr</t>
  </si>
  <si>
    <t>hoja + 9.5  vi 26 abr</t>
  </si>
  <si>
    <t>hoja + 10 lu 29 abr</t>
  </si>
  <si>
    <t>hoja + 10.5  ma 30 abr</t>
  </si>
  <si>
    <t>nl19-35</t>
  </si>
  <si>
    <t>nlp092</t>
  </si>
  <si>
    <t>B2866</t>
  </si>
  <si>
    <t>B2867</t>
  </si>
  <si>
    <t>nlse19-136</t>
  </si>
  <si>
    <t>nl19-36</t>
  </si>
  <si>
    <t>B2868</t>
  </si>
  <si>
    <t>nlse19-137</t>
  </si>
  <si>
    <t>fact 3583, 3584</t>
  </si>
  <si>
    <t>G23329</t>
  </si>
  <si>
    <t>intercam $36,000.00</t>
  </si>
  <si>
    <t>G23455</t>
  </si>
  <si>
    <t>P 35 G23455</t>
  </si>
  <si>
    <t>fact 4680, 4681</t>
  </si>
  <si>
    <t>P 35 G23574</t>
  </si>
  <si>
    <t>G23209</t>
  </si>
  <si>
    <t>rem 105</t>
  </si>
  <si>
    <t>rem 111</t>
  </si>
  <si>
    <t>G23574</t>
  </si>
  <si>
    <t>rem 109</t>
  </si>
  <si>
    <t>rem 98</t>
  </si>
  <si>
    <t>rem 114</t>
  </si>
  <si>
    <t>fact 1597081</t>
  </si>
  <si>
    <t>1803 cajas</t>
  </si>
  <si>
    <t>289 cajas</t>
  </si>
  <si>
    <t>72 cajas</t>
  </si>
  <si>
    <t>37 cajas</t>
  </si>
  <si>
    <t>34 cajas</t>
  </si>
  <si>
    <t>fact 202338</t>
  </si>
  <si>
    <t>intercam $35,578.32</t>
  </si>
  <si>
    <t>intercam $34,000.00</t>
  </si>
  <si>
    <t>carga cancelada por retrazo</t>
  </si>
  <si>
    <t>se transfiere pago a la 128</t>
  </si>
  <si>
    <t>Seaboard vi 05/04/19  nlse19-128</t>
  </si>
  <si>
    <t>Productos Xeiba  mi 27/03/19</t>
  </si>
  <si>
    <t>fact 484</t>
  </si>
  <si>
    <t>fact 3592,3593</t>
  </si>
  <si>
    <t>fact 4685, 4686</t>
  </si>
  <si>
    <t>fact 3595, 3596</t>
  </si>
  <si>
    <t>P 35  G23837</t>
  </si>
  <si>
    <t>P 34.90  G23838</t>
  </si>
  <si>
    <t>340 cajas</t>
  </si>
  <si>
    <t>Esp de carnero</t>
  </si>
  <si>
    <t>fact 601</t>
  </si>
  <si>
    <t>Guillermo Muñoz  ma 26/03/19</t>
  </si>
  <si>
    <t>Gan Rancho San Felipe do 24/03/19</t>
  </si>
  <si>
    <t>Agrop La Chemita  do 24/03/19</t>
  </si>
  <si>
    <t>fact 2580, 2581</t>
  </si>
  <si>
    <t>Porc Paso Blanco ma 26/03/19</t>
  </si>
  <si>
    <t>fact 2583, 2584</t>
  </si>
  <si>
    <t>Agrop La Chemita  mi 27/03/19</t>
  </si>
  <si>
    <t>Juan Pablo  vi 29/03/19</t>
  </si>
  <si>
    <t>fact</t>
  </si>
  <si>
    <t>Porc Paso Blanco  ju 28/03/19</t>
  </si>
  <si>
    <t>fact 3592, 3593</t>
  </si>
  <si>
    <t>Agrop La Chemita  ju 28/03/19</t>
  </si>
  <si>
    <t>Porc Paso Blanco  vi 29/03/19</t>
  </si>
  <si>
    <t>Porc Paso Blanco  lu 25/03/19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</si>
</sst>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  <numFmt numFmtId="167" formatCode="_-&quot;$&quot;* #,##0.000_-;\-&quot;$&quot;* #,##0.000_-;_-&quot;$&quot;* &quot;-&quot;??_-;_-@_-"/>
    <numFmt numFmtId="168" formatCode="_-&quot;$&quot;* #,##0.0000_-;\-&quot;$&quot;* #,##0.00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8CF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A47C99"/>
        <bgColor indexed="64"/>
      </patternFill>
    </fill>
    <fill>
      <patternFill patternType="solid">
        <fgColor rgb="FF4D7A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640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9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44" fontId="0" fillId="0" borderId="0" xfId="1" applyFont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3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4" fontId="2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44" fontId="0" fillId="0" borderId="1" xfId="1" applyFont="1" applyBorder="1"/>
    <xf numFmtId="0" fontId="0" fillId="0" borderId="3" xfId="0" applyBorder="1"/>
    <xf numFmtId="0" fontId="4" fillId="0" borderId="3" xfId="0" applyFont="1" applyBorder="1"/>
    <xf numFmtId="4" fontId="4" fillId="0" borderId="3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9" fontId="4" fillId="0" borderId="3" xfId="0" applyNumberFormat="1" applyFont="1" applyBorder="1"/>
    <xf numFmtId="15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4" fontId="4" fillId="0" borderId="3" xfId="0" applyNumberFormat="1" applyFont="1" applyBorder="1"/>
    <xf numFmtId="44" fontId="0" fillId="0" borderId="3" xfId="1" applyFont="1" applyBorder="1"/>
    <xf numFmtId="14" fontId="0" fillId="0" borderId="5" xfId="0" applyNumberFormat="1" applyBorder="1"/>
    <xf numFmtId="0" fontId="3" fillId="2" borderId="6" xfId="0" applyFont="1" applyFill="1" applyBorder="1" applyAlignment="1">
      <alignment textRotation="255"/>
    </xf>
    <xf numFmtId="0" fontId="0" fillId="0" borderId="7" xfId="0" applyBorder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  <xf numFmtId="15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4" fontId="0" fillId="0" borderId="8" xfId="0" applyNumberFormat="1" applyBorder="1"/>
    <xf numFmtId="0" fontId="0" fillId="0" borderId="0" xfId="1" applyNumberFormat="1" applyFont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5" fontId="4" fillId="2" borderId="0" xfId="0" applyNumberFormat="1" applyFont="1" applyFill="1"/>
    <xf numFmtId="0" fontId="3" fillId="2" borderId="9" xfId="0" applyFont="1" applyFill="1" applyBorder="1" applyAlignment="1">
      <alignment textRotation="255"/>
    </xf>
    <xf numFmtId="0" fontId="0" fillId="0" borderId="10" xfId="0" applyBorder="1"/>
    <xf numFmtId="4" fontId="0" fillId="0" borderId="1" xfId="0" applyNumberFormat="1" applyBorder="1"/>
    <xf numFmtId="14" fontId="0" fillId="0" borderId="11" xfId="0" applyNumberFormat="1" applyBorder="1"/>
    <xf numFmtId="0" fontId="3" fillId="3" borderId="2" xfId="0" applyFont="1" applyFill="1" applyBorder="1" applyAlignment="1">
      <alignment textRotation="255"/>
    </xf>
    <xf numFmtId="0" fontId="3" fillId="3" borderId="6" xfId="0" applyFont="1" applyFill="1" applyBorder="1" applyAlignment="1">
      <alignment textRotation="255"/>
    </xf>
    <xf numFmtId="0" fontId="0" fillId="4" borderId="0" xfId="0" applyFill="1"/>
    <xf numFmtId="0" fontId="3" fillId="3" borderId="9" xfId="0" applyFont="1" applyFill="1" applyBorder="1" applyAlignment="1">
      <alignment textRotation="255"/>
    </xf>
    <xf numFmtId="0" fontId="0" fillId="5" borderId="0" xfId="0" applyFill="1"/>
    <xf numFmtId="0" fontId="9" fillId="0" borderId="0" xfId="0" applyFont="1"/>
    <xf numFmtId="44" fontId="0" fillId="2" borderId="0" xfId="1" applyFont="1" applyFill="1"/>
    <xf numFmtId="44" fontId="0" fillId="6" borderId="0" xfId="1" applyFont="1" applyFill="1"/>
    <xf numFmtId="0" fontId="0" fillId="6" borderId="0" xfId="0" applyFill="1"/>
    <xf numFmtId="14" fontId="0" fillId="6" borderId="0" xfId="0" applyNumberFormat="1" applyFill="1"/>
    <xf numFmtId="44" fontId="0" fillId="3" borderId="0" xfId="1" applyFont="1" applyFill="1"/>
    <xf numFmtId="0" fontId="0" fillId="3" borderId="0" xfId="0" applyFill="1"/>
    <xf numFmtId="167" fontId="0" fillId="3" borderId="0" xfId="1" applyNumberFormat="1" applyFont="1" applyFill="1"/>
    <xf numFmtId="14" fontId="0" fillId="3" borderId="0" xfId="0" applyNumberFormat="1" applyFill="1"/>
    <xf numFmtId="167" fontId="0" fillId="6" borderId="0" xfId="1" applyNumberFormat="1" applyFont="1" applyFill="1"/>
    <xf numFmtId="167" fontId="0" fillId="0" borderId="0" xfId="0" applyNumberFormat="1"/>
    <xf numFmtId="14" fontId="0" fillId="6" borderId="0" xfId="1" applyNumberFormat="1" applyFont="1" applyFill="1"/>
    <xf numFmtId="0" fontId="0" fillId="0" borderId="0" xfId="0" quotePrefix="1"/>
    <xf numFmtId="44" fontId="0" fillId="0" borderId="0" xfId="0" applyNumberFormat="1"/>
    <xf numFmtId="44" fontId="0" fillId="7" borderId="0" xfId="1" applyFont="1" applyFill="1"/>
    <xf numFmtId="0" fontId="0" fillId="7" borderId="0" xfId="0" applyFill="1"/>
    <xf numFmtId="167" fontId="0" fillId="2" borderId="0" xfId="1" applyNumberFormat="1" applyFont="1" applyFill="1"/>
    <xf numFmtId="0" fontId="9" fillId="8" borderId="0" xfId="0" applyFont="1" applyFill="1"/>
    <xf numFmtId="167" fontId="0" fillId="0" borderId="0" xfId="1" applyNumberFormat="1" applyFont="1"/>
    <xf numFmtId="165" fontId="4" fillId="0" borderId="0" xfId="0" applyNumberFormat="1" applyFont="1"/>
    <xf numFmtId="164" fontId="0" fillId="9" borderId="0" xfId="0" applyNumberFormat="1" applyFill="1"/>
    <xf numFmtId="8" fontId="0" fillId="0" borderId="0" xfId="1" applyNumberFormat="1" applyFont="1"/>
    <xf numFmtId="44" fontId="10" fillId="0" borderId="0" xfId="1" applyFont="1"/>
    <xf numFmtId="14" fontId="0" fillId="0" borderId="0" xfId="0" applyNumberFormat="1"/>
    <xf numFmtId="14" fontId="0" fillId="0" borderId="0" xfId="1" applyNumberFormat="1" applyFont="1"/>
    <xf numFmtId="0" fontId="0" fillId="10" borderId="0" xfId="0" applyFill="1"/>
    <xf numFmtId="44" fontId="0" fillId="11" borderId="0" xfId="1" applyFont="1" applyFill="1"/>
    <xf numFmtId="14" fontId="0" fillId="5" borderId="0" xfId="1" applyNumberFormat="1" applyFont="1" applyFill="1"/>
    <xf numFmtId="14" fontId="0" fillId="5" borderId="0" xfId="0" applyNumberFormat="1" applyFill="1"/>
    <xf numFmtId="11" fontId="0" fillId="0" borderId="0" xfId="0" applyNumberFormat="1"/>
    <xf numFmtId="44" fontId="0" fillId="5" borderId="0" xfId="1" applyFont="1" applyFill="1"/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wrapText="1"/>
    </xf>
    <xf numFmtId="44" fontId="0" fillId="4" borderId="0" xfId="1" applyFont="1" applyFill="1"/>
    <xf numFmtId="44" fontId="0" fillId="12" borderId="0" xfId="1" applyFont="1" applyFill="1"/>
    <xf numFmtId="17" fontId="0" fillId="0" borderId="0" xfId="0" applyNumberFormat="1"/>
    <xf numFmtId="44" fontId="0" fillId="13" borderId="0" xfId="1" applyFont="1" applyFill="1"/>
    <xf numFmtId="0" fontId="0" fillId="14" borderId="0" xfId="0" applyFill="1"/>
    <xf numFmtId="44" fontId="0" fillId="14" borderId="0" xfId="1" applyFont="1" applyFill="1"/>
    <xf numFmtId="44" fontId="4" fillId="5" borderId="0" xfId="1" applyFont="1" applyFill="1"/>
    <xf numFmtId="44" fontId="0" fillId="15" borderId="0" xfId="1" applyFont="1" applyFill="1"/>
    <xf numFmtId="44" fontId="0" fillId="8" borderId="0" xfId="1" applyFont="1" applyFill="1"/>
    <xf numFmtId="44" fontId="0" fillId="10" borderId="0" xfId="1" applyFont="1" applyFill="1"/>
    <xf numFmtId="44" fontId="0" fillId="16" borderId="0" xfId="1" applyFont="1" applyFill="1"/>
    <xf numFmtId="44" fontId="0" fillId="17" borderId="0" xfId="1" applyFont="1" applyFill="1"/>
    <xf numFmtId="44" fontId="0" fillId="18" borderId="0" xfId="1" applyFont="1" applyFill="1"/>
    <xf numFmtId="44" fontId="0" fillId="19" borderId="0" xfId="1" applyFont="1" applyFill="1"/>
    <xf numFmtId="44" fontId="0" fillId="6" borderId="0" xfId="0" applyNumberFormat="1" applyFill="1"/>
    <xf numFmtId="0" fontId="0" fillId="17" borderId="0" xfId="0" applyFill="1"/>
    <xf numFmtId="44" fontId="0" fillId="20" borderId="0" xfId="1" applyFont="1" applyFill="1"/>
    <xf numFmtId="44" fontId="0" fillId="21" borderId="0" xfId="1" applyFont="1" applyFill="1"/>
    <xf numFmtId="44" fontId="0" fillId="22" borderId="0" xfId="1" applyFont="1" applyFill="1"/>
    <xf numFmtId="44" fontId="0" fillId="23" borderId="0" xfId="1" applyFont="1" applyFill="1"/>
    <xf numFmtId="44" fontId="0" fillId="24" borderId="0" xfId="1" applyFont="1" applyFill="1"/>
    <xf numFmtId="44" fontId="0" fillId="25" borderId="0" xfId="1" applyFont="1" applyFill="1"/>
    <xf numFmtId="44" fontId="0" fillId="26" borderId="0" xfId="1" applyFont="1" applyFill="1"/>
    <xf numFmtId="44" fontId="4" fillId="19" borderId="0" xfId="1" applyFont="1" applyFill="1"/>
    <xf numFmtId="44" fontId="0" fillId="27" borderId="0" xfId="1" applyFont="1" applyFill="1"/>
    <xf numFmtId="0" fontId="4" fillId="5" borderId="0" xfId="0" applyFont="1" applyFill="1"/>
    <xf numFmtId="44" fontId="0" fillId="9" borderId="0" xfId="1" applyFont="1" applyFill="1"/>
    <xf numFmtId="44" fontId="0" fillId="28" borderId="0" xfId="1" applyFont="1" applyFill="1"/>
    <xf numFmtId="44" fontId="0" fillId="29" borderId="0" xfId="1" applyFont="1" applyFill="1"/>
    <xf numFmtId="44" fontId="0" fillId="30" borderId="0" xfId="1" applyFont="1" applyFill="1"/>
    <xf numFmtId="44" fontId="0" fillId="31" borderId="0" xfId="1" applyFont="1" applyFill="1"/>
    <xf numFmtId="44" fontId="0" fillId="32" borderId="0" xfId="1" applyFont="1" applyFill="1"/>
    <xf numFmtId="44" fontId="0" fillId="33" borderId="0" xfId="1" applyFont="1" applyFill="1"/>
    <xf numFmtId="164" fontId="0" fillId="8" borderId="0" xfId="0" applyNumberFormat="1" applyFill="1"/>
    <xf numFmtId="44" fontId="0" fillId="34" borderId="0" xfId="1" applyFont="1" applyFill="1"/>
    <xf numFmtId="44" fontId="0" fillId="35" borderId="0" xfId="1" applyFont="1" applyFill="1"/>
    <xf numFmtId="10" fontId="0" fillId="0" borderId="0" xfId="0" applyNumberFormat="1"/>
    <xf numFmtId="164" fontId="0" fillId="9" borderId="3" xfId="0" applyNumberFormat="1" applyFill="1" applyBorder="1"/>
    <xf numFmtId="0" fontId="0" fillId="3" borderId="3" xfId="0" applyFill="1" applyBorder="1"/>
    <xf numFmtId="4" fontId="0" fillId="3" borderId="0" xfId="0" applyNumberFormat="1" applyFill="1"/>
    <xf numFmtId="0" fontId="3" fillId="17" borderId="2" xfId="0" applyFont="1" applyFill="1" applyBorder="1" applyAlignment="1">
      <alignment textRotation="255"/>
    </xf>
    <xf numFmtId="0" fontId="3" fillId="17" borderId="6" xfId="0" applyFont="1" applyFill="1" applyBorder="1" applyAlignment="1">
      <alignment textRotation="255"/>
    </xf>
    <xf numFmtId="0" fontId="3" fillId="17" borderId="9" xfId="0" applyFont="1" applyFill="1" applyBorder="1" applyAlignment="1">
      <alignment textRotation="255"/>
    </xf>
    <xf numFmtId="0" fontId="3" fillId="7" borderId="2" xfId="0" applyFont="1" applyFill="1" applyBorder="1" applyAlignment="1">
      <alignment textRotation="255"/>
    </xf>
    <xf numFmtId="0" fontId="3" fillId="7" borderId="6" xfId="0" applyFont="1" applyFill="1" applyBorder="1" applyAlignment="1">
      <alignment textRotation="255"/>
    </xf>
    <xf numFmtId="0" fontId="3" fillId="7" borderId="9" xfId="0" applyFont="1" applyFill="1" applyBorder="1" applyAlignment="1">
      <alignment textRotation="255"/>
    </xf>
    <xf numFmtId="0" fontId="3" fillId="13" borderId="2" xfId="0" applyFont="1" applyFill="1" applyBorder="1" applyAlignment="1">
      <alignment textRotation="255"/>
    </xf>
    <xf numFmtId="0" fontId="3" fillId="13" borderId="6" xfId="0" applyFont="1" applyFill="1" applyBorder="1" applyAlignment="1">
      <alignment textRotation="255"/>
    </xf>
    <xf numFmtId="0" fontId="3" fillId="13" borderId="9" xfId="0" applyFont="1" applyFill="1" applyBorder="1" applyAlignment="1">
      <alignment textRotation="255"/>
    </xf>
    <xf numFmtId="44" fontId="0" fillId="36" borderId="0" xfId="1" applyFont="1" applyFill="1"/>
    <xf numFmtId="0" fontId="0" fillId="6" borderId="0" xfId="0" quotePrefix="1" applyFill="1"/>
    <xf numFmtId="44" fontId="4" fillId="6" borderId="0" xfId="1" applyFont="1" applyFill="1"/>
    <xf numFmtId="0" fontId="4" fillId="6" borderId="0" xfId="0" applyFont="1" applyFill="1"/>
    <xf numFmtId="14" fontId="4" fillId="6" borderId="0" xfId="0" applyNumberFormat="1" applyFont="1" applyFill="1"/>
    <xf numFmtId="168" fontId="0" fillId="0" borderId="0" xfId="1" applyNumberFormat="1" applyFont="1"/>
    <xf numFmtId="164" fontId="0" fillId="37" borderId="0" xfId="0" applyNumberFormat="1" applyFill="1"/>
    <xf numFmtId="164" fontId="0" fillId="37" borderId="3" xfId="0" applyNumberFormat="1" applyFill="1" applyBorder="1"/>
    <xf numFmtId="164" fontId="0" fillId="38" borderId="0" xfId="0" applyNumberFormat="1" applyFill="1"/>
    <xf numFmtId="164" fontId="4" fillId="38" borderId="0" xfId="0" applyNumberFormat="1" applyFont="1" applyFill="1"/>
    <xf numFmtId="16" fontId="0" fillId="0" borderId="0" xfId="0" quotePrefix="1" applyNumberFormat="1"/>
    <xf numFmtId="0" fontId="3" fillId="5" borderId="2" xfId="0" applyFont="1" applyFill="1" applyBorder="1" applyAlignment="1">
      <alignment textRotation="255"/>
    </xf>
    <xf numFmtId="0" fontId="3" fillId="5" borderId="6" xfId="0" applyFont="1" applyFill="1" applyBorder="1" applyAlignment="1">
      <alignment textRotation="255"/>
    </xf>
    <xf numFmtId="0" fontId="3" fillId="5" borderId="9" xfId="0" applyFont="1" applyFill="1" applyBorder="1" applyAlignment="1">
      <alignment textRotation="255"/>
    </xf>
    <xf numFmtId="0" fontId="3" fillId="39" borderId="2" xfId="0" applyFont="1" applyFill="1" applyBorder="1" applyAlignment="1">
      <alignment textRotation="255"/>
    </xf>
    <xf numFmtId="0" fontId="3" fillId="39" borderId="6" xfId="0" applyFont="1" applyFill="1" applyBorder="1" applyAlignment="1">
      <alignment textRotation="255"/>
    </xf>
    <xf numFmtId="0" fontId="3" fillId="39" borderId="9" xfId="0" applyFont="1" applyFill="1" applyBorder="1" applyAlignment="1">
      <alignment textRotation="255"/>
    </xf>
    <xf numFmtId="44" fontId="0" fillId="4" borderId="0" xfId="0" applyNumberFormat="1" applyFill="1"/>
    <xf numFmtId="0" fontId="3" fillId="4" borderId="2" xfId="0" applyFont="1" applyFill="1" applyBorder="1" applyAlignment="1">
      <alignment textRotation="255"/>
    </xf>
    <xf numFmtId="0" fontId="3" fillId="4" borderId="6" xfId="0" applyFont="1" applyFill="1" applyBorder="1" applyAlignment="1">
      <alignment textRotation="255"/>
    </xf>
    <xf numFmtId="0" fontId="3" fillId="4" borderId="9" xfId="0" applyFont="1" applyFill="1" applyBorder="1" applyAlignment="1">
      <alignment textRotation="255"/>
    </xf>
    <xf numFmtId="164" fontId="4" fillId="3" borderId="0" xfId="0" applyNumberFormat="1" applyFont="1" applyFill="1"/>
    <xf numFmtId="0" fontId="3" fillId="2" borderId="2" xfId="0" applyFont="1" applyFill="1" applyBorder="1" applyAlignment="1">
      <alignment textRotation="255"/>
    </xf>
    <xf numFmtId="44" fontId="0" fillId="40" borderId="0" xfId="1" applyFont="1" applyFill="1"/>
    <xf numFmtId="3" fontId="4" fillId="0" borderId="0" xfId="0" applyNumberFormat="1" applyFont="1"/>
    <xf numFmtId="164" fontId="4" fillId="38" borderId="3" xfId="0" applyNumberFormat="1" applyFont="1" applyFill="1" applyBorder="1"/>
    <xf numFmtId="164" fontId="4" fillId="41" borderId="0" xfId="0" applyNumberFormat="1" applyFont="1" applyFill="1"/>
    <xf numFmtId="0" fontId="0" fillId="39" borderId="0" xfId="0" applyFill="1"/>
    <xf numFmtId="0" fontId="3" fillId="18" borderId="2" xfId="0" applyFont="1" applyFill="1" applyBorder="1" applyAlignment="1">
      <alignment textRotation="255"/>
    </xf>
    <xf numFmtId="0" fontId="3" fillId="18" borderId="6" xfId="0" applyFont="1" applyFill="1" applyBorder="1" applyAlignment="1">
      <alignment textRotation="255"/>
    </xf>
    <xf numFmtId="0" fontId="3" fillId="18" borderId="9" xfId="0" applyFont="1" applyFill="1" applyBorder="1" applyAlignment="1">
      <alignment textRotation="255"/>
    </xf>
    <xf numFmtId="8" fontId="0" fillId="6" borderId="0" xfId="1" applyNumberFormat="1" applyFont="1" applyFill="1"/>
    <xf numFmtId="11" fontId="0" fillId="3" borderId="0" xfId="0" applyNumberFormat="1" applyFill="1"/>
    <xf numFmtId="4" fontId="0" fillId="4" borderId="0" xfId="0" applyNumberFormat="1" applyFill="1"/>
    <xf numFmtId="4" fontId="0" fillId="29" borderId="0" xfId="0" applyNumberFormat="1" applyFill="1"/>
    <xf numFmtId="44" fontId="0" fillId="42" borderId="0" xfId="1" applyFont="1" applyFill="1"/>
    <xf numFmtId="0" fontId="3" fillId="25" borderId="2" xfId="0" applyFont="1" applyFill="1" applyBorder="1" applyAlignment="1">
      <alignment textRotation="255"/>
    </xf>
    <xf numFmtId="0" fontId="3" fillId="25" borderId="6" xfId="0" applyFont="1" applyFill="1" applyBorder="1" applyAlignment="1">
      <alignment textRotation="255"/>
    </xf>
    <xf numFmtId="0" fontId="3" fillId="25" borderId="9" xfId="0" applyFont="1" applyFill="1" applyBorder="1" applyAlignment="1">
      <alignment textRotation="255"/>
    </xf>
    <xf numFmtId="0" fontId="3" fillId="43" borderId="2" xfId="0" applyFont="1" applyFill="1" applyBorder="1" applyAlignment="1">
      <alignment textRotation="255"/>
    </xf>
    <xf numFmtId="0" fontId="3" fillId="43" borderId="6" xfId="0" applyFont="1" applyFill="1" applyBorder="1" applyAlignment="1">
      <alignment textRotation="255"/>
    </xf>
    <xf numFmtId="0" fontId="3" fillId="43" borderId="9" xfId="0" applyFont="1" applyFill="1" applyBorder="1" applyAlignment="1">
      <alignment textRotation="255"/>
    </xf>
    <xf numFmtId="0" fontId="3" fillId="22" borderId="2" xfId="0" applyFont="1" applyFill="1" applyBorder="1" applyAlignment="1">
      <alignment textRotation="255"/>
    </xf>
    <xf numFmtId="0" fontId="3" fillId="22" borderId="6" xfId="0" applyFont="1" applyFill="1" applyBorder="1" applyAlignment="1">
      <alignment textRotation="255"/>
    </xf>
    <xf numFmtId="0" fontId="3" fillId="22" borderId="9" xfId="0" applyFont="1" applyFill="1" applyBorder="1" applyAlignment="1">
      <alignment textRotation="255"/>
    </xf>
    <xf numFmtId="167" fontId="0" fillId="4" borderId="0" xfId="1" applyNumberFormat="1" applyFont="1" applyFill="1"/>
    <xf numFmtId="14" fontId="0" fillId="4" borderId="0" xfId="0" applyNumberFormat="1" applyFill="1"/>
    <xf numFmtId="0" fontId="0" fillId="42" borderId="7" xfId="0" applyFill="1" applyBorder="1"/>
    <xf numFmtId="0" fontId="0" fillId="42" borderId="0" xfId="0" applyFill="1"/>
    <xf numFmtId="0" fontId="4" fillId="42" borderId="0" xfId="0" applyFont="1" applyFill="1"/>
    <xf numFmtId="4" fontId="4" fillId="42" borderId="0" xfId="0" applyNumberFormat="1" applyFont="1" applyFill="1"/>
    <xf numFmtId="4" fontId="0" fillId="42" borderId="0" xfId="0" applyNumberFormat="1" applyFill="1"/>
    <xf numFmtId="15" fontId="0" fillId="42" borderId="0" xfId="0" applyNumberFormat="1" applyFill="1"/>
    <xf numFmtId="164" fontId="0" fillId="42" borderId="0" xfId="0" applyNumberFormat="1" applyFill="1"/>
    <xf numFmtId="166" fontId="0" fillId="42" borderId="0" xfId="0" applyNumberFormat="1" applyFill="1"/>
    <xf numFmtId="165" fontId="4" fillId="42" borderId="0" xfId="0" applyNumberFormat="1" applyFont="1" applyFill="1"/>
    <xf numFmtId="164" fontId="4" fillId="4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D640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247651</xdr:colOff>
      <xdr:row>42</xdr:row>
      <xdr:rowOff>104775</xdr:rowOff>
    </xdr:from>
    <xdr:to>
      <xdr:col>14</xdr:col>
      <xdr:colOff>695326</xdr:colOff>
      <xdr:row>102</xdr:row>
      <xdr:rowOff>114300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7077659D-15CF-45EF-9184-6D161469B185}"/>
            </a:ext>
          </a:extLst>
        </xdr:cNvPr>
        <xdr:cNvCxnSpPr/>
      </xdr:nvCxnSpPr>
      <xdr:spPr>
        <a:xfrm rot="5400000">
          <a:off x="6848476" y="11982450"/>
          <a:ext cx="11249025" cy="3495675"/>
        </a:xfrm>
        <a:prstGeom prst="bentConnector3">
          <a:avLst>
            <a:gd name="adj1" fmla="val 999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349</xdr:row>
      <xdr:rowOff>104777</xdr:rowOff>
    </xdr:from>
    <xdr:to>
      <xdr:col>10</xdr:col>
      <xdr:colOff>285751</xdr:colOff>
      <xdr:row>369</xdr:row>
      <xdr:rowOff>95248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8DFF1651-AA41-4581-870A-49BED92462F0}"/>
            </a:ext>
          </a:extLst>
        </xdr:cNvPr>
        <xdr:cNvCxnSpPr/>
      </xdr:nvCxnSpPr>
      <xdr:spPr>
        <a:xfrm rot="16200000" flipH="1">
          <a:off x="9015415" y="68422837"/>
          <a:ext cx="3800471" cy="1333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354</xdr:row>
      <xdr:rowOff>57149</xdr:rowOff>
    </xdr:from>
    <xdr:to>
      <xdr:col>9</xdr:col>
      <xdr:colOff>228600</xdr:colOff>
      <xdr:row>364</xdr:row>
      <xdr:rowOff>133348</xdr:rowOff>
    </xdr:to>
    <xdr:cxnSp macro="">
      <xdr:nvCxnSpPr>
        <xdr:cNvPr id="2" name="Conector angular 3">
          <a:extLst>
            <a:ext uri="{FF2B5EF4-FFF2-40B4-BE49-F238E27FC236}">
              <a16:creationId xmlns:a16="http://schemas.microsoft.com/office/drawing/2014/main" id="{4DA55E75-5517-49BF-AB84-68BB4670018B}"/>
            </a:ext>
          </a:extLst>
        </xdr:cNvPr>
        <xdr:cNvCxnSpPr/>
      </xdr:nvCxnSpPr>
      <xdr:spPr>
        <a:xfrm rot="10800000" flipV="1">
          <a:off x="4543425" y="67875149"/>
          <a:ext cx="3638550" cy="19811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362</xdr:row>
      <xdr:rowOff>28575</xdr:rowOff>
    </xdr:from>
    <xdr:to>
      <xdr:col>8</xdr:col>
      <xdr:colOff>714375</xdr:colOff>
      <xdr:row>364</xdr:row>
      <xdr:rowOff>171450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47B5B76-87DB-4E24-8ED8-C1668A4F1A76}"/>
            </a:ext>
          </a:extLst>
        </xdr:cNvPr>
        <xdr:cNvCxnSpPr/>
      </xdr:nvCxnSpPr>
      <xdr:spPr>
        <a:xfrm>
          <a:off x="7715250" y="69370575"/>
          <a:ext cx="9525" cy="523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CFA7-163B-4B01-9BD0-FECCF8B3BA4F}">
  <dimension ref="A1:AF104"/>
  <sheetViews>
    <sheetView topLeftCell="A13" zoomScale="80" zoomScaleNormal="80" workbookViewId="0">
      <selection activeCell="T100" sqref="T100:T101"/>
    </sheetView>
  </sheetViews>
  <sheetFormatPr baseColWidth="10" defaultRowHeight="15" x14ac:dyDescent="0.25"/>
  <cols>
    <col min="1" max="1" width="3.85546875" customWidth="1"/>
    <col min="2" max="2" width="18.42578125" customWidth="1"/>
    <col min="3" max="3" width="13" bestFit="1" customWidth="1"/>
    <col min="4" max="4" width="18.85546875" bestFit="1" customWidth="1"/>
    <col min="8" max="8" width="10.7109375" customWidth="1"/>
    <col min="12" max="12" width="13" bestFit="1" customWidth="1"/>
    <col min="13" max="13" width="5.28515625" customWidth="1"/>
    <col min="18" max="18" width="13.28515625" customWidth="1"/>
    <col min="22" max="22" width="5.7109375" customWidth="1"/>
    <col min="24" max="24" width="0" hidden="1" customWidth="1"/>
    <col min="26" max="26" width="15.140625" customWidth="1"/>
  </cols>
  <sheetData>
    <row r="1" spans="1:29" x14ac:dyDescent="0.25">
      <c r="A1" s="1" t="s">
        <v>0</v>
      </c>
      <c r="S1" s="2"/>
      <c r="W1" s="2"/>
      <c r="Z1" s="3"/>
    </row>
    <row r="2" spans="1:29" ht="30.75" thickBot="1" x14ac:dyDescent="0.3">
      <c r="A2" s="4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4" t="s">
        <v>9</v>
      </c>
      <c r="K2" s="8" t="s">
        <v>10</v>
      </c>
      <c r="L2" s="8" t="s">
        <v>11</v>
      </c>
      <c r="M2" s="4" t="s">
        <v>12</v>
      </c>
      <c r="N2" s="4" t="s">
        <v>13</v>
      </c>
      <c r="O2" s="9" t="s">
        <v>14</v>
      </c>
      <c r="P2" s="10" t="s">
        <v>15</v>
      </c>
      <c r="Q2" s="9" t="s">
        <v>16</v>
      </c>
      <c r="R2" s="11" t="s">
        <v>17</v>
      </c>
      <c r="S2" s="11" t="s">
        <v>18</v>
      </c>
      <c r="T2" s="12" t="s">
        <v>19</v>
      </c>
      <c r="U2" s="9" t="s">
        <v>20</v>
      </c>
      <c r="V2" s="9" t="s">
        <v>21</v>
      </c>
      <c r="W2" s="12" t="s">
        <v>22</v>
      </c>
      <c r="X2" s="9" t="s">
        <v>23</v>
      </c>
      <c r="Y2" s="9" t="s">
        <v>24</v>
      </c>
      <c r="Z2" s="13" t="s">
        <v>25</v>
      </c>
      <c r="AA2" s="9"/>
    </row>
    <row r="3" spans="1:29" x14ac:dyDescent="0.25">
      <c r="A3" s="26"/>
      <c r="B3" s="27" t="s">
        <v>30</v>
      </c>
      <c r="C3" t="s">
        <v>31</v>
      </c>
      <c r="D3" s="28" t="s">
        <v>31</v>
      </c>
      <c r="E3" t="s">
        <v>32</v>
      </c>
      <c r="F3" s="29">
        <f>41304*0.4536</f>
        <v>18735.4944</v>
      </c>
      <c r="G3" s="30">
        <v>18623.439999999999</v>
      </c>
      <c r="H3" s="30">
        <f t="shared" ref="H3" si="0">G3-F3</f>
        <v>-112.0544000000009</v>
      </c>
      <c r="I3" s="28" t="s">
        <v>195</v>
      </c>
      <c r="J3" s="52" t="s">
        <v>196</v>
      </c>
      <c r="K3" s="31">
        <v>43465</v>
      </c>
      <c r="L3" s="31">
        <v>43467</v>
      </c>
      <c r="M3" s="28" t="s">
        <v>33</v>
      </c>
      <c r="N3" s="28" t="s">
        <v>34</v>
      </c>
      <c r="O3" s="2"/>
      <c r="P3" s="32">
        <f>0.4547+0.095</f>
        <v>0.54969999999999997</v>
      </c>
      <c r="Q3" s="116">
        <v>26000</v>
      </c>
      <c r="R3" s="2">
        <v>90578</v>
      </c>
      <c r="S3" s="68">
        <v>19.970050000000001</v>
      </c>
      <c r="T3" s="141">
        <f t="shared" ref="T3" si="1">X3*F3*0.005</f>
        <v>2864.7341638616613</v>
      </c>
      <c r="V3" s="2">
        <v>0.12</v>
      </c>
      <c r="W3" s="2">
        <v>0.3</v>
      </c>
      <c r="X3" s="2">
        <f>IF(O3&gt;0,O3,((P3*2.2046*S3)+(Q3+R3)/G3)+V3)</f>
        <v>30.58082271756502</v>
      </c>
      <c r="Y3" s="2">
        <f>IF(O3&gt;0,O3,((P3*2.2046*S3)+(Q3+R3+T3)/G3)+V3+W3)</f>
        <v>31.034646831899519</v>
      </c>
      <c r="Z3" s="3">
        <f>Y3*F3</f>
        <v>581449.45192503114</v>
      </c>
      <c r="AA3" s="34">
        <v>43458</v>
      </c>
      <c r="AB3" s="3"/>
      <c r="AC3" s="35"/>
    </row>
    <row r="4" spans="1:29" x14ac:dyDescent="0.25">
      <c r="A4" s="26"/>
      <c r="B4" s="27" t="s">
        <v>30</v>
      </c>
      <c r="C4" s="28" t="s">
        <v>35</v>
      </c>
      <c r="D4" s="28" t="s">
        <v>36</v>
      </c>
      <c r="E4" t="s">
        <v>32</v>
      </c>
      <c r="F4" s="29">
        <f>39462*0.4536</f>
        <v>17899.963199999998</v>
      </c>
      <c r="G4" s="30">
        <v>17759.46</v>
      </c>
      <c r="H4" s="30">
        <f>G4-F4</f>
        <v>-140.5031999999992</v>
      </c>
      <c r="I4" t="s">
        <v>197</v>
      </c>
      <c r="J4" s="52" t="s">
        <v>196</v>
      </c>
      <c r="K4" s="31">
        <v>43465</v>
      </c>
      <c r="L4" s="31">
        <v>43467</v>
      </c>
      <c r="M4" s="28" t="s">
        <v>33</v>
      </c>
      <c r="N4" s="28" t="s">
        <v>38</v>
      </c>
      <c r="O4" s="2"/>
      <c r="P4" s="32">
        <f>0.4629+0.1</f>
        <v>0.56289999999999996</v>
      </c>
      <c r="Q4" s="116">
        <v>26000</v>
      </c>
      <c r="R4" s="2">
        <v>88927</v>
      </c>
      <c r="S4" s="68">
        <v>19.71</v>
      </c>
      <c r="T4" s="141">
        <f>X4*F4*0.005</f>
        <v>2779.0424367107107</v>
      </c>
      <c r="V4" s="2">
        <v>0.12</v>
      </c>
      <c r="W4" s="2">
        <v>0.3</v>
      </c>
      <c r="X4" s="2">
        <f>IF(O4&gt;0,O4,((P4*2.2046*S4)+(Q4+R4)/G4)+V4)</f>
        <v>31.050817319118412</v>
      </c>
      <c r="Y4" s="2">
        <f>IF(O4&gt;0,O4,((P4*2.2046*S4)+(Q4+R4+T4)/G4)+V4+W4)</f>
        <v>31.507299691708049</v>
      </c>
      <c r="Z4" s="3">
        <f>Y4*F4</f>
        <v>563979.50501294539</v>
      </c>
      <c r="AA4" s="34">
        <v>43468</v>
      </c>
      <c r="AB4" s="3"/>
      <c r="AC4" s="35"/>
    </row>
    <row r="5" spans="1:29" x14ac:dyDescent="0.25">
      <c r="A5" s="26"/>
      <c r="B5" s="27" t="s">
        <v>30</v>
      </c>
      <c r="C5" s="28" t="s">
        <v>31</v>
      </c>
      <c r="D5" s="28" t="s">
        <v>36</v>
      </c>
      <c r="E5" t="s">
        <v>32</v>
      </c>
      <c r="F5" s="29">
        <f>40801*0.4536</f>
        <v>18507.333600000002</v>
      </c>
      <c r="G5" s="30">
        <v>18395.439999999999</v>
      </c>
      <c r="H5" s="30">
        <f>G5-F5</f>
        <v>-111.89360000000306</v>
      </c>
      <c r="I5" t="s">
        <v>198</v>
      </c>
      <c r="J5" s="52" t="s">
        <v>199</v>
      </c>
      <c r="K5" s="31">
        <v>43465</v>
      </c>
      <c r="L5" s="31">
        <v>43467</v>
      </c>
      <c r="M5" s="28" t="s">
        <v>33</v>
      </c>
      <c r="N5" s="28" t="s">
        <v>39</v>
      </c>
      <c r="O5" s="2"/>
      <c r="P5" s="32">
        <f>0.4547+0.105</f>
        <v>0.55969999999999998</v>
      </c>
      <c r="Q5" s="116">
        <v>26001</v>
      </c>
      <c r="R5" s="2">
        <v>92564</v>
      </c>
      <c r="S5" s="68">
        <v>19.655000000000001</v>
      </c>
      <c r="T5" s="141">
        <f>X5*F5*0.005</f>
        <v>2851.7894064647689</v>
      </c>
      <c r="V5" s="2">
        <v>0.12</v>
      </c>
      <c r="W5" s="2">
        <v>0.3</v>
      </c>
      <c r="X5" s="2">
        <f>IF(O5&gt;0,O5,((P5*2.2046*S5)+(Q5+R5)/G5)+V5)</f>
        <v>30.817939181306684</v>
      </c>
      <c r="Y5" s="2">
        <f>IF(O5&gt;0,O5,((P5*2.2046*S5)+(Q5+R5+T5)/G5)+V5+W5)</f>
        <v>31.272966155734302</v>
      </c>
      <c r="Z5" s="3">
        <f>Y5*F5</f>
        <v>578779.21730568435</v>
      </c>
      <c r="AA5" s="34">
        <v>43104</v>
      </c>
      <c r="AB5" s="3"/>
      <c r="AC5" s="35"/>
    </row>
    <row r="6" spans="1:29" x14ac:dyDescent="0.25">
      <c r="A6" s="26"/>
      <c r="B6" s="27" t="s">
        <v>30</v>
      </c>
      <c r="C6" s="28" t="s">
        <v>40</v>
      </c>
      <c r="D6" s="28" t="s">
        <v>40</v>
      </c>
      <c r="E6" t="s">
        <v>37</v>
      </c>
      <c r="F6" s="29">
        <f>42439*0.4536</f>
        <v>19250.330399999999</v>
      </c>
      <c r="G6" s="30">
        <v>19266.52</v>
      </c>
      <c r="H6" s="30">
        <f>G6-F6</f>
        <v>16.189600000001519</v>
      </c>
      <c r="I6" s="28" t="s">
        <v>200</v>
      </c>
      <c r="J6" s="52" t="s">
        <v>199</v>
      </c>
      <c r="K6" s="31">
        <v>43465</v>
      </c>
      <c r="L6" s="31">
        <v>43467</v>
      </c>
      <c r="M6" s="28" t="s">
        <v>33</v>
      </c>
      <c r="N6" s="28" t="s">
        <v>201</v>
      </c>
      <c r="O6" s="2"/>
      <c r="P6" s="32">
        <f>0.4629+0.105</f>
        <v>0.56789999999999996</v>
      </c>
      <c r="Q6" s="116">
        <v>26000</v>
      </c>
      <c r="R6" s="2">
        <v>95762</v>
      </c>
      <c r="S6" s="68">
        <v>19.983000000000001</v>
      </c>
      <c r="T6" s="141">
        <f>X6*F6*0.005</f>
        <v>3027.9266296900896</v>
      </c>
      <c r="V6" s="2">
        <v>0.12</v>
      </c>
      <c r="W6" s="2">
        <v>0.3</v>
      </c>
      <c r="X6" s="2">
        <f>IF(O6&gt;0,O6,((P6*2.2046*S6)+(Q6+R6)/G6)+V6)</f>
        <v>31.45843802961522</v>
      </c>
      <c r="Y6" s="2">
        <f>IF(O6&gt;0,O6,((P6*2.2046*S6)+(Q6+R6+T6)/G6)+V6+W6)</f>
        <v>31.915598047599275</v>
      </c>
      <c r="Z6" s="3">
        <f>Y6*F6</f>
        <v>614385.80732988089</v>
      </c>
      <c r="AA6" s="34">
        <v>43470</v>
      </c>
      <c r="AB6" s="3"/>
      <c r="AC6" s="35"/>
    </row>
    <row r="7" spans="1:29" x14ac:dyDescent="0.25">
      <c r="A7" s="26"/>
      <c r="B7" s="27" t="s">
        <v>1805</v>
      </c>
      <c r="C7" s="28" t="s">
        <v>40</v>
      </c>
      <c r="D7" s="28" t="s">
        <v>1806</v>
      </c>
      <c r="E7" t="s">
        <v>1807</v>
      </c>
      <c r="F7" s="29">
        <v>913.5</v>
      </c>
      <c r="G7" s="30">
        <v>913.5</v>
      </c>
      <c r="H7" s="30">
        <f>G7-F7</f>
        <v>0</v>
      </c>
      <c r="I7" s="28" t="s">
        <v>1808</v>
      </c>
      <c r="K7" s="31"/>
      <c r="L7" s="31">
        <v>43467</v>
      </c>
      <c r="M7" s="28" t="s">
        <v>33</v>
      </c>
      <c r="N7" s="28"/>
      <c r="O7" s="2">
        <v>18.8</v>
      </c>
      <c r="P7" s="32"/>
      <c r="Q7" s="2"/>
      <c r="R7" s="2"/>
      <c r="S7" s="68"/>
      <c r="T7" s="33"/>
      <c r="V7" s="2"/>
      <c r="W7" s="2"/>
      <c r="X7" s="2">
        <f>IF(O7&gt;0,O7,((P7*2.2046*S7)+(Q7+R7)/G7)+V7)</f>
        <v>18.8</v>
      </c>
      <c r="Y7" s="2">
        <f>IF(O7&gt;0,O7,((P7*2.2046*S7)+(Q7+R7+T7)/G7)+V7+W7)</f>
        <v>18.8</v>
      </c>
      <c r="Z7" s="3">
        <f>Y7*F7</f>
        <v>17173.8</v>
      </c>
      <c r="AA7" s="34">
        <v>43480</v>
      </c>
      <c r="AB7" s="3"/>
      <c r="AC7" s="35"/>
    </row>
    <row r="8" spans="1:29" x14ac:dyDescent="0.25">
      <c r="A8" s="26"/>
      <c r="B8" s="27" t="s">
        <v>30</v>
      </c>
      <c r="C8" s="28" t="s">
        <v>1790</v>
      </c>
      <c r="D8" s="28" t="s">
        <v>1790</v>
      </c>
      <c r="E8" t="s">
        <v>37</v>
      </c>
      <c r="F8" s="29">
        <f>41601*0.4536</f>
        <v>18870.213599999999</v>
      </c>
      <c r="G8" s="30">
        <v>19095.82</v>
      </c>
      <c r="H8" s="30">
        <f t="shared" ref="H8:H11" si="2">G8-F8</f>
        <v>225.60640000000058</v>
      </c>
      <c r="I8" t="s">
        <v>202</v>
      </c>
      <c r="J8" s="52" t="s">
        <v>196</v>
      </c>
      <c r="K8" s="31">
        <v>43467</v>
      </c>
      <c r="L8" s="31">
        <v>43468</v>
      </c>
      <c r="M8" s="28" t="s">
        <v>41</v>
      </c>
      <c r="N8" s="28" t="s">
        <v>203</v>
      </c>
      <c r="O8" s="2"/>
      <c r="P8" s="32">
        <f>0.463+0.095</f>
        <v>0.55800000000000005</v>
      </c>
      <c r="Q8" s="116">
        <v>26000</v>
      </c>
      <c r="R8" s="2">
        <v>89653</v>
      </c>
      <c r="S8" s="68">
        <v>19.36</v>
      </c>
      <c r="T8" s="33">
        <f t="shared" ref="T8" si="3">X8*F8*0.005</f>
        <v>2829.8230466762052</v>
      </c>
      <c r="V8" s="2">
        <v>0.12</v>
      </c>
      <c r="W8" s="2">
        <v>0.3</v>
      </c>
      <c r="X8" s="2">
        <f t="shared" ref="X8" si="4">IF(O8&gt;0,O8,((P8*2.2046*S8)+(Q8+R8)/G8)+V8)</f>
        <v>29.99248558242293</v>
      </c>
      <c r="Y8" s="2">
        <f t="shared" ref="Y8" si="5">IF(O8&gt;0,O8,((P8*2.2046*S8)+(Q8+R8+T8)/G8)+V8+W8)</f>
        <v>30.440676288382466</v>
      </c>
      <c r="Z8" s="3">
        <f t="shared" ref="Z8" si="6">Y8*F8</f>
        <v>574422.06369023235</v>
      </c>
      <c r="AA8" s="34">
        <v>43473</v>
      </c>
      <c r="AB8" s="3"/>
      <c r="AC8" s="35"/>
    </row>
    <row r="9" spans="1:29" x14ac:dyDescent="0.25">
      <c r="A9" s="26"/>
      <c r="B9" s="27" t="s">
        <v>26</v>
      </c>
      <c r="C9" t="s">
        <v>27</v>
      </c>
      <c r="D9" s="28" t="s">
        <v>1636</v>
      </c>
      <c r="E9">
        <v>229</v>
      </c>
      <c r="F9" s="29">
        <v>26345</v>
      </c>
      <c r="G9" s="30">
        <v>18500</v>
      </c>
      <c r="H9" s="30">
        <f t="shared" si="2"/>
        <v>-7845</v>
      </c>
      <c r="I9" t="s">
        <v>1637</v>
      </c>
      <c r="J9" s="55">
        <v>200</v>
      </c>
      <c r="K9" s="31"/>
      <c r="L9" s="31">
        <v>43468</v>
      </c>
      <c r="M9" s="28" t="s">
        <v>41</v>
      </c>
      <c r="O9" s="2">
        <v>28</v>
      </c>
      <c r="P9" s="32"/>
      <c r="Q9" s="69">
        <v>21300</v>
      </c>
      <c r="R9" s="2">
        <f>72*E9</f>
        <v>16488</v>
      </c>
      <c r="S9" s="33">
        <f>-38*E9</f>
        <v>-8702</v>
      </c>
      <c r="T9" s="33">
        <f>X9*F9*0.0045</f>
        <v>4920.832312297297</v>
      </c>
      <c r="U9" s="2">
        <f>E9*5</f>
        <v>1145</v>
      </c>
      <c r="W9" s="2">
        <v>0.3</v>
      </c>
      <c r="X9" s="2">
        <f t="shared" ref="X9" si="7">((O9*F9)+Q9+R9+S9+U9)/G9</f>
        <v>41.507621621621624</v>
      </c>
      <c r="Y9" s="2">
        <f>((O9*F9)+Q9+R9+S9+T9+U9)/G9+W9</f>
        <v>42.073612557421477</v>
      </c>
      <c r="Z9" s="3">
        <f>Y9*G9</f>
        <v>778361.83231229731</v>
      </c>
      <c r="AA9" s="34">
        <v>43481</v>
      </c>
      <c r="AB9" s="3"/>
      <c r="AC9" s="35"/>
    </row>
    <row r="10" spans="1:29" x14ac:dyDescent="0.25">
      <c r="A10" s="26"/>
      <c r="B10" s="27" t="s">
        <v>26</v>
      </c>
      <c r="C10" t="s">
        <v>27</v>
      </c>
      <c r="D10" s="28" t="s">
        <v>1700</v>
      </c>
      <c r="E10">
        <v>100</v>
      </c>
      <c r="F10" s="29">
        <v>11545</v>
      </c>
      <c r="G10" s="30">
        <v>11520</v>
      </c>
      <c r="H10" s="30">
        <f t="shared" si="2"/>
        <v>-25</v>
      </c>
      <c r="I10" t="s">
        <v>1638</v>
      </c>
      <c r="J10" s="55">
        <v>127</v>
      </c>
      <c r="K10" s="119">
        <v>0.7923</v>
      </c>
      <c r="L10" s="31">
        <v>43468</v>
      </c>
      <c r="M10" s="28" t="s">
        <v>41</v>
      </c>
      <c r="O10" s="2">
        <v>28</v>
      </c>
      <c r="P10" s="32"/>
      <c r="Q10" s="116">
        <v>16900</v>
      </c>
      <c r="R10" s="2">
        <f>72*E10</f>
        <v>7200</v>
      </c>
      <c r="S10" s="33">
        <f>-38*E10</f>
        <v>-3800</v>
      </c>
      <c r="T10" s="33">
        <f>X10*F10*0.0045</f>
        <v>1551.6299609374996</v>
      </c>
      <c r="U10" s="2">
        <f>E10*5</f>
        <v>500</v>
      </c>
      <c r="W10" s="2">
        <v>0.3</v>
      </c>
      <c r="X10" s="2">
        <f>((O10*F10)+Q10+R10+S10+U10)/G10</f>
        <v>29.866319444444443</v>
      </c>
      <c r="Y10" s="2">
        <f>((O10*F10)+Q10+R10+S10+T10+U10)/G10+W10</f>
        <v>30.301009545220268</v>
      </c>
      <c r="Z10" s="3">
        <f>Y10*G10</f>
        <v>349067.62996093748</v>
      </c>
      <c r="AA10" s="34">
        <v>43481</v>
      </c>
      <c r="AB10" s="3">
        <v>37.549999999999997</v>
      </c>
      <c r="AC10" s="35" t="s">
        <v>1639</v>
      </c>
    </row>
    <row r="11" spans="1:29" x14ac:dyDescent="0.25">
      <c r="A11" s="26"/>
      <c r="B11" s="27" t="s">
        <v>30</v>
      </c>
      <c r="C11" s="28" t="s">
        <v>1790</v>
      </c>
      <c r="D11" s="28" t="s">
        <v>1790</v>
      </c>
      <c r="E11" t="s">
        <v>32</v>
      </c>
      <c r="F11" s="29">
        <f>42272*0.4536</f>
        <v>19174.5792</v>
      </c>
      <c r="G11" s="30">
        <v>19067.86</v>
      </c>
      <c r="H11" s="30">
        <f t="shared" si="2"/>
        <v>-106.71919999999955</v>
      </c>
      <c r="I11" t="s">
        <v>204</v>
      </c>
      <c r="J11" s="52" t="s">
        <v>196</v>
      </c>
      <c r="K11" s="31">
        <v>43468</v>
      </c>
      <c r="L11" s="31">
        <v>43469</v>
      </c>
      <c r="M11" s="28" t="s">
        <v>45</v>
      </c>
      <c r="N11" s="28" t="s">
        <v>203</v>
      </c>
      <c r="O11" s="2"/>
      <c r="P11" s="32">
        <f>0.463+0.095</f>
        <v>0.55800000000000005</v>
      </c>
      <c r="Q11" s="116">
        <v>26000</v>
      </c>
      <c r="R11" s="2">
        <v>90918</v>
      </c>
      <c r="S11" s="68">
        <v>19.390999999999998</v>
      </c>
      <c r="T11" s="33">
        <f t="shared" ref="T11" si="8">X11*F11*0.005</f>
        <v>2886.3344114895108</v>
      </c>
      <c r="V11" s="2">
        <v>0.12</v>
      </c>
      <c r="W11" s="2">
        <v>0.3</v>
      </c>
      <c r="X11" s="2">
        <f t="shared" ref="X11" si="9">IF(O11&gt;0,O11,((P11*2.2046*S11)+(Q11+R11)/G11)+V11)</f>
        <v>30.105843589928799</v>
      </c>
      <c r="Y11" s="2">
        <f t="shared" ref="Y11" si="10">IF(O11&gt;0,O11,((P11*2.2046*S11)+(Q11+R11+T11)/G11)+V11+W11)</f>
        <v>30.55721529139344</v>
      </c>
      <c r="Z11" s="3">
        <f t="shared" ref="Z11" si="11">Y11*F11</f>
        <v>585921.74473627459</v>
      </c>
      <c r="AA11" s="34">
        <v>43472</v>
      </c>
      <c r="AB11" s="3"/>
      <c r="AC11" s="35"/>
    </row>
    <row r="12" spans="1:29" x14ac:dyDescent="0.25">
      <c r="A12" s="26"/>
      <c r="B12" s="27" t="s">
        <v>30</v>
      </c>
      <c r="C12" s="28" t="s">
        <v>40</v>
      </c>
      <c r="D12" s="28" t="s">
        <v>40</v>
      </c>
      <c r="E12" t="s">
        <v>37</v>
      </c>
      <c r="F12" s="29">
        <f>42798*0.4536</f>
        <v>19413.1728</v>
      </c>
      <c r="G12" s="30">
        <v>19379.080000000002</v>
      </c>
      <c r="H12" s="30">
        <f>G12-F12</f>
        <v>-34.092799999998533</v>
      </c>
      <c r="I12" s="28" t="s">
        <v>205</v>
      </c>
      <c r="J12" s="52" t="s">
        <v>1625</v>
      </c>
      <c r="K12" s="31">
        <v>43468</v>
      </c>
      <c r="L12" s="31">
        <v>43469</v>
      </c>
      <c r="M12" s="28" t="s">
        <v>45</v>
      </c>
      <c r="N12" s="28" t="s">
        <v>42</v>
      </c>
      <c r="O12" s="2"/>
      <c r="P12" s="32">
        <f>0.463+0.105</f>
        <v>0.56800000000000006</v>
      </c>
      <c r="Q12" s="116">
        <v>26000</v>
      </c>
      <c r="R12" s="2">
        <v>98759</v>
      </c>
      <c r="S12" s="68">
        <v>19.913</v>
      </c>
      <c r="T12" s="33">
        <f>X12*F12*0.005</f>
        <v>3056.9080676433659</v>
      </c>
      <c r="V12" s="2">
        <v>0.12</v>
      </c>
      <c r="W12" s="2">
        <v>0.3</v>
      </c>
      <c r="X12" s="2">
        <f>IF(O12&gt;0,O12,((P12*2.2046*S12)+(Q12+R12)/G12)+V12)</f>
        <v>31.49313199997237</v>
      </c>
      <c r="Y12" s="2">
        <f>IF(O12&gt;0,O12,((P12*2.2046*S12)+(Q12+R12+T12)/G12)+V12+W12)</f>
        <v>31.950874682681942</v>
      </c>
      <c r="Z12" s="3">
        <f>Y12*F12</f>
        <v>620267.85132604977</v>
      </c>
      <c r="AA12" s="34">
        <v>43461</v>
      </c>
      <c r="AB12" s="3"/>
      <c r="AC12" s="35"/>
    </row>
    <row r="13" spans="1:29" x14ac:dyDescent="0.25">
      <c r="A13" s="26"/>
      <c r="B13" s="27" t="s">
        <v>26</v>
      </c>
      <c r="C13" t="s">
        <v>43</v>
      </c>
      <c r="D13" s="28" t="s">
        <v>44</v>
      </c>
      <c r="E13">
        <v>235</v>
      </c>
      <c r="F13" s="29">
        <v>20708.400000000001</v>
      </c>
      <c r="G13" s="30">
        <v>20708</v>
      </c>
      <c r="H13" s="30">
        <f t="shared" ref="H13:H16" si="12">G13-F13</f>
        <v>-0.40000000000145519</v>
      </c>
      <c r="I13" t="s">
        <v>1706</v>
      </c>
      <c r="K13" s="31"/>
      <c r="L13" s="31">
        <v>43469</v>
      </c>
      <c r="M13" s="28" t="s">
        <v>45</v>
      </c>
      <c r="O13" s="2">
        <v>35.4</v>
      </c>
      <c r="P13" s="32"/>
      <c r="Q13" s="69">
        <v>21300</v>
      </c>
      <c r="R13" s="2"/>
      <c r="S13" s="33"/>
      <c r="T13" s="33">
        <f>X13*F13*0.0045</f>
        <v>3400.0512948236428</v>
      </c>
      <c r="U13" s="2">
        <f>E13*5</f>
        <v>1175</v>
      </c>
      <c r="W13" s="2">
        <v>0.3</v>
      </c>
      <c r="X13" s="2">
        <f>((O13*F13)+Q13+R13+S13+U13)/G13</f>
        <v>36.486013135020279</v>
      </c>
      <c r="Y13" s="2">
        <f>((O13*F13)+Q13+R13+S13+T13+U13)/G13+W13</f>
        <v>36.950203365598973</v>
      </c>
      <c r="Z13" s="3">
        <f>Y13*G13</f>
        <v>765164.81129482354</v>
      </c>
      <c r="AA13" s="34">
        <v>43476</v>
      </c>
      <c r="AB13" s="3"/>
      <c r="AC13" s="35"/>
    </row>
    <row r="14" spans="1:29" x14ac:dyDescent="0.25">
      <c r="A14" s="26"/>
      <c r="B14" s="27" t="s">
        <v>26</v>
      </c>
      <c r="C14" t="s">
        <v>27</v>
      </c>
      <c r="D14" s="28" t="s">
        <v>1634</v>
      </c>
      <c r="E14">
        <f>120+10</f>
        <v>130</v>
      </c>
      <c r="F14" s="29">
        <f>13765+1145</f>
        <v>14910</v>
      </c>
      <c r="G14" s="30">
        <v>11950</v>
      </c>
      <c r="H14" s="30">
        <f t="shared" si="12"/>
        <v>-2960</v>
      </c>
      <c r="I14" s="28" t="s">
        <v>1635</v>
      </c>
      <c r="K14" s="31"/>
      <c r="L14" s="31">
        <v>43469</v>
      </c>
      <c r="M14" s="28" t="s">
        <v>45</v>
      </c>
      <c r="O14" s="2">
        <v>27.5</v>
      </c>
      <c r="P14" s="32"/>
      <c r="Q14" s="116">
        <v>16900</v>
      </c>
      <c r="R14" s="2">
        <f>72*E14</f>
        <v>9360</v>
      </c>
      <c r="S14" s="33">
        <f>-38*E14</f>
        <v>-4940</v>
      </c>
      <c r="T14" s="33">
        <f>X14*F14*0.0045</f>
        <v>2425.4982866108785</v>
      </c>
      <c r="U14" s="2">
        <f>E14*5</f>
        <v>650</v>
      </c>
      <c r="W14" s="2">
        <v>0.3</v>
      </c>
      <c r="X14" s="2">
        <f>((O14*F14)+Q14+R14+S14+U14)/G14</f>
        <v>36.150209205020921</v>
      </c>
      <c r="Y14" s="2">
        <f>((O14*F14)+Q14+R14+S14+T14+U14)/G14+W14</f>
        <v>36.653179772938145</v>
      </c>
      <c r="Z14" s="3">
        <f>Y14*G14</f>
        <v>438005.49828661082</v>
      </c>
      <c r="AA14" s="34">
        <v>43482</v>
      </c>
      <c r="AB14" s="3"/>
      <c r="AC14" s="35" t="s">
        <v>1651</v>
      </c>
    </row>
    <row r="15" spans="1:29" x14ac:dyDescent="0.25">
      <c r="A15" s="26"/>
      <c r="B15" s="27" t="s">
        <v>30</v>
      </c>
      <c r="C15" t="s">
        <v>40</v>
      </c>
      <c r="D15" s="28" t="s">
        <v>40</v>
      </c>
      <c r="E15" t="s">
        <v>37</v>
      </c>
      <c r="F15" s="29">
        <f>41671*0.4536</f>
        <v>18901.9656</v>
      </c>
      <c r="G15" s="30">
        <v>18909.27</v>
      </c>
      <c r="H15" s="30">
        <f t="shared" si="12"/>
        <v>7.3044000000008964</v>
      </c>
      <c r="I15" s="28" t="s">
        <v>206</v>
      </c>
      <c r="J15" s="52" t="s">
        <v>196</v>
      </c>
      <c r="K15" s="31">
        <v>43469</v>
      </c>
      <c r="L15" s="31">
        <v>43470</v>
      </c>
      <c r="M15" s="28" t="s">
        <v>46</v>
      </c>
      <c r="N15" s="28" t="s">
        <v>47</v>
      </c>
      <c r="O15" s="2"/>
      <c r="P15" s="32">
        <f>0.4568+0.105</f>
        <v>0.56179999999999997</v>
      </c>
      <c r="Q15" s="116">
        <v>26000</v>
      </c>
      <c r="R15" s="2">
        <v>92277</v>
      </c>
      <c r="S15" s="68">
        <v>19.71</v>
      </c>
      <c r="T15" s="33">
        <f>X15*F15*0.005</f>
        <v>2909.6440366549778</v>
      </c>
      <c r="V15" s="2">
        <v>0.12</v>
      </c>
      <c r="W15" s="2">
        <v>0.3</v>
      </c>
      <c r="X15" s="2">
        <f>IF(O15&gt;0,O15,((P15*2.2046*S15)+(Q15+R15)/G15)+V15)</f>
        <v>30.786682170821194</v>
      </c>
      <c r="Y15" s="2">
        <f>IF(O15&gt;0,O15,((P15*2.2046*S15)+(Q15+R15+T15)/G15)+V15+W15)</f>
        <v>31.240556119241994</v>
      </c>
      <c r="Z15" s="3">
        <f>Y15*F15</f>
        <v>590507.91709078162</v>
      </c>
      <c r="AA15" s="34">
        <v>43465</v>
      </c>
      <c r="AB15" s="3"/>
      <c r="AC15" s="35"/>
    </row>
    <row r="16" spans="1:29" x14ac:dyDescent="0.25">
      <c r="A16" s="26"/>
      <c r="B16" s="27" t="s">
        <v>1732</v>
      </c>
      <c r="C16" t="s">
        <v>1810</v>
      </c>
      <c r="D16" s="28" t="s">
        <v>1806</v>
      </c>
      <c r="E16" t="s">
        <v>1811</v>
      </c>
      <c r="F16" s="29">
        <v>1634.4</v>
      </c>
      <c r="G16" s="30">
        <v>1634.4</v>
      </c>
      <c r="H16" s="30">
        <f t="shared" si="12"/>
        <v>0</v>
      </c>
      <c r="I16" s="28" t="s">
        <v>1812</v>
      </c>
      <c r="K16" s="31"/>
      <c r="L16" s="31">
        <v>43470</v>
      </c>
      <c r="M16" s="28" t="s">
        <v>46</v>
      </c>
      <c r="N16" s="28"/>
      <c r="O16" s="2">
        <v>64</v>
      </c>
      <c r="P16" s="32"/>
      <c r="Q16" s="2"/>
      <c r="R16" s="2"/>
      <c r="S16" s="68"/>
      <c r="T16" s="33"/>
      <c r="V16" s="2"/>
      <c r="W16" s="2"/>
      <c r="X16" s="2">
        <f>IF(O16&gt;0,O16,((P16*2.2046*S16)+(Q16+R16)/G16)+V16)</f>
        <v>64</v>
      </c>
      <c r="Y16" s="2">
        <f>IF(O16&gt;0,O16,((P16*2.2046*S16)+(Q16+R16+T16)/G16)+V16+W16)</f>
        <v>64</v>
      </c>
      <c r="Z16" s="3">
        <f>Y16*F16</f>
        <v>104601.60000000001</v>
      </c>
      <c r="AA16" s="34">
        <v>43480</v>
      </c>
      <c r="AB16" s="3"/>
      <c r="AC16" s="35"/>
    </row>
    <row r="17" spans="1:32" ht="15.75" thickBot="1" x14ac:dyDescent="0.3">
      <c r="A17" s="40"/>
      <c r="B17" s="41"/>
      <c r="C17" s="4"/>
      <c r="D17" s="4"/>
      <c r="E17" s="4"/>
      <c r="F17" s="42"/>
      <c r="G17" s="42"/>
      <c r="H17" s="42"/>
      <c r="I17" s="7"/>
      <c r="J17" s="4"/>
      <c r="K17" s="8"/>
      <c r="L17" s="8"/>
      <c r="M17" s="4"/>
      <c r="N17" s="4"/>
      <c r="O17" s="9"/>
      <c r="P17" s="10"/>
      <c r="Q17" s="9"/>
      <c r="R17" s="9"/>
      <c r="S17" s="9"/>
      <c r="T17" s="9"/>
      <c r="U17" s="9"/>
      <c r="V17" s="9"/>
      <c r="W17" s="9"/>
      <c r="X17" s="9"/>
      <c r="Y17" s="9"/>
      <c r="Z17" s="13"/>
      <c r="AA17" s="43"/>
      <c r="AB17" s="3"/>
      <c r="AC17" s="35"/>
    </row>
    <row r="18" spans="1:32" ht="15.75" thickTop="1" x14ac:dyDescent="0.25">
      <c r="A18" s="44"/>
      <c r="B18" s="14" t="s">
        <v>26</v>
      </c>
      <c r="C18" s="14" t="s">
        <v>27</v>
      </c>
      <c r="D18" s="15" t="s">
        <v>1682</v>
      </c>
      <c r="E18" s="14">
        <v>230</v>
      </c>
      <c r="F18" s="16">
        <v>24440</v>
      </c>
      <c r="G18" s="17">
        <v>16990</v>
      </c>
      <c r="H18" s="18">
        <f t="shared" ref="H18:H21" si="13">G18-F18</f>
        <v>-7450</v>
      </c>
      <c r="I18" s="19" t="s">
        <v>1683</v>
      </c>
      <c r="J18" s="121">
        <v>200</v>
      </c>
      <c r="K18" s="20"/>
      <c r="L18" s="20">
        <v>43471</v>
      </c>
      <c r="M18" s="15" t="s">
        <v>28</v>
      </c>
      <c r="N18" s="14"/>
      <c r="O18" s="21">
        <v>28</v>
      </c>
      <c r="P18" s="22"/>
      <c r="Q18" s="120">
        <v>21300</v>
      </c>
      <c r="R18" s="2">
        <f>72*E18</f>
        <v>16560</v>
      </c>
      <c r="S18" s="21">
        <f>-38*E18</f>
        <v>-8740</v>
      </c>
      <c r="T18" s="23">
        <f>X18*F18*0.0045</f>
        <v>4625.6979517363152</v>
      </c>
      <c r="U18" s="21">
        <f>E18*5</f>
        <v>1150</v>
      </c>
      <c r="V18" s="14"/>
      <c r="W18" s="21">
        <v>0.3</v>
      </c>
      <c r="X18" s="21">
        <f>((O18*F18)+Q18+R18+S18+U18)/G18</f>
        <v>42.059446733372575</v>
      </c>
      <c r="Y18" s="24">
        <f>((O18*F18)+Q18+R18+S18+T18+U18)/G18+W18</f>
        <v>42.631706765846744</v>
      </c>
      <c r="Z18" s="24">
        <f>Y18*G18</f>
        <v>724312.69795173616</v>
      </c>
      <c r="AA18" s="25">
        <v>43486</v>
      </c>
      <c r="AB18" s="3"/>
      <c r="AC18" s="3"/>
    </row>
    <row r="19" spans="1:32" x14ac:dyDescent="0.25">
      <c r="A19" s="45"/>
      <c r="B19" s="27" t="s">
        <v>26</v>
      </c>
      <c r="C19" t="s">
        <v>27</v>
      </c>
      <c r="D19" s="28" t="s">
        <v>1684</v>
      </c>
      <c r="E19">
        <v>100</v>
      </c>
      <c r="F19" s="29">
        <v>10780</v>
      </c>
      <c r="G19" s="30">
        <v>11170</v>
      </c>
      <c r="H19" s="30">
        <f t="shared" si="13"/>
        <v>390</v>
      </c>
      <c r="I19" s="28" t="s">
        <v>1685</v>
      </c>
      <c r="J19" s="55">
        <v>130</v>
      </c>
      <c r="K19" s="31"/>
      <c r="L19" s="31">
        <v>43471</v>
      </c>
      <c r="M19" s="28" t="s">
        <v>28</v>
      </c>
      <c r="O19" s="2">
        <v>28</v>
      </c>
      <c r="P19" s="32"/>
      <c r="Q19" s="116">
        <v>16900</v>
      </c>
      <c r="R19" s="2">
        <f>72*E19</f>
        <v>7200</v>
      </c>
      <c r="S19" s="33">
        <f>-38*E19</f>
        <v>-3800</v>
      </c>
      <c r="T19" s="33">
        <f>X19*F19*0.0045</f>
        <v>1401.1876812891671</v>
      </c>
      <c r="U19" s="2">
        <f>E19*5</f>
        <v>500</v>
      </c>
      <c r="W19" s="2">
        <v>0.3</v>
      </c>
      <c r="X19" s="2">
        <f>((O19*F19)+Q19+R19+S19+U19)/G19</f>
        <v>28.884512085944493</v>
      </c>
      <c r="Y19" s="2">
        <f>((O19*F19)+Q19+R19+S19+T19+U19)/G19+W19</f>
        <v>29.309954134403686</v>
      </c>
      <c r="Z19" s="3">
        <f>Y19*G19</f>
        <v>327392.18768128916</v>
      </c>
      <c r="AA19" s="34">
        <v>43486</v>
      </c>
      <c r="AB19" s="3">
        <v>37.5</v>
      </c>
      <c r="AC19" s="35" t="s">
        <v>1687</v>
      </c>
    </row>
    <row r="20" spans="1:32" x14ac:dyDescent="0.25">
      <c r="A20" s="45"/>
      <c r="B20" s="27" t="s">
        <v>26</v>
      </c>
      <c r="C20" t="s">
        <v>27</v>
      </c>
      <c r="D20" s="28" t="s">
        <v>1682</v>
      </c>
      <c r="E20">
        <v>220</v>
      </c>
      <c r="F20" s="29">
        <v>25025</v>
      </c>
      <c r="G20" s="30">
        <f>13770+6340</f>
        <v>20110</v>
      </c>
      <c r="H20" s="30">
        <f t="shared" si="13"/>
        <v>-4915</v>
      </c>
      <c r="I20" s="28" t="s">
        <v>1686</v>
      </c>
      <c r="K20" s="31"/>
      <c r="L20" s="31">
        <v>43472</v>
      </c>
      <c r="M20" s="28" t="s">
        <v>29</v>
      </c>
      <c r="O20" s="2">
        <v>28</v>
      </c>
      <c r="P20" s="32"/>
      <c r="Q20" s="69">
        <v>21300</v>
      </c>
      <c r="R20" s="2">
        <f>72*E20</f>
        <v>15840</v>
      </c>
      <c r="S20" s="33">
        <f>-38*E20</f>
        <v>-8360</v>
      </c>
      <c r="T20" s="33">
        <f>X20*F20*0.0045</f>
        <v>4091.1208478368967</v>
      </c>
      <c r="U20" s="2">
        <f>E20*5</f>
        <v>1100</v>
      </c>
      <c r="W20" s="2">
        <v>0.3</v>
      </c>
      <c r="X20" s="2">
        <f>((O20*F20)+Q20+R20+S20+U20)/G20</f>
        <v>36.329189457981101</v>
      </c>
      <c r="Y20" s="2">
        <f>((O20*F20)+Q20+R20+S20+T20+U20)/G20+W20</f>
        <v>36.832626596113222</v>
      </c>
      <c r="Z20" s="3">
        <f>Y20*G20</f>
        <v>740704.12084783695</v>
      </c>
      <c r="AA20" s="34">
        <v>43486</v>
      </c>
      <c r="AB20" s="3"/>
      <c r="AC20" s="35" t="s">
        <v>1688</v>
      </c>
    </row>
    <row r="21" spans="1:32" x14ac:dyDescent="0.25">
      <c r="A21" s="45"/>
      <c r="B21" s="27" t="s">
        <v>30</v>
      </c>
      <c r="C21" s="28" t="s">
        <v>1790</v>
      </c>
      <c r="D21" s="28" t="s">
        <v>1790</v>
      </c>
      <c r="E21" t="s">
        <v>32</v>
      </c>
      <c r="F21" s="29">
        <f>41588*0.4536</f>
        <v>18864.316800000001</v>
      </c>
      <c r="G21" s="30">
        <v>18589.400000000001</v>
      </c>
      <c r="H21" s="30">
        <f t="shared" si="13"/>
        <v>-274.91679999999906</v>
      </c>
      <c r="I21" s="28" t="s">
        <v>1645</v>
      </c>
      <c r="J21" s="52" t="s">
        <v>196</v>
      </c>
      <c r="K21" s="31">
        <v>43472</v>
      </c>
      <c r="L21" s="31">
        <v>43473</v>
      </c>
      <c r="M21" s="28" t="s">
        <v>48</v>
      </c>
      <c r="N21" s="28" t="s">
        <v>1640</v>
      </c>
      <c r="O21" s="2"/>
      <c r="P21" s="32">
        <f>0.4522+0.095</f>
        <v>0.54720000000000002</v>
      </c>
      <c r="Q21" s="116">
        <v>26000</v>
      </c>
      <c r="R21" s="2">
        <v>89976</v>
      </c>
      <c r="S21" s="68">
        <v>19.184999999999999</v>
      </c>
      <c r="T21" s="33">
        <f t="shared" ref="T21" si="14">X21*F21*0.005</f>
        <v>2782.749472411555</v>
      </c>
      <c r="V21" s="2">
        <v>0.12</v>
      </c>
      <c r="W21" s="2">
        <v>0.3</v>
      </c>
      <c r="X21" s="2">
        <f>IF(O21&gt;0,O21,((P21*2.2046*S21)+(Q21+R21)/G21)+V21)</f>
        <v>29.502785623400417</v>
      </c>
      <c r="Y21" s="2">
        <f>IF(O21&gt;0,O21,((P21*2.2046*S21)+(Q21+R21+T21)/G21)+V21+W21)</f>
        <v>29.952481120426228</v>
      </c>
      <c r="Z21" s="3">
        <f>Y21*F21</f>
        <v>565033.09280173935</v>
      </c>
      <c r="AA21" s="34">
        <v>43476</v>
      </c>
      <c r="AB21" s="3"/>
      <c r="AC21" s="35"/>
    </row>
    <row r="22" spans="1:32" x14ac:dyDescent="0.25">
      <c r="A22" s="45"/>
      <c r="B22" s="27" t="s">
        <v>30</v>
      </c>
      <c r="C22" s="28" t="s">
        <v>35</v>
      </c>
      <c r="D22" s="28" t="s">
        <v>36</v>
      </c>
      <c r="E22" t="s">
        <v>37</v>
      </c>
      <c r="F22" s="29">
        <f>41716*0.4536</f>
        <v>18922.3776</v>
      </c>
      <c r="G22" s="30">
        <v>18262.87</v>
      </c>
      <c r="H22" s="122">
        <f>G22-F22</f>
        <v>-659.50760000000082</v>
      </c>
      <c r="I22" t="s">
        <v>1646</v>
      </c>
      <c r="J22" s="52" t="s">
        <v>196</v>
      </c>
      <c r="K22" s="31">
        <v>43472</v>
      </c>
      <c r="L22" s="31">
        <v>43473</v>
      </c>
      <c r="M22" s="28" t="s">
        <v>48</v>
      </c>
      <c r="N22" s="28" t="s">
        <v>1641</v>
      </c>
      <c r="O22" s="2"/>
      <c r="P22" s="32">
        <f>0.4522+0.1</f>
        <v>0.55220000000000002</v>
      </c>
      <c r="Q22" s="116">
        <v>26000</v>
      </c>
      <c r="R22" s="2">
        <v>94513</v>
      </c>
      <c r="S22" s="68">
        <v>19.265000000000001</v>
      </c>
      <c r="T22" s="33">
        <f>X22*F22*0.005</f>
        <v>2854.5945526551413</v>
      </c>
      <c r="V22" s="2">
        <v>0.12</v>
      </c>
      <c r="W22" s="2">
        <v>0.3</v>
      </c>
      <c r="X22" s="2">
        <f>IF(O22&gt;0,O22,((P22*2.2046*S22)+(Q22+R22)/G22)+V22)</f>
        <v>30.171626557702151</v>
      </c>
      <c r="Y22" s="2">
        <f>IF(O22&gt;0,O22,((P22*2.2046*S22)+(Q22+R22+T22)/G22)+V22+W22)</f>
        <v>30.627932469787993</v>
      </c>
      <c r="Z22" s="3">
        <f>Y22*F22</f>
        <v>579553.30330062902</v>
      </c>
      <c r="AA22" s="34">
        <v>43475</v>
      </c>
      <c r="AB22" s="3"/>
      <c r="AC22" s="35" t="s">
        <v>1701</v>
      </c>
    </row>
    <row r="23" spans="1:32" x14ac:dyDescent="0.25">
      <c r="A23" s="45"/>
      <c r="B23" s="27" t="s">
        <v>26</v>
      </c>
      <c r="C23" t="s">
        <v>27</v>
      </c>
      <c r="D23" s="28" t="s">
        <v>1682</v>
      </c>
      <c r="E23">
        <v>220</v>
      </c>
      <c r="F23" s="29">
        <v>24015</v>
      </c>
      <c r="G23" s="30">
        <f>13090+6070</f>
        <v>19160</v>
      </c>
      <c r="H23" s="30">
        <f>G23-F23</f>
        <v>-4855</v>
      </c>
      <c r="I23" s="28" t="s">
        <v>1698</v>
      </c>
      <c r="K23" s="31"/>
      <c r="L23" s="31">
        <v>43473</v>
      </c>
      <c r="M23" s="28" t="s">
        <v>48</v>
      </c>
      <c r="O23" s="2">
        <v>28</v>
      </c>
      <c r="P23" s="32"/>
      <c r="Q23" s="69">
        <v>21300</v>
      </c>
      <c r="R23" s="2">
        <f>72*E23</f>
        <v>15840</v>
      </c>
      <c r="S23" s="33">
        <f>-38*E23</f>
        <v>-8360</v>
      </c>
      <c r="T23" s="33">
        <f>X23*F23*0.005</f>
        <v>4401.2877087682664</v>
      </c>
      <c r="U23" s="2">
        <f>E23*5</f>
        <v>1100</v>
      </c>
      <c r="W23" s="2">
        <v>0.3</v>
      </c>
      <c r="X23" s="2">
        <f>((O23*F23)+Q23+R23+S23+U23)/G23</f>
        <v>36.6544885177453</v>
      </c>
      <c r="Y23" s="2">
        <f>((O23*F23)+Q23+R23+S23+T23+U23)/G23+W23</f>
        <v>37.184200819873084</v>
      </c>
      <c r="Z23" s="3">
        <f>Y23*G23</f>
        <v>712449.28770876827</v>
      </c>
      <c r="AA23" s="34">
        <v>43487</v>
      </c>
      <c r="AB23" s="3"/>
      <c r="AC23" s="35" t="s">
        <v>1699</v>
      </c>
      <c r="AF23" s="30"/>
    </row>
    <row r="24" spans="1:32" x14ac:dyDescent="0.25">
      <c r="A24" s="45"/>
      <c r="B24" s="27" t="s">
        <v>30</v>
      </c>
      <c r="C24" s="28" t="s">
        <v>31</v>
      </c>
      <c r="D24" s="28" t="s">
        <v>31</v>
      </c>
      <c r="E24" t="s">
        <v>32</v>
      </c>
      <c r="F24" s="29">
        <f>41951*0.4536</f>
        <v>19028.973600000001</v>
      </c>
      <c r="G24" s="30">
        <v>18956.23</v>
      </c>
      <c r="H24" s="30">
        <f t="shared" ref="H24:H25" si="15">G24-F24</f>
        <v>-72.743600000001607</v>
      </c>
      <c r="I24" s="28" t="s">
        <v>830</v>
      </c>
      <c r="J24" s="52" t="s">
        <v>1690</v>
      </c>
      <c r="K24" s="31">
        <v>43473</v>
      </c>
      <c r="L24" s="31">
        <v>43474</v>
      </c>
      <c r="M24" s="28" t="s">
        <v>33</v>
      </c>
      <c r="N24" s="28" t="s">
        <v>1640</v>
      </c>
      <c r="O24" s="2"/>
      <c r="P24" s="32">
        <f>0.4522+0.095</f>
        <v>0.54720000000000002</v>
      </c>
      <c r="Q24" s="116">
        <v>26000</v>
      </c>
      <c r="R24" s="2">
        <v>87874</v>
      </c>
      <c r="S24" s="68">
        <v>19.690000000000001</v>
      </c>
      <c r="T24" s="33">
        <f t="shared" ref="T24:T25" si="16">X24*F24*0.005</f>
        <v>2842.964698815435</v>
      </c>
      <c r="V24" s="2">
        <v>0.12</v>
      </c>
      <c r="W24" s="2">
        <v>0.3</v>
      </c>
      <c r="X24" s="2">
        <f>IF(O24&gt;0,O24,((P24*2.2046*S24)+(Q24+R24)/G24)+V24)</f>
        <v>29.880378822065683</v>
      </c>
      <c r="Y24" s="2">
        <f>IF(O24&gt;0,O24,((P24*2.2046*S24)+(Q24+R24+T24)/G24)+V24+W24)</f>
        <v>30.330354038594258</v>
      </c>
      <c r="Z24" s="3">
        <f>Y24*F24</f>
        <v>577155.50627906353</v>
      </c>
      <c r="AA24" s="34">
        <v>43467</v>
      </c>
      <c r="AB24" s="3"/>
      <c r="AC24" s="35"/>
    </row>
    <row r="25" spans="1:32" x14ac:dyDescent="0.25">
      <c r="A25" s="45"/>
      <c r="B25" s="27" t="s">
        <v>30</v>
      </c>
      <c r="C25" s="28" t="s">
        <v>31</v>
      </c>
      <c r="D25" s="28" t="s">
        <v>31</v>
      </c>
      <c r="E25" t="s">
        <v>32</v>
      </c>
      <c r="F25" s="29">
        <f>40464*0.4536</f>
        <v>18354.470399999998</v>
      </c>
      <c r="G25" s="30">
        <v>18252.53</v>
      </c>
      <c r="H25" s="30">
        <f t="shared" si="15"/>
        <v>-101.9403999999995</v>
      </c>
      <c r="I25" s="28" t="s">
        <v>831</v>
      </c>
      <c r="J25" s="52" t="s">
        <v>196</v>
      </c>
      <c r="K25" s="31">
        <v>43473</v>
      </c>
      <c r="L25" s="31">
        <v>43474</v>
      </c>
      <c r="M25" s="28" t="s">
        <v>33</v>
      </c>
      <c r="N25" s="28" t="s">
        <v>1640</v>
      </c>
      <c r="O25" s="2"/>
      <c r="P25" s="32">
        <f>0.4522+0.095</f>
        <v>0.54720000000000002</v>
      </c>
      <c r="Q25" s="116">
        <v>26000</v>
      </c>
      <c r="R25" s="2">
        <v>87418</v>
      </c>
      <c r="S25" s="68">
        <v>19.690000000000001</v>
      </c>
      <c r="T25" s="33">
        <f t="shared" si="16"/>
        <v>2761.1543142179062</v>
      </c>
      <c r="V25" s="2">
        <v>0.12</v>
      </c>
      <c r="W25" s="2">
        <v>0.3</v>
      </c>
      <c r="X25" s="2">
        <f t="shared" ref="X25" si="17">IF(O25&gt;0,O25,((P25*2.2046*S25)+(Q25+R25)/G25)+V25)</f>
        <v>30.086995201102688</v>
      </c>
      <c r="Y25" s="2">
        <f t="shared" ref="Y25" si="18">IF(O25&gt;0,O25,((P25*2.2046*S25)+(Q25+R25+T25)/G25)+V25+W25)</f>
        <v>30.538270356613619</v>
      </c>
      <c r="Z25" s="3">
        <f t="shared" ref="Z25" si="19">Y25*F25</f>
        <v>560513.77932766208</v>
      </c>
      <c r="AA25" s="34">
        <v>43467</v>
      </c>
      <c r="AB25" s="3"/>
      <c r="AC25" s="35"/>
    </row>
    <row r="26" spans="1:32" x14ac:dyDescent="0.25">
      <c r="A26" s="45"/>
      <c r="B26" s="27" t="s">
        <v>26</v>
      </c>
      <c r="C26" t="s">
        <v>27</v>
      </c>
      <c r="D26" s="28" t="s">
        <v>1682</v>
      </c>
      <c r="E26">
        <f>110+109</f>
        <v>219</v>
      </c>
      <c r="F26" s="29">
        <f>11450+11926</f>
        <v>23376</v>
      </c>
      <c r="G26" s="30">
        <f>12640+5750</f>
        <v>18390</v>
      </c>
      <c r="H26" s="30">
        <f t="shared" ref="H26:H30" si="20">G26-F26</f>
        <v>-4986</v>
      </c>
      <c r="I26" s="28" t="s">
        <v>1708</v>
      </c>
      <c r="K26" s="31"/>
      <c r="L26" s="31">
        <v>43474</v>
      </c>
      <c r="M26" s="28" t="s">
        <v>33</v>
      </c>
      <c r="O26" s="2">
        <v>27.5</v>
      </c>
      <c r="P26" s="32"/>
      <c r="Q26" s="69">
        <v>21300</v>
      </c>
      <c r="R26" s="2">
        <f>72*E26</f>
        <v>15768</v>
      </c>
      <c r="S26" s="33">
        <f>-38*E26</f>
        <v>-8322</v>
      </c>
      <c r="T26" s="33">
        <f t="shared" ref="T26" si="21">X26*F26*0.005</f>
        <v>4275.3102381729204</v>
      </c>
      <c r="U26" s="2">
        <f>E26*5</f>
        <v>1095</v>
      </c>
      <c r="W26" s="2">
        <v>0.3</v>
      </c>
      <c r="X26" s="2">
        <f t="shared" ref="X26" si="22">((O26*F26)+Q26+R26+S26+U26)/G26</f>
        <v>36.578629690048942</v>
      </c>
      <c r="Y26" s="2">
        <f>((O26*F26)+Q26+R26+S26+T26+U26)/G26+W26</f>
        <v>37.111109855256814</v>
      </c>
      <c r="Z26" s="3">
        <f>Y26*G26</f>
        <v>682473.31023817277</v>
      </c>
      <c r="AA26" s="34">
        <v>43487</v>
      </c>
      <c r="AB26" s="3"/>
      <c r="AC26" s="35" t="s">
        <v>1709</v>
      </c>
    </row>
    <row r="27" spans="1:32" x14ac:dyDescent="0.25">
      <c r="A27" s="45"/>
      <c r="B27" s="27" t="s">
        <v>1789</v>
      </c>
      <c r="C27" s="28" t="s">
        <v>1790</v>
      </c>
      <c r="D27" s="28" t="s">
        <v>1734</v>
      </c>
      <c r="E27" t="s">
        <v>1791</v>
      </c>
      <c r="F27" s="29">
        <v>2010.61</v>
      </c>
      <c r="G27" s="30">
        <v>2009.75</v>
      </c>
      <c r="H27" s="30">
        <f t="shared" si="20"/>
        <v>-0.85999999999989996</v>
      </c>
      <c r="I27" s="28" t="s">
        <v>1792</v>
      </c>
      <c r="K27" s="31"/>
      <c r="L27" s="31">
        <v>43474</v>
      </c>
      <c r="M27" s="28" t="s">
        <v>33</v>
      </c>
      <c r="O27" s="2">
        <v>54</v>
      </c>
      <c r="P27" s="32"/>
      <c r="Q27" s="2"/>
      <c r="R27" s="2"/>
      <c r="S27" s="33"/>
      <c r="T27" s="33"/>
      <c r="U27" s="2"/>
      <c r="W27" s="2"/>
      <c r="X27" s="2">
        <f>IF(O27&gt;0,O27,((P27*2.2046*S27)+(Q27+R27)/G27)+V27)</f>
        <v>54</v>
      </c>
      <c r="Y27" s="2">
        <f>IF(O27&gt;0,O27,((P27*2.2046*S27)+(Q27+R27+T27)/G27)+V27+W27)</f>
        <v>54</v>
      </c>
      <c r="Z27" s="3">
        <f>Y27*F27</f>
        <v>108572.93999999999</v>
      </c>
      <c r="AA27" s="34">
        <v>43481</v>
      </c>
      <c r="AB27" s="3"/>
      <c r="AC27" s="35"/>
    </row>
    <row r="28" spans="1:32" x14ac:dyDescent="0.25">
      <c r="A28" s="45"/>
      <c r="B28" s="27" t="s">
        <v>1799</v>
      </c>
      <c r="C28" s="28" t="s">
        <v>1800</v>
      </c>
      <c r="D28" s="28" t="s">
        <v>1731</v>
      </c>
      <c r="E28" t="s">
        <v>1801</v>
      </c>
      <c r="F28" s="29">
        <v>4999.3</v>
      </c>
      <c r="G28" s="30">
        <v>4999.3100000000004</v>
      </c>
      <c r="H28" s="30">
        <f t="shared" si="20"/>
        <v>1.0000000000218279E-2</v>
      </c>
      <c r="I28" s="28" t="s">
        <v>1802</v>
      </c>
      <c r="K28" s="31"/>
      <c r="L28" s="31">
        <v>43474</v>
      </c>
      <c r="M28" s="28" t="s">
        <v>33</v>
      </c>
      <c r="O28" s="2">
        <v>96.5</v>
      </c>
      <c r="P28" s="32"/>
      <c r="Q28" s="2"/>
      <c r="R28" s="2"/>
      <c r="S28" s="33"/>
      <c r="T28" s="33"/>
      <c r="U28" s="2"/>
      <c r="W28" s="2"/>
      <c r="X28" s="2">
        <f>IF(O28&gt;0,O28,((P28*2.2046*S28)+(Q28+R28)/G28)+V28)</f>
        <v>96.5</v>
      </c>
      <c r="Y28" s="2">
        <f>IF(O28&gt;0,O28,((P28*2.2046*S28)+(Q28+R28+T28)/G28)+V28+W28)</f>
        <v>96.5</v>
      </c>
      <c r="Z28" s="3">
        <f>Y28*F28</f>
        <v>482432.45</v>
      </c>
      <c r="AA28" s="34">
        <v>43495</v>
      </c>
      <c r="AB28" s="3"/>
      <c r="AC28" s="35"/>
    </row>
    <row r="29" spans="1:32" x14ac:dyDescent="0.25">
      <c r="A29" s="45"/>
      <c r="B29" s="27" t="s">
        <v>1805</v>
      </c>
      <c r="C29" s="28" t="s">
        <v>1814</v>
      </c>
      <c r="D29" s="28" t="s">
        <v>1806</v>
      </c>
      <c r="E29" t="s">
        <v>1815</v>
      </c>
      <c r="F29" s="29">
        <f>1002+951.1+981.6</f>
        <v>2934.7</v>
      </c>
      <c r="G29" s="30">
        <v>2934.7</v>
      </c>
      <c r="H29" s="30">
        <f t="shared" si="20"/>
        <v>0</v>
      </c>
      <c r="I29" s="28" t="s">
        <v>1816</v>
      </c>
      <c r="K29" s="31"/>
      <c r="L29" s="31">
        <v>43474</v>
      </c>
      <c r="M29" s="28" t="s">
        <v>33</v>
      </c>
      <c r="O29" s="2">
        <v>18.5</v>
      </c>
      <c r="P29" s="32"/>
      <c r="Q29" s="2"/>
      <c r="R29" s="2"/>
      <c r="S29" s="33"/>
      <c r="T29" s="33"/>
      <c r="U29" s="2"/>
      <c r="W29" s="2"/>
      <c r="X29" s="2">
        <f>IF(O29&gt;0,O29,((P29*2.2046*S29)+(Q29+R29)/G29)+V29)</f>
        <v>18.5</v>
      </c>
      <c r="Y29" s="2">
        <f>IF(O29&gt;0,O29,((P29*2.2046*S29)+(Q29+R29+T29)/G29)+V29+W29)</f>
        <v>18.5</v>
      </c>
      <c r="Z29" s="3">
        <f>Y29*F29</f>
        <v>54291.95</v>
      </c>
      <c r="AA29" s="34">
        <v>43481</v>
      </c>
      <c r="AB29" s="3"/>
      <c r="AC29" s="35"/>
    </row>
    <row r="30" spans="1:32" x14ac:dyDescent="0.25">
      <c r="A30" s="45"/>
      <c r="B30" s="27" t="s">
        <v>30</v>
      </c>
      <c r="C30" s="28" t="s">
        <v>40</v>
      </c>
      <c r="D30" s="28" t="s">
        <v>40</v>
      </c>
      <c r="E30" t="s">
        <v>37</v>
      </c>
      <c r="F30" s="29">
        <f>42139*0.4536</f>
        <v>19114.250400000001</v>
      </c>
      <c r="G30" s="30">
        <v>19045.02</v>
      </c>
      <c r="H30" s="30">
        <f t="shared" si="20"/>
        <v>-69.230400000000373</v>
      </c>
      <c r="I30" t="s">
        <v>1648</v>
      </c>
      <c r="J30" s="52" t="s">
        <v>196</v>
      </c>
      <c r="K30" s="31">
        <v>43474</v>
      </c>
      <c r="L30" s="31">
        <v>43475</v>
      </c>
      <c r="M30" s="28" t="s">
        <v>41</v>
      </c>
      <c r="N30" s="28" t="s">
        <v>1642</v>
      </c>
      <c r="O30" s="2"/>
      <c r="P30" s="32">
        <f>0.4546+0.105</f>
        <v>0.55959999999999999</v>
      </c>
      <c r="Q30" s="116">
        <v>26000</v>
      </c>
      <c r="R30" s="2">
        <v>91869</v>
      </c>
      <c r="S30" s="68">
        <v>19.71</v>
      </c>
      <c r="T30" s="33">
        <f>X30*F30*0.005</f>
        <v>2926.8771309830772</v>
      </c>
      <c r="V30" s="2">
        <v>0.12</v>
      </c>
      <c r="W30" s="2">
        <v>0.3</v>
      </c>
      <c r="X30" s="2">
        <f>IF(O30&gt;0,O30,((P30*2.2046*S30)+(Q30+R30)/G30)+V30)</f>
        <v>30.625078878145043</v>
      </c>
      <c r="Y30" s="2">
        <f>IF(O30&gt;0,O30,((P30*2.2046*S30)+(Q30+R30+T30)/G30)+V30+W30)</f>
        <v>31.078760897433188</v>
      </c>
      <c r="Z30" s="3">
        <f>Y30*F30</f>
        <v>594047.21791526675</v>
      </c>
      <c r="AA30" s="34">
        <v>43468</v>
      </c>
      <c r="AB30" s="3"/>
      <c r="AC30" s="35"/>
    </row>
    <row r="31" spans="1:32" x14ac:dyDescent="0.25">
      <c r="A31" s="45"/>
      <c r="B31" s="27" t="s">
        <v>26</v>
      </c>
      <c r="C31" t="s">
        <v>27</v>
      </c>
      <c r="D31" s="28" t="s">
        <v>1718</v>
      </c>
      <c r="E31">
        <v>200</v>
      </c>
      <c r="F31" s="29">
        <v>23450</v>
      </c>
      <c r="G31" s="30">
        <v>18520</v>
      </c>
      <c r="H31" s="30">
        <f t="shared" ref="H31:H33" si="23">G31-F31</f>
        <v>-4930</v>
      </c>
      <c r="I31" s="28" t="s">
        <v>1719</v>
      </c>
      <c r="J31" s="46">
        <v>199</v>
      </c>
      <c r="K31" s="31"/>
      <c r="L31" s="31">
        <v>43475</v>
      </c>
      <c r="M31" s="28" t="s">
        <v>41</v>
      </c>
      <c r="O31" s="2">
        <v>27.5</v>
      </c>
      <c r="P31" s="32"/>
      <c r="Q31" s="69">
        <v>21300</v>
      </c>
      <c r="R31" s="2">
        <f>72*E31</f>
        <v>14400</v>
      </c>
      <c r="S31" s="33">
        <f>-38*E31</f>
        <v>-7600</v>
      </c>
      <c r="T31" s="33">
        <f>X31*F31*0.0045</f>
        <v>3840.2382221922244</v>
      </c>
      <c r="U31" s="2">
        <f>E31*5</f>
        <v>1000</v>
      </c>
      <c r="W31" s="2">
        <v>0.3</v>
      </c>
      <c r="X31" s="2">
        <f t="shared" ref="X31" si="24">((O31*F31)+Q31+R31+S31+U31)/G31</f>
        <v>36.39173866090713</v>
      </c>
      <c r="Y31" s="2">
        <f>((O31*F31)+Q31+R31+S31+T31+U31)/G31+W31</f>
        <v>36.899094936403465</v>
      </c>
      <c r="Z31" s="3">
        <f>Y31*G31</f>
        <v>683371.23822219216</v>
      </c>
      <c r="AA31" s="34">
        <v>43488</v>
      </c>
      <c r="AB31" s="3"/>
      <c r="AC31" s="35"/>
    </row>
    <row r="32" spans="1:32" x14ac:dyDescent="0.25">
      <c r="A32" s="45"/>
      <c r="B32" s="27" t="s">
        <v>26</v>
      </c>
      <c r="C32" t="s">
        <v>27</v>
      </c>
      <c r="D32" s="28" t="s">
        <v>1720</v>
      </c>
      <c r="E32">
        <v>130</v>
      </c>
      <c r="F32" s="29">
        <v>12885</v>
      </c>
      <c r="G32" s="30">
        <v>9980</v>
      </c>
      <c r="H32" s="30">
        <f t="shared" si="23"/>
        <v>-2905</v>
      </c>
      <c r="I32" s="28" t="s">
        <v>1721</v>
      </c>
      <c r="J32" s="46">
        <v>130</v>
      </c>
      <c r="K32" s="31"/>
      <c r="L32" s="31">
        <v>43475</v>
      </c>
      <c r="M32" s="28" t="s">
        <v>41</v>
      </c>
      <c r="O32" s="2">
        <v>27.5</v>
      </c>
      <c r="P32" s="32"/>
      <c r="Q32" s="116">
        <v>16900</v>
      </c>
      <c r="R32" s="2">
        <f>72*E32</f>
        <v>9360</v>
      </c>
      <c r="S32" s="33">
        <f>-38*E32</f>
        <v>-4940</v>
      </c>
      <c r="T32" s="33">
        <f>X32*F32*0.0045</f>
        <v>2186.2975569889777</v>
      </c>
      <c r="U32" s="2">
        <f>E32*5</f>
        <v>650</v>
      </c>
      <c r="W32" s="2">
        <v>0.3</v>
      </c>
      <c r="X32" s="2">
        <f>((O32*F32)+Q32+R32+S32+U32)/G32</f>
        <v>37.706162324649299</v>
      </c>
      <c r="Y32" s="2">
        <f>((O32*F32)+Q32+R32+S32+T32+U32)/G32+W32</f>
        <v>38.225230216131152</v>
      </c>
      <c r="Z32" s="3">
        <f>Y32*G32</f>
        <v>381487.79755698889</v>
      </c>
      <c r="AA32" s="34">
        <v>43488</v>
      </c>
      <c r="AB32" s="3"/>
      <c r="AC32" s="35" t="s">
        <v>1765</v>
      </c>
    </row>
    <row r="33" spans="1:32" x14ac:dyDescent="0.25">
      <c r="A33" s="45"/>
      <c r="B33" s="27" t="s">
        <v>1732</v>
      </c>
      <c r="C33" t="s">
        <v>1733</v>
      </c>
      <c r="D33" s="28" t="s">
        <v>1735</v>
      </c>
      <c r="E33" t="s">
        <v>1795</v>
      </c>
      <c r="F33" s="29">
        <v>5035.7</v>
      </c>
      <c r="G33" s="30">
        <v>5035.7</v>
      </c>
      <c r="H33" s="30">
        <f t="shared" si="23"/>
        <v>0</v>
      </c>
      <c r="I33" s="28" t="s">
        <v>1796</v>
      </c>
      <c r="K33" s="31"/>
      <c r="L33" s="31">
        <v>43475</v>
      </c>
      <c r="M33" s="28" t="s">
        <v>41</v>
      </c>
      <c r="O33" s="2">
        <v>65</v>
      </c>
      <c r="P33" s="32"/>
      <c r="Q33" s="2"/>
      <c r="R33" s="2"/>
      <c r="S33" s="33"/>
      <c r="T33" s="33"/>
      <c r="U33" s="2"/>
      <c r="W33" s="2"/>
      <c r="X33" s="2">
        <f>IF(O33&gt;0,O33,((P33*2.2046*S33)+(Q33+R33)/G33)+V33)</f>
        <v>65</v>
      </c>
      <c r="Y33" s="2">
        <f>IF(O33&gt;0,O33,((P33*2.2046*S33)+(Q33+R33+T33)/G33)+V33+W33)</f>
        <v>65</v>
      </c>
      <c r="Z33" s="3">
        <f>Y33*F33</f>
        <v>327320.5</v>
      </c>
      <c r="AA33" s="34">
        <v>43482</v>
      </c>
      <c r="AB33" s="3"/>
      <c r="AC33" s="35"/>
    </row>
    <row r="34" spans="1:32" x14ac:dyDescent="0.25">
      <c r="A34" s="45"/>
      <c r="B34" s="27" t="s">
        <v>30</v>
      </c>
      <c r="C34" s="28" t="s">
        <v>1790</v>
      </c>
      <c r="D34" s="28" t="s">
        <v>1790</v>
      </c>
      <c r="E34" t="s">
        <v>32</v>
      </c>
      <c r="F34" s="29">
        <f>42403*0.4536</f>
        <v>19234.000800000002</v>
      </c>
      <c r="G34" s="30">
        <v>19138.29</v>
      </c>
      <c r="H34" s="30">
        <f>G34-F34</f>
        <v>-95.710800000000745</v>
      </c>
      <c r="I34" t="s">
        <v>1649</v>
      </c>
      <c r="J34" s="52" t="s">
        <v>196</v>
      </c>
      <c r="K34" s="31">
        <v>43475</v>
      </c>
      <c r="L34" s="31">
        <v>43476</v>
      </c>
      <c r="M34" s="28" t="s">
        <v>45</v>
      </c>
      <c r="N34" s="28" t="s">
        <v>1643</v>
      </c>
      <c r="O34" s="2"/>
      <c r="P34" s="32">
        <f>0.4546+0.095</f>
        <v>0.54959999999999998</v>
      </c>
      <c r="Q34" s="116">
        <v>26000</v>
      </c>
      <c r="R34" s="2">
        <v>92011</v>
      </c>
      <c r="S34" s="68">
        <v>19.190000000000001</v>
      </c>
      <c r="T34" s="33">
        <f>X34*F34*0.005</f>
        <v>2840.6458311391384</v>
      </c>
      <c r="V34" s="2">
        <v>0.12</v>
      </c>
      <c r="W34" s="2">
        <v>0.3</v>
      </c>
      <c r="X34" s="2">
        <f>IF(O34&gt;0,O34,((P34*2.2046*S34)+(Q34+R34)/G34)+V34)</f>
        <v>29.537753072560321</v>
      </c>
      <c r="Y34" s="2">
        <f>IF(O34&gt;0,O34,((P34*2.2046*S34)+(Q34+R34+T34)/G34)+V34+W34)</f>
        <v>29.986180431072452</v>
      </c>
      <c r="Z34" s="3">
        <f>Y34*F34</f>
        <v>576754.21840019198</v>
      </c>
      <c r="AA34" s="34">
        <v>43479</v>
      </c>
      <c r="AB34" s="3"/>
      <c r="AC34" s="35"/>
    </row>
    <row r="35" spans="1:32" x14ac:dyDescent="0.25">
      <c r="A35" s="45"/>
      <c r="B35" s="27" t="s">
        <v>30</v>
      </c>
      <c r="C35" t="s">
        <v>43</v>
      </c>
      <c r="D35" s="28" t="s">
        <v>40</v>
      </c>
      <c r="E35" t="s">
        <v>37</v>
      </c>
      <c r="F35" s="29">
        <f>42022*0.4536</f>
        <v>19061.179199999999</v>
      </c>
      <c r="G35" s="30">
        <v>19098.12</v>
      </c>
      <c r="H35" s="30">
        <f t="shared" ref="H35" si="25">G35-F35</f>
        <v>36.940800000000309</v>
      </c>
      <c r="I35" s="28" t="s">
        <v>1674</v>
      </c>
      <c r="J35" s="52" t="s">
        <v>196</v>
      </c>
      <c r="K35" s="31">
        <v>43475</v>
      </c>
      <c r="L35" s="31">
        <v>43476</v>
      </c>
      <c r="M35" s="28" t="s">
        <v>45</v>
      </c>
      <c r="N35" s="28" t="s">
        <v>1675</v>
      </c>
      <c r="O35" s="2"/>
      <c r="P35" s="32">
        <f>0.4596+0.105</f>
        <v>0.56459999999999999</v>
      </c>
      <c r="Q35" s="116">
        <v>26000</v>
      </c>
      <c r="R35" s="2">
        <v>92573</v>
      </c>
      <c r="S35" s="68">
        <v>19.36</v>
      </c>
      <c r="T35" s="33">
        <f>X35*F35*0.005</f>
        <v>2899.8101483986593</v>
      </c>
      <c r="V35" s="2">
        <v>0.12</v>
      </c>
      <c r="W35" s="2">
        <v>0.3</v>
      </c>
      <c r="X35" s="2">
        <f>IF(O35&gt;0,O35,((P35*2.2046*S35)+(Q35+R35)/G35)+V35)</f>
        <v>30.426345799200703</v>
      </c>
      <c r="Y35" s="2">
        <f>IF(O35&gt;0,O35,((P35*2.2046*S35)+(Q35+R35+T35)/G35)+V35+W35)</f>
        <v>30.878183265317716</v>
      </c>
      <c r="Z35" s="3">
        <f>Y35*F35</f>
        <v>588574.58459066204</v>
      </c>
      <c r="AA35" s="34">
        <v>43472</v>
      </c>
      <c r="AB35" s="3"/>
      <c r="AC35" s="35"/>
    </row>
    <row r="36" spans="1:32" x14ac:dyDescent="0.25">
      <c r="A36" s="45"/>
      <c r="B36" s="27" t="s">
        <v>26</v>
      </c>
      <c r="C36" t="s">
        <v>27</v>
      </c>
      <c r="D36" s="28" t="s">
        <v>44</v>
      </c>
      <c r="E36">
        <v>235</v>
      </c>
      <c r="F36" s="29">
        <v>19660</v>
      </c>
      <c r="G36" s="30">
        <v>19620</v>
      </c>
      <c r="H36" s="30">
        <f t="shared" ref="H36:H38" si="26">G36-F36</f>
        <v>-40</v>
      </c>
      <c r="I36" t="s">
        <v>1869</v>
      </c>
      <c r="K36" s="31"/>
      <c r="L36" s="31">
        <v>43476</v>
      </c>
      <c r="M36" s="28" t="s">
        <v>45</v>
      </c>
      <c r="O36" s="2">
        <v>34.9</v>
      </c>
      <c r="P36" s="32"/>
      <c r="Q36" s="69">
        <v>21300</v>
      </c>
      <c r="R36" s="2">
        <f>72*E36</f>
        <v>16920</v>
      </c>
      <c r="S36" s="33">
        <f>-38*E36</f>
        <v>-8930</v>
      </c>
      <c r="T36" s="33">
        <f>X36*F36*0.0045</f>
        <v>3231.2698027522933</v>
      </c>
      <c r="U36" s="2">
        <f>E36*5</f>
        <v>1175</v>
      </c>
      <c r="W36" s="2">
        <v>0.3</v>
      </c>
      <c r="X36" s="2">
        <f>((O36*F36)+Q36+R36+S36+U36)/G36</f>
        <v>36.523904179408767</v>
      </c>
      <c r="Y36" s="2">
        <f>((O36*F36)+Q36+R36+S36+T36+U36)/G36+W36</f>
        <v>36.988596829905823</v>
      </c>
      <c r="Z36" s="3">
        <f>Y36*G36</f>
        <v>725716.2698027523</v>
      </c>
      <c r="AA36" s="34">
        <v>43483</v>
      </c>
      <c r="AB36" s="3"/>
      <c r="AC36" s="35"/>
    </row>
    <row r="37" spans="1:32" x14ac:dyDescent="0.25">
      <c r="A37" s="45"/>
      <c r="B37" s="27" t="s">
        <v>26</v>
      </c>
      <c r="C37" t="s">
        <v>27</v>
      </c>
      <c r="D37" s="28" t="s">
        <v>1684</v>
      </c>
      <c r="E37">
        <v>130</v>
      </c>
      <c r="F37" s="29">
        <v>13680</v>
      </c>
      <c r="G37" s="30">
        <v>11180</v>
      </c>
      <c r="H37" s="30">
        <f t="shared" si="26"/>
        <v>-2500</v>
      </c>
      <c r="I37" s="28" t="s">
        <v>1722</v>
      </c>
      <c r="K37" s="31"/>
      <c r="L37" s="31">
        <v>43476</v>
      </c>
      <c r="M37" s="28" t="s">
        <v>45</v>
      </c>
      <c r="O37" s="2">
        <v>27.5</v>
      </c>
      <c r="P37" s="32"/>
      <c r="Q37" s="116">
        <v>16900</v>
      </c>
      <c r="R37" s="2">
        <f>72*E37</f>
        <v>9360</v>
      </c>
      <c r="S37" s="33">
        <f>-38*E37</f>
        <v>-4940</v>
      </c>
      <c r="T37" s="33">
        <f>X37*F37*0.0045</f>
        <v>2192.4280143112701</v>
      </c>
      <c r="U37" s="2">
        <f>E37*5</f>
        <v>650</v>
      </c>
      <c r="W37" s="2">
        <v>0.3</v>
      </c>
      <c r="X37" s="2">
        <f>((O37*F37)+Q37+R37+S37+U37)/G37</f>
        <v>35.61449016100179</v>
      </c>
      <c r="Y37" s="2">
        <f>((O37*F37)+Q37+R37+S37+T37+U37)/G37+W37</f>
        <v>36.110592845645009</v>
      </c>
      <c r="Z37" s="3">
        <f>Y37*G37</f>
        <v>403716.42801431118</v>
      </c>
      <c r="AA37" s="34">
        <v>43489</v>
      </c>
      <c r="AB37" s="3"/>
      <c r="AC37" s="35" t="s">
        <v>1788</v>
      </c>
    </row>
    <row r="38" spans="1:32" x14ac:dyDescent="0.25">
      <c r="A38" s="45"/>
      <c r="B38" s="27" t="s">
        <v>30</v>
      </c>
      <c r="C38" t="s">
        <v>40</v>
      </c>
      <c r="D38" s="28" t="s">
        <v>40</v>
      </c>
      <c r="E38" t="s">
        <v>37</v>
      </c>
      <c r="F38" s="29">
        <f>41847*0.4536</f>
        <v>18981.799200000001</v>
      </c>
      <c r="G38" s="30">
        <v>18951.77</v>
      </c>
      <c r="H38" s="30">
        <f t="shared" si="26"/>
        <v>-30.029200000000856</v>
      </c>
      <c r="I38" s="28" t="s">
        <v>1650</v>
      </c>
      <c r="J38" s="52" t="s">
        <v>196</v>
      </c>
      <c r="K38" s="31">
        <v>43476</v>
      </c>
      <c r="L38" s="31">
        <v>43477</v>
      </c>
      <c r="M38" s="28" t="s">
        <v>46</v>
      </c>
      <c r="N38" s="28" t="s">
        <v>1644</v>
      </c>
      <c r="O38" s="2"/>
      <c r="P38" s="32">
        <f>0.4615+0.105</f>
        <v>0.5665</v>
      </c>
      <c r="Q38" s="116">
        <v>26000</v>
      </c>
      <c r="R38" s="2">
        <v>92118</v>
      </c>
      <c r="S38" s="68">
        <v>19.390999999999998</v>
      </c>
      <c r="T38" s="33">
        <f>X38*F38*0.005</f>
        <v>2901.3767397915253</v>
      </c>
      <c r="V38" s="2">
        <v>0.12</v>
      </c>
      <c r="W38" s="2">
        <v>0.3</v>
      </c>
      <c r="X38" s="2">
        <f>IF(O38&gt;0,O38,((P38*2.2046*S38)+(Q38+R38)/G38)+V38)</f>
        <v>30.57009200467704</v>
      </c>
      <c r="Y38" s="2">
        <f>IF(O38&gt;0,O38,((P38*2.2046*S38)+(Q38+R38+T38)/G38)+V38+W38)</f>
        <v>31.02318465722567</v>
      </c>
      <c r="Z38" s="3">
        <f>Y38*F38</f>
        <v>588875.86170797853</v>
      </c>
      <c r="AA38" s="34">
        <v>43472</v>
      </c>
      <c r="AB38" s="3"/>
      <c r="AC38" s="35"/>
    </row>
    <row r="39" spans="1:32" ht="15.75" thickBot="1" x14ac:dyDescent="0.3">
      <c r="A39" s="47"/>
      <c r="B39" s="41"/>
      <c r="C39" s="4"/>
      <c r="D39" s="4"/>
      <c r="E39" s="4"/>
      <c r="F39" s="42"/>
      <c r="G39" s="42"/>
      <c r="H39" s="42"/>
      <c r="I39" s="7"/>
      <c r="J39" s="4"/>
      <c r="K39" s="8"/>
      <c r="L39" s="8"/>
      <c r="M39" s="4"/>
      <c r="N39" s="4"/>
      <c r="O39" s="9"/>
      <c r="P39" s="10"/>
      <c r="Q39" s="9"/>
      <c r="R39" s="9"/>
      <c r="S39" s="9"/>
      <c r="T39" s="9"/>
      <c r="U39" s="9"/>
      <c r="V39" s="9"/>
      <c r="W39" s="9"/>
      <c r="X39" s="9"/>
      <c r="Y39" s="9"/>
      <c r="Z39" s="13"/>
      <c r="AA39" s="43"/>
      <c r="AB39" s="3"/>
      <c r="AC39" s="35"/>
    </row>
    <row r="40" spans="1:32" ht="15.75" thickTop="1" x14ac:dyDescent="0.25">
      <c r="A40" s="123"/>
      <c r="B40" s="14" t="s">
        <v>26</v>
      </c>
      <c r="C40" s="14" t="s">
        <v>27</v>
      </c>
      <c r="D40" s="15" t="s">
        <v>1636</v>
      </c>
      <c r="E40" s="14">
        <v>200</v>
      </c>
      <c r="F40" s="16">
        <v>20640</v>
      </c>
      <c r="G40" s="17">
        <v>16980</v>
      </c>
      <c r="H40" s="18">
        <f t="shared" ref="H40:H44" si="27">G40-F40</f>
        <v>-3660</v>
      </c>
      <c r="I40" s="19" t="s">
        <v>1831</v>
      </c>
      <c r="J40" s="14"/>
      <c r="K40" s="20"/>
      <c r="L40" s="20">
        <v>43478</v>
      </c>
      <c r="M40" s="15" t="s">
        <v>28</v>
      </c>
      <c r="N40" s="14"/>
      <c r="O40" s="21">
        <v>27.5</v>
      </c>
      <c r="P40" s="22"/>
      <c r="Q40" s="120">
        <v>21300</v>
      </c>
      <c r="R40" s="2">
        <f>72*E40</f>
        <v>14400</v>
      </c>
      <c r="S40" s="21">
        <f>-38*E40</f>
        <v>-7600</v>
      </c>
      <c r="T40" s="23">
        <f>X40*F40*0.0045</f>
        <v>3263.927915194346</v>
      </c>
      <c r="U40" s="21">
        <f>E40*5</f>
        <v>1000</v>
      </c>
      <c r="V40" s="14"/>
      <c r="W40" s="21">
        <v>0.3</v>
      </c>
      <c r="X40" s="21">
        <f>((O40*F40)+Q40+R40+S40+U40)/G40</f>
        <v>35.141342756183747</v>
      </c>
      <c r="Y40" s="24">
        <f>((O40*F40)+Q40+R40+S40+T40+U40)/G40+W40</f>
        <v>35.633564659316505</v>
      </c>
      <c r="Z40" s="24">
        <f>Y40*G40</f>
        <v>605057.9279151943</v>
      </c>
      <c r="AA40" s="25">
        <v>43493</v>
      </c>
      <c r="AB40" s="3"/>
      <c r="AC40" s="3"/>
    </row>
    <row r="41" spans="1:32" x14ac:dyDescent="0.25">
      <c r="A41" s="124"/>
      <c r="B41" s="27" t="s">
        <v>26</v>
      </c>
      <c r="C41" t="s">
        <v>27</v>
      </c>
      <c r="D41" s="28" t="s">
        <v>1829</v>
      </c>
      <c r="E41">
        <v>129</v>
      </c>
      <c r="F41" s="29">
        <v>14200</v>
      </c>
      <c r="G41" s="30">
        <v>11650</v>
      </c>
      <c r="H41" s="30">
        <f t="shared" si="27"/>
        <v>-2550</v>
      </c>
      <c r="I41" s="28" t="s">
        <v>1830</v>
      </c>
      <c r="K41" s="31"/>
      <c r="L41" s="31">
        <v>43478</v>
      </c>
      <c r="M41" s="28" t="s">
        <v>28</v>
      </c>
      <c r="O41" s="2">
        <v>27.5</v>
      </c>
      <c r="P41" s="32"/>
      <c r="Q41" s="116">
        <v>16900</v>
      </c>
      <c r="R41" s="2">
        <f>72*E41</f>
        <v>9288</v>
      </c>
      <c r="S41" s="33">
        <f>-38*E41</f>
        <v>-4902</v>
      </c>
      <c r="T41" s="33">
        <f>X41*F41*0.0045</f>
        <v>2262.1751845493559</v>
      </c>
      <c r="U41" s="2">
        <f>E41*5</f>
        <v>645</v>
      </c>
      <c r="W41" s="2">
        <v>0.3</v>
      </c>
      <c r="X41" s="2">
        <f>((O41*F41)+Q41+R41+S41+U41)/G41</f>
        <v>35.401802575107297</v>
      </c>
      <c r="Y41" s="2">
        <f>((O41*F41)+Q41+R41+S41+T41+U41)/G41+W41</f>
        <v>35.89598070253642</v>
      </c>
      <c r="Z41" s="3">
        <f>Y41*G41</f>
        <v>418188.1751845493</v>
      </c>
      <c r="AA41" s="34">
        <v>43493</v>
      </c>
      <c r="AB41" s="3"/>
      <c r="AC41" s="35" t="s">
        <v>1836</v>
      </c>
    </row>
    <row r="42" spans="1:32" x14ac:dyDescent="0.25">
      <c r="A42" s="124"/>
      <c r="B42" s="27" t="s">
        <v>26</v>
      </c>
      <c r="C42" t="s">
        <v>27</v>
      </c>
      <c r="D42" s="28" t="s">
        <v>1845</v>
      </c>
      <c r="E42">
        <f>200+50</f>
        <v>250</v>
      </c>
      <c r="F42" s="29">
        <f>21675+5735</f>
        <v>27410</v>
      </c>
      <c r="G42" s="30">
        <f>5910+15530</f>
        <v>21440</v>
      </c>
      <c r="H42" s="30">
        <f t="shared" si="27"/>
        <v>-5970</v>
      </c>
      <c r="I42" s="28" t="s">
        <v>1846</v>
      </c>
      <c r="K42" s="31"/>
      <c r="L42" s="31">
        <v>43479</v>
      </c>
      <c r="M42" s="28" t="s">
        <v>29</v>
      </c>
      <c r="O42" s="2">
        <v>27.5</v>
      </c>
      <c r="P42" s="32"/>
      <c r="Q42" s="69">
        <v>21300</v>
      </c>
      <c r="R42" s="2">
        <f>72*E42</f>
        <v>18000</v>
      </c>
      <c r="S42" s="33">
        <f>-38*E42</f>
        <v>-9500</v>
      </c>
      <c r="T42" s="33">
        <f>X42*F42*0.0045</f>
        <v>4515.1231168376862</v>
      </c>
      <c r="U42" s="2">
        <f>E42*5</f>
        <v>1250</v>
      </c>
      <c r="W42" s="2">
        <v>0.3</v>
      </c>
      <c r="X42" s="2">
        <f>((O42*F42)+Q42+R42+S42+U42)/G42</f>
        <v>36.605643656716417</v>
      </c>
      <c r="Y42" s="2">
        <f>((O42*F42)+Q42+R42+S42+T42+U42)/G42+W42</f>
        <v>37.116237085673397</v>
      </c>
      <c r="Z42" s="3">
        <f>Y42*G42</f>
        <v>795772.12311683758</v>
      </c>
      <c r="AA42" s="34">
        <v>43493</v>
      </c>
      <c r="AB42" s="3"/>
      <c r="AC42" s="35" t="s">
        <v>1844</v>
      </c>
    </row>
    <row r="43" spans="1:32" x14ac:dyDescent="0.25">
      <c r="A43" s="124"/>
      <c r="B43" s="27" t="s">
        <v>1909</v>
      </c>
      <c r="C43" t="s">
        <v>1814</v>
      </c>
      <c r="D43" s="28" t="s">
        <v>1806</v>
      </c>
      <c r="E43" t="s">
        <v>1910</v>
      </c>
      <c r="F43" s="29">
        <f>968.9+1008.8+898.6+1020.1+977</f>
        <v>4873.3999999999996</v>
      </c>
      <c r="G43" s="30">
        <v>4873.3999999999996</v>
      </c>
      <c r="H43" s="30">
        <f t="shared" si="27"/>
        <v>0</v>
      </c>
      <c r="I43" s="28" t="s">
        <v>1911</v>
      </c>
      <c r="K43" s="31"/>
      <c r="L43" s="31">
        <v>43479</v>
      </c>
      <c r="M43" s="28" t="s">
        <v>29</v>
      </c>
      <c r="O43" s="2">
        <v>18.2</v>
      </c>
      <c r="P43" s="32"/>
      <c r="Q43" s="2"/>
      <c r="R43" s="2"/>
      <c r="S43" s="33"/>
      <c r="T43" s="33"/>
      <c r="U43" s="2"/>
      <c r="W43" s="2"/>
      <c r="X43" s="2">
        <f>IF(O43&gt;0,O43,((P43*2.2046*S43)+(Q43+R43)/G43)+V43)</f>
        <v>18.2</v>
      </c>
      <c r="Y43" s="2">
        <f>IF(O43&gt;0,O43,((P43*2.2046*S43)+(Q43+R43+T43)/G43)+V43+W43)</f>
        <v>18.2</v>
      </c>
      <c r="Z43" s="3">
        <f>Y43*F43</f>
        <v>88695.87999999999</v>
      </c>
      <c r="AA43" s="34">
        <v>43486</v>
      </c>
      <c r="AB43" s="3"/>
      <c r="AC43" s="35"/>
    </row>
    <row r="44" spans="1:32" x14ac:dyDescent="0.25">
      <c r="A44" s="124"/>
      <c r="B44" s="27" t="s">
        <v>30</v>
      </c>
      <c r="C44" s="28" t="s">
        <v>1790</v>
      </c>
      <c r="D44" s="28" t="s">
        <v>1790</v>
      </c>
      <c r="E44" t="s">
        <v>32</v>
      </c>
      <c r="F44" s="29">
        <f>41194*0.4536</f>
        <v>18685.598399999999</v>
      </c>
      <c r="G44" s="30">
        <v>18585.099999999999</v>
      </c>
      <c r="H44" s="30">
        <f t="shared" si="27"/>
        <v>-100.4984000000004</v>
      </c>
      <c r="I44" s="28" t="s">
        <v>1736</v>
      </c>
      <c r="J44" s="52" t="s">
        <v>196</v>
      </c>
      <c r="K44" s="31">
        <v>43479</v>
      </c>
      <c r="L44" s="31">
        <v>43480</v>
      </c>
      <c r="M44" s="28" t="s">
        <v>48</v>
      </c>
      <c r="N44" s="28" t="s">
        <v>1723</v>
      </c>
      <c r="O44" s="2"/>
      <c r="P44" s="32">
        <f>0.494+0.095</f>
        <v>0.58899999999999997</v>
      </c>
      <c r="Q44" s="116">
        <v>26000</v>
      </c>
      <c r="R44" s="2">
        <v>94120</v>
      </c>
      <c r="S44" s="68">
        <v>19.026</v>
      </c>
      <c r="T44" s="33">
        <f t="shared" ref="T44" si="28">X44*F44*0.005</f>
        <v>2923.2387226080459</v>
      </c>
      <c r="V44" s="2">
        <v>0.12</v>
      </c>
      <c r="W44" s="2">
        <v>0.3</v>
      </c>
      <c r="X44" s="2">
        <f>IF(O44&gt;0,O44,((P44*2.2046*S44)+(Q44+R44)/G44)+V44)</f>
        <v>31.288681903899274</v>
      </c>
      <c r="Y44" s="2">
        <f>IF(O44&gt;0,O44,((P44*2.2046*S44)+(Q44+R44+T44)/G44)+V44+W44)</f>
        <v>31.74597127670911</v>
      </c>
      <c r="Z44" s="3">
        <f>Y44*F44</f>
        <v>593192.47009452165</v>
      </c>
      <c r="AA44" s="34">
        <v>43482</v>
      </c>
      <c r="AB44" s="3"/>
      <c r="AC44" s="35"/>
    </row>
    <row r="45" spans="1:32" x14ac:dyDescent="0.25">
      <c r="A45" s="124"/>
      <c r="B45" s="27" t="s">
        <v>30</v>
      </c>
      <c r="C45" s="28" t="s">
        <v>35</v>
      </c>
      <c r="D45" s="28" t="s">
        <v>36</v>
      </c>
      <c r="E45" t="s">
        <v>37</v>
      </c>
      <c r="F45" s="29">
        <f>41591*0.4536</f>
        <v>18865.677599999999</v>
      </c>
      <c r="G45" s="30">
        <v>18623.87</v>
      </c>
      <c r="H45" s="30">
        <f>G45-F45</f>
        <v>-241.80760000000009</v>
      </c>
      <c r="I45" t="s">
        <v>1737</v>
      </c>
      <c r="J45" s="52" t="s">
        <v>196</v>
      </c>
      <c r="K45" s="31">
        <v>43479</v>
      </c>
      <c r="L45" s="31">
        <v>43480</v>
      </c>
      <c r="M45" s="28" t="s">
        <v>48</v>
      </c>
      <c r="N45" s="28" t="s">
        <v>1724</v>
      </c>
      <c r="O45" s="2"/>
      <c r="P45" s="32">
        <f>0.494+0.1</f>
        <v>0.59399999999999997</v>
      </c>
      <c r="Q45" s="116">
        <v>26000</v>
      </c>
      <c r="R45" s="2">
        <v>99187</v>
      </c>
      <c r="S45" s="68">
        <v>19.064</v>
      </c>
      <c r="T45" s="33">
        <f>X45*F45*0.005</f>
        <v>3000.2825830231027</v>
      </c>
      <c r="V45" s="2">
        <v>0.12</v>
      </c>
      <c r="W45" s="2">
        <v>0.3</v>
      </c>
      <c r="X45" s="2">
        <f>IF(O45&gt;0,O45,((P45*2.2046*S45)+(Q45+R45)/G45)+V45)</f>
        <v>31.806783160792513</v>
      </c>
      <c r="Y45" s="2">
        <f>IF(O45&gt;0,O45,((P45*2.2046*S45)+(Q45+R45+T45)/G45)+V45+W45)</f>
        <v>32.267881932585006</v>
      </c>
      <c r="Z45" s="3">
        <f>Y45*F45</f>
        <v>608755.45737501362</v>
      </c>
      <c r="AA45" s="34">
        <v>43480</v>
      </c>
      <c r="AB45" s="3"/>
      <c r="AC45" s="35"/>
    </row>
    <row r="46" spans="1:32" x14ac:dyDescent="0.25">
      <c r="A46" s="124"/>
      <c r="B46" s="27" t="s">
        <v>26</v>
      </c>
      <c r="C46" t="s">
        <v>27</v>
      </c>
      <c r="D46" s="28" t="s">
        <v>1636</v>
      </c>
      <c r="E46">
        <f>200+50</f>
        <v>250</v>
      </c>
      <c r="F46" s="29">
        <f>21015+5505</f>
        <v>26520</v>
      </c>
      <c r="G46" s="30">
        <f>14940+5870</f>
        <v>20810</v>
      </c>
      <c r="H46" s="30">
        <f>G46-F46</f>
        <v>-5710</v>
      </c>
      <c r="I46" s="28" t="s">
        <v>1850</v>
      </c>
      <c r="K46" s="31"/>
      <c r="L46" s="31">
        <v>43480</v>
      </c>
      <c r="M46" s="28" t="s">
        <v>48</v>
      </c>
      <c r="O46" s="2">
        <v>27.5</v>
      </c>
      <c r="P46" s="32"/>
      <c r="Q46" s="116">
        <v>21300</v>
      </c>
      <c r="R46" s="2">
        <f>72*E46</f>
        <v>18000</v>
      </c>
      <c r="S46" s="33">
        <f>-38*E46</f>
        <v>-9500</v>
      </c>
      <c r="T46" s="33">
        <f>X46*F46*0.005</f>
        <v>4844.9019702066316</v>
      </c>
      <c r="U46" s="2">
        <f>E46*5</f>
        <v>1250</v>
      </c>
      <c r="W46" s="2">
        <v>0.3</v>
      </c>
      <c r="X46" s="2">
        <f>((O46*F46)+Q46+R46+S46+U46)/G46</f>
        <v>36.53772224891879</v>
      </c>
      <c r="Y46" s="2">
        <f>((O46*F46)+Q46+R46+S46+T46+U46)/G46+W46</f>
        <v>37.070538297463074</v>
      </c>
      <c r="Z46" s="3">
        <f>Y46*G46</f>
        <v>771437.90197020653</v>
      </c>
      <c r="AA46" s="34">
        <v>43494</v>
      </c>
      <c r="AB46" s="3"/>
      <c r="AC46" s="35" t="s">
        <v>1854</v>
      </c>
      <c r="AF46" s="30"/>
    </row>
    <row r="47" spans="1:32" x14ac:dyDescent="0.25">
      <c r="A47" s="124"/>
      <c r="B47" s="27" t="s">
        <v>30</v>
      </c>
      <c r="C47" s="28" t="s">
        <v>31</v>
      </c>
      <c r="D47" s="28" t="s">
        <v>31</v>
      </c>
      <c r="E47" t="s">
        <v>32</v>
      </c>
      <c r="F47" s="29">
        <f>41174*0.4536</f>
        <v>18676.526399999999</v>
      </c>
      <c r="G47" s="30">
        <v>18676.09</v>
      </c>
      <c r="H47" s="30">
        <f t="shared" ref="H47:H50" si="29">G47-F47</f>
        <v>-0.43639999999868451</v>
      </c>
      <c r="I47" s="28" t="s">
        <v>1647</v>
      </c>
      <c r="J47" s="52" t="s">
        <v>196</v>
      </c>
      <c r="K47" s="31">
        <v>43480</v>
      </c>
      <c r="L47" s="31">
        <v>43481</v>
      </c>
      <c r="M47" s="28" t="s">
        <v>33</v>
      </c>
      <c r="N47" s="28" t="s">
        <v>1723</v>
      </c>
      <c r="O47" s="2"/>
      <c r="P47" s="32">
        <f t="shared" ref="P47:P48" si="30">0.494+0.095</f>
        <v>0.58899999999999997</v>
      </c>
      <c r="Q47" s="116">
        <v>26000</v>
      </c>
      <c r="R47" s="2">
        <v>91565</v>
      </c>
      <c r="S47" s="68">
        <v>19.370999999999999</v>
      </c>
      <c r="T47" s="33">
        <f t="shared" ref="T47:T50" si="31">X47*F47*0.005</f>
        <v>2947.9377365822957</v>
      </c>
      <c r="V47" s="2">
        <v>0.12</v>
      </c>
      <c r="W47" s="2">
        <v>0.3</v>
      </c>
      <c r="X47" s="2">
        <f>IF(O47&gt;0,O47,((P47*2.2046*S47)+(Q47+R47)/G47)+V47)</f>
        <v>31.568372763173944</v>
      </c>
      <c r="Y47" s="2">
        <f>IF(O47&gt;0,O47,((P47*2.2046*S47)+(Q47+R47+T47)/G47)+V47+W47)</f>
        <v>32.026218315245188</v>
      </c>
      <c r="Z47" s="3">
        <f>Y47*F47</f>
        <v>598138.51185684022</v>
      </c>
      <c r="AA47" s="34">
        <v>43474</v>
      </c>
      <c r="AB47" s="3"/>
      <c r="AC47" s="35"/>
    </row>
    <row r="48" spans="1:32" x14ac:dyDescent="0.25">
      <c r="A48" s="124"/>
      <c r="B48" s="27" t="s">
        <v>30</v>
      </c>
      <c r="C48" s="28" t="s">
        <v>31</v>
      </c>
      <c r="D48" s="28" t="s">
        <v>31</v>
      </c>
      <c r="E48" t="s">
        <v>32</v>
      </c>
      <c r="F48" s="29">
        <f>41798*0.4536</f>
        <v>18959.572800000002</v>
      </c>
      <c r="G48" s="30">
        <v>18905.439999999999</v>
      </c>
      <c r="H48" s="30">
        <f t="shared" si="29"/>
        <v>-54.132800000003044</v>
      </c>
      <c r="I48" s="28" t="s">
        <v>1652</v>
      </c>
      <c r="J48" s="52" t="s">
        <v>1690</v>
      </c>
      <c r="K48" s="31">
        <v>43480</v>
      </c>
      <c r="L48" s="31">
        <v>43481</v>
      </c>
      <c r="M48" s="28" t="s">
        <v>33</v>
      </c>
      <c r="N48" s="28" t="s">
        <v>1723</v>
      </c>
      <c r="O48" s="2"/>
      <c r="P48" s="32">
        <f t="shared" si="30"/>
        <v>0.58899999999999997</v>
      </c>
      <c r="Q48" s="116">
        <v>26000</v>
      </c>
      <c r="R48" s="2">
        <v>95113</v>
      </c>
      <c r="S48" s="68">
        <v>19.370999999999999</v>
      </c>
      <c r="T48" s="33">
        <f t="shared" si="31"/>
        <v>3003.1657032563835</v>
      </c>
      <c r="V48" s="2">
        <v>0.12</v>
      </c>
      <c r="W48" s="2">
        <v>0.3</v>
      </c>
      <c r="X48" s="2">
        <f t="shared" ref="X48" si="32">IF(O48&gt;0,O48,((P48*2.2046*S48)+(Q48+R48)/G48)+V48)</f>
        <v>31.679676909770702</v>
      </c>
      <c r="Y48" s="2">
        <f t="shared" ref="Y48" si="33">IF(O48&gt;0,O48,((P48*2.2046*S48)+(Q48+R48+T48)/G48)+V48+W48)</f>
        <v>32.138528843566284</v>
      </c>
      <c r="Z48" s="3">
        <f t="shared" ref="Z48" si="34">Y48*F48</f>
        <v>609332.77729449479</v>
      </c>
      <c r="AA48" s="34">
        <v>43474</v>
      </c>
      <c r="AB48" s="3"/>
      <c r="AC48" s="35"/>
    </row>
    <row r="49" spans="1:29" x14ac:dyDescent="0.25">
      <c r="A49" s="124"/>
      <c r="B49" s="27" t="s">
        <v>30</v>
      </c>
      <c r="C49" s="28" t="s">
        <v>1790</v>
      </c>
      <c r="D49" s="28" t="s">
        <v>1790</v>
      </c>
      <c r="E49" t="s">
        <v>32</v>
      </c>
      <c r="F49" s="29">
        <f>42183*0.4536</f>
        <v>19134.2088</v>
      </c>
      <c r="G49" s="30">
        <v>19129.16</v>
      </c>
      <c r="H49" s="30">
        <f>G49-F49</f>
        <v>-5.0488000000004831</v>
      </c>
      <c r="I49" s="28" t="s">
        <v>1738</v>
      </c>
      <c r="J49" s="52" t="s">
        <v>196</v>
      </c>
      <c r="K49" s="31">
        <v>43480</v>
      </c>
      <c r="L49" s="31">
        <v>43481</v>
      </c>
      <c r="M49" s="28" t="s">
        <v>33</v>
      </c>
      <c r="N49" s="28" t="s">
        <v>1725</v>
      </c>
      <c r="O49" s="2"/>
      <c r="P49" s="32">
        <f>0.4949+0.095</f>
        <v>0.58989999999999998</v>
      </c>
      <c r="Q49" s="116">
        <v>26000</v>
      </c>
      <c r="R49" s="2">
        <v>96023</v>
      </c>
      <c r="S49" s="68">
        <v>18.978000000000002</v>
      </c>
      <c r="T49" s="33">
        <f>X49*F49*0.005</f>
        <v>2982.9912426442288</v>
      </c>
      <c r="V49" s="2">
        <v>0.12</v>
      </c>
      <c r="W49" s="2">
        <v>0.3</v>
      </c>
      <c r="X49" s="2">
        <f>IF(O49&gt;0,O49,((P49*2.2046*S49)+(Q49+R49)/G49)+V49)</f>
        <v>31.179666468824447</v>
      </c>
      <c r="Y49" s="2">
        <f>IF(O49&gt;0,O49,((P49*2.2046*S49)+(Q49+R49+T49)/G49)+V49+W49)</f>
        <v>31.635605947747944</v>
      </c>
      <c r="Z49" s="3">
        <f>Y49*F49</f>
        <v>605322.28971873107</v>
      </c>
      <c r="AA49" s="34">
        <v>43487</v>
      </c>
      <c r="AB49" s="3"/>
      <c r="AC49" s="35"/>
    </row>
    <row r="50" spans="1:29" x14ac:dyDescent="0.25">
      <c r="A50" s="124"/>
      <c r="B50" s="27" t="s">
        <v>26</v>
      </c>
      <c r="C50" t="s">
        <v>27</v>
      </c>
      <c r="D50" s="28" t="s">
        <v>1857</v>
      </c>
      <c r="E50">
        <f>200+50</f>
        <v>250</v>
      </c>
      <c r="F50" s="29">
        <f>23605+5275</f>
        <v>28880</v>
      </c>
      <c r="G50" s="30">
        <f>16960+5970</f>
        <v>22930</v>
      </c>
      <c r="H50" s="30">
        <f t="shared" si="29"/>
        <v>-5950</v>
      </c>
      <c r="I50" s="28" t="s">
        <v>1858</v>
      </c>
      <c r="K50" s="31"/>
      <c r="L50" s="31">
        <v>43481</v>
      </c>
      <c r="M50" s="28" t="s">
        <v>33</v>
      </c>
      <c r="O50" s="2">
        <v>27</v>
      </c>
      <c r="P50" s="32"/>
      <c r="Q50" s="116">
        <v>21300</v>
      </c>
      <c r="R50" s="2">
        <f>72*E50</f>
        <v>18000</v>
      </c>
      <c r="S50" s="33">
        <f>-38*E50</f>
        <v>-9500</v>
      </c>
      <c r="T50" s="141">
        <f t="shared" si="31"/>
        <v>5106.0167466201492</v>
      </c>
      <c r="U50" s="2">
        <f>E50*5</f>
        <v>1250</v>
      </c>
      <c r="W50" s="2">
        <v>0.3</v>
      </c>
      <c r="X50" s="2">
        <f t="shared" ref="X50" si="35">((O50*F50)+Q50+R50+S50+U50)/G50</f>
        <v>35.360226777147844</v>
      </c>
      <c r="Y50" s="2">
        <f>((O50*F50)+Q50+R50+S50+T50+U50)/G50+W50</f>
        <v>35.882905222268647</v>
      </c>
      <c r="Z50" s="3">
        <f>Y50*G50</f>
        <v>822795.01674662007</v>
      </c>
      <c r="AA50" s="34">
        <v>43494</v>
      </c>
      <c r="AB50" s="3"/>
      <c r="AC50" s="35" t="s">
        <v>1874</v>
      </c>
    </row>
    <row r="51" spans="1:29" x14ac:dyDescent="0.25">
      <c r="A51" s="124"/>
      <c r="B51" s="27" t="s">
        <v>30</v>
      </c>
      <c r="C51" s="28" t="s">
        <v>40</v>
      </c>
      <c r="D51" s="28" t="s">
        <v>40</v>
      </c>
      <c r="E51" t="s">
        <v>37</v>
      </c>
      <c r="F51" s="29">
        <f>41799*0.4536</f>
        <v>18960.026399999999</v>
      </c>
      <c r="G51" s="30">
        <v>18915.04</v>
      </c>
      <c r="H51" s="30">
        <f>G51-F51</f>
        <v>-44.986399999997957</v>
      </c>
      <c r="I51" t="s">
        <v>1739</v>
      </c>
      <c r="J51" s="52" t="s">
        <v>196</v>
      </c>
      <c r="K51" s="31">
        <v>43481</v>
      </c>
      <c r="L51" s="31">
        <v>43482</v>
      </c>
      <c r="M51" s="28" t="s">
        <v>41</v>
      </c>
      <c r="N51" s="28" t="s">
        <v>1726</v>
      </c>
      <c r="O51" s="2"/>
      <c r="P51" s="32">
        <f>0.4949+0.105</f>
        <v>0.59989999999999999</v>
      </c>
      <c r="Q51" s="116">
        <v>26000</v>
      </c>
      <c r="R51" s="2">
        <v>95327</v>
      </c>
      <c r="S51" s="68">
        <v>19.260999999999999</v>
      </c>
      <c r="T51" s="141">
        <f>X51*F51*0.005</f>
        <v>3034.3387135183043</v>
      </c>
      <c r="V51" s="2">
        <v>0.12</v>
      </c>
      <c r="W51" s="2">
        <v>0.3</v>
      </c>
      <c r="X51" s="2">
        <f>IF(O51&gt;0,O51,((P51*2.2046*S51)+(Q51+R51)/G51)+V51)</f>
        <v>32.007747768940916</v>
      </c>
      <c r="Y51" s="2">
        <f>IF(O51&gt;0,O51,((P51*2.2046*S51)+(Q51+R51+T51)/G51)+V51+W51)</f>
        <v>32.468167134351631</v>
      </c>
      <c r="Z51" s="3">
        <f>Y51*F51</f>
        <v>615597.30602691928</v>
      </c>
      <c r="AA51" s="34">
        <v>43475</v>
      </c>
      <c r="AB51" s="3"/>
      <c r="AC51" s="35"/>
    </row>
    <row r="52" spans="1:29" x14ac:dyDescent="0.25">
      <c r="A52" s="124"/>
      <c r="B52" s="27" t="s">
        <v>30</v>
      </c>
      <c r="C52" s="28" t="s">
        <v>35</v>
      </c>
      <c r="D52" s="28" t="s">
        <v>36</v>
      </c>
      <c r="E52" t="s">
        <v>37</v>
      </c>
      <c r="F52" s="29">
        <f>41549*0.4536</f>
        <v>18846.626400000001</v>
      </c>
      <c r="G52" s="30">
        <v>18574.07</v>
      </c>
      <c r="H52" s="30">
        <f>G52-F52</f>
        <v>-272.5564000000013</v>
      </c>
      <c r="I52" t="s">
        <v>1740</v>
      </c>
      <c r="J52" s="52" t="s">
        <v>196</v>
      </c>
      <c r="K52" s="31">
        <v>43481</v>
      </c>
      <c r="L52" s="31">
        <v>43482</v>
      </c>
      <c r="M52" s="28" t="s">
        <v>41</v>
      </c>
      <c r="N52" s="28" t="s">
        <v>1727</v>
      </c>
      <c r="O52" s="2"/>
      <c r="P52" s="32">
        <f>0.4949+0.1</f>
        <v>0.59489999999999998</v>
      </c>
      <c r="Q52" s="116">
        <v>26000</v>
      </c>
      <c r="R52" s="2">
        <v>97513</v>
      </c>
      <c r="S52" s="68">
        <v>18.989999999999998</v>
      </c>
      <c r="T52" s="141">
        <f>X52*F52*0.005</f>
        <v>2984.8771715023763</v>
      </c>
      <c r="V52" s="2">
        <v>0.12</v>
      </c>
      <c r="W52" s="2">
        <v>0.3</v>
      </c>
      <c r="X52" s="2">
        <f>IF(O52&gt;0,O52,((P52*2.2046*S52)+(Q52+R52)/G52)+V52)</f>
        <v>31.675453294944887</v>
      </c>
      <c r="Y52" s="2">
        <f>IF(O52&gt;0,O52,((P52*2.2046*S52)+(Q52+R52+T52)/G52)+V52+W52)</f>
        <v>32.136154593664145</v>
      </c>
      <c r="Z52" s="3">
        <f>Y52*F52</f>
        <v>605658.09955943201</v>
      </c>
      <c r="AA52" s="34">
        <v>43483</v>
      </c>
      <c r="AB52" s="3"/>
      <c r="AC52" s="35"/>
    </row>
    <row r="53" spans="1:29" x14ac:dyDescent="0.25">
      <c r="A53" s="124"/>
      <c r="B53" s="27" t="s">
        <v>26</v>
      </c>
      <c r="C53" t="s">
        <v>27</v>
      </c>
      <c r="D53" s="28" t="s">
        <v>1871</v>
      </c>
      <c r="E53">
        <v>250</v>
      </c>
      <c r="F53" s="29">
        <v>29710</v>
      </c>
      <c r="G53" s="30">
        <v>22200</v>
      </c>
      <c r="H53" s="30">
        <f t="shared" ref="H53:H55" si="36">G53-F53</f>
        <v>-7510</v>
      </c>
      <c r="I53" t="s">
        <v>1872</v>
      </c>
      <c r="K53" s="31"/>
      <c r="L53" s="31">
        <v>43482</v>
      </c>
      <c r="M53" s="28" t="s">
        <v>41</v>
      </c>
      <c r="O53" s="2">
        <v>27</v>
      </c>
      <c r="P53" s="32"/>
      <c r="Q53" s="69">
        <v>21300</v>
      </c>
      <c r="R53" s="2">
        <f>72*E53</f>
        <v>18000</v>
      </c>
      <c r="S53" s="33">
        <f>-38*E53</f>
        <v>-9500</v>
      </c>
      <c r="T53" s="141">
        <f>X53*F53*0.0045</f>
        <v>5017.8985540540534</v>
      </c>
      <c r="U53" s="2">
        <f>E53*5</f>
        <v>1250</v>
      </c>
      <c r="W53" s="2">
        <v>0.3</v>
      </c>
      <c r="X53" s="2">
        <f t="shared" ref="X53" si="37">((O53*F53)+Q53+R53+S53+U53)/G53</f>
        <v>37.532432432432429</v>
      </c>
      <c r="Y53" s="2">
        <f>((O53*F53)+Q53+R53+S53+T53+U53)/G53+W53</f>
        <v>38.058463898831263</v>
      </c>
      <c r="Z53" s="3">
        <f>Y53*G53</f>
        <v>844897.89855405409</v>
      </c>
      <c r="AA53" s="34">
        <v>43495</v>
      </c>
      <c r="AB53" s="3">
        <v>36.200000000000003</v>
      </c>
      <c r="AC53" s="35" t="s">
        <v>1875</v>
      </c>
    </row>
    <row r="54" spans="1:29" x14ac:dyDescent="0.25">
      <c r="A54" s="124"/>
      <c r="B54" s="27" t="s">
        <v>26</v>
      </c>
      <c r="C54" t="s">
        <v>27</v>
      </c>
      <c r="D54" s="28" t="s">
        <v>1636</v>
      </c>
      <c r="E54">
        <v>128</v>
      </c>
      <c r="F54" s="29">
        <v>13175</v>
      </c>
      <c r="G54" s="30">
        <v>11720</v>
      </c>
      <c r="H54" s="30">
        <f t="shared" si="36"/>
        <v>-1455</v>
      </c>
      <c r="I54" t="s">
        <v>1873</v>
      </c>
      <c r="K54" s="31"/>
      <c r="L54" s="31">
        <v>43482</v>
      </c>
      <c r="M54" s="28" t="s">
        <v>41</v>
      </c>
      <c r="O54" s="2">
        <v>27</v>
      </c>
      <c r="P54" s="32"/>
      <c r="Q54" s="116">
        <v>16900</v>
      </c>
      <c r="R54" s="2">
        <f>72*E54</f>
        <v>9216</v>
      </c>
      <c r="S54" s="33">
        <f>-38*E54</f>
        <v>-4864</v>
      </c>
      <c r="T54" s="141">
        <f>X54*F54*0.0045</f>
        <v>1910.2361678754262</v>
      </c>
      <c r="U54" s="2">
        <f>E54*5</f>
        <v>640</v>
      </c>
      <c r="W54" s="2">
        <v>0.3</v>
      </c>
      <c r="X54" s="2">
        <f>((O54*F54)+Q54+R54+S54+U54)/G54</f>
        <v>32.219880546075082</v>
      </c>
      <c r="Y54" s="2">
        <f>((O54*F54)+Q54+R54+S54+T54+U54)/G54+W54</f>
        <v>32.682869980194148</v>
      </c>
      <c r="Z54" s="3">
        <f>Y54*G54</f>
        <v>383043.23616787541</v>
      </c>
      <c r="AA54" s="34">
        <v>43495</v>
      </c>
      <c r="AB54" s="3"/>
      <c r="AC54" s="35"/>
    </row>
    <row r="55" spans="1:29" x14ac:dyDescent="0.25">
      <c r="A55" s="124"/>
      <c r="B55" s="27" t="s">
        <v>1789</v>
      </c>
      <c r="C55" t="s">
        <v>1790</v>
      </c>
      <c r="D55" s="28" t="s">
        <v>1734</v>
      </c>
      <c r="E55" t="s">
        <v>1937</v>
      </c>
      <c r="F55" s="29">
        <v>4505.4399999999996</v>
      </c>
      <c r="G55" s="30">
        <v>4506.04</v>
      </c>
      <c r="H55" s="30">
        <f t="shared" si="36"/>
        <v>0.6000000000003638</v>
      </c>
      <c r="I55" t="s">
        <v>1940</v>
      </c>
      <c r="K55" s="31"/>
      <c r="L55" s="31">
        <v>43482</v>
      </c>
      <c r="M55" s="28" t="s">
        <v>41</v>
      </c>
      <c r="O55" s="2">
        <v>54</v>
      </c>
      <c r="P55" s="32"/>
      <c r="Q55" s="2"/>
      <c r="R55" s="2"/>
      <c r="S55" s="33"/>
      <c r="T55" s="33"/>
      <c r="U55" s="2"/>
      <c r="W55" s="2"/>
      <c r="X55" s="2">
        <f>IF(O55&gt;0,O55,((P55*2.2046*S55)+(Q55+R55)/G55)+V55)</f>
        <v>54</v>
      </c>
      <c r="Y55" s="2">
        <f>IF(O55&gt;0,O55,((P55*2.2046*S55)+(Q55+R55+T55)/G55)+V55+W55)</f>
        <v>54</v>
      </c>
      <c r="Z55" s="3">
        <f>Y55*F55</f>
        <v>243293.75999999998</v>
      </c>
      <c r="AA55" s="34">
        <v>43489</v>
      </c>
      <c r="AB55" s="3"/>
      <c r="AC55" s="35"/>
    </row>
    <row r="56" spans="1:29" x14ac:dyDescent="0.25">
      <c r="A56" s="124"/>
      <c r="B56" s="27" t="s">
        <v>1729</v>
      </c>
      <c r="C56" s="28" t="s">
        <v>1730</v>
      </c>
      <c r="D56" s="28" t="s">
        <v>1731</v>
      </c>
      <c r="E56" t="s">
        <v>1936</v>
      </c>
      <c r="F56" s="29">
        <v>17067.849999999999</v>
      </c>
      <c r="G56" s="30">
        <v>17067.97</v>
      </c>
      <c r="H56" s="30">
        <f>G56-F56</f>
        <v>0.12000000000261934</v>
      </c>
      <c r="I56" t="s">
        <v>1923</v>
      </c>
      <c r="K56" s="31"/>
      <c r="L56" s="31">
        <v>43483</v>
      </c>
      <c r="M56" s="28" t="s">
        <v>45</v>
      </c>
      <c r="O56" s="2">
        <v>92.5</v>
      </c>
      <c r="P56" s="32"/>
      <c r="Q56" s="2"/>
      <c r="R56" s="2"/>
      <c r="S56" s="33"/>
      <c r="T56" s="33"/>
      <c r="U56" s="2"/>
      <c r="W56" s="2"/>
      <c r="X56" s="2">
        <f>IF(O56&gt;0,O56,((P56*2.2046*S56)+(Q56+R56)/G56)+V56)</f>
        <v>92.5</v>
      </c>
      <c r="Y56" s="2">
        <f>IF(O56&gt;0,O56,((P56*2.2046*S56)+(Q56+R56+T56)/G56)+V56+W56)</f>
        <v>92.5</v>
      </c>
      <c r="Z56" s="3">
        <f>Y56*F56</f>
        <v>1578776.1249999998</v>
      </c>
      <c r="AA56" s="34">
        <v>43525</v>
      </c>
      <c r="AB56" s="3"/>
      <c r="AC56" s="35"/>
    </row>
    <row r="57" spans="1:29" x14ac:dyDescent="0.25">
      <c r="A57" s="124"/>
      <c r="B57" s="27" t="s">
        <v>1732</v>
      </c>
      <c r="C57" s="28" t="s">
        <v>1733</v>
      </c>
      <c r="D57" s="28" t="s">
        <v>1734</v>
      </c>
      <c r="E57" t="s">
        <v>1921</v>
      </c>
      <c r="F57" s="29">
        <v>7621.6</v>
      </c>
      <c r="G57" s="30">
        <v>7621.6</v>
      </c>
      <c r="H57" s="30">
        <f>G57-F57</f>
        <v>0</v>
      </c>
      <c r="I57" t="s">
        <v>1941</v>
      </c>
      <c r="K57" s="31"/>
      <c r="L57" s="31">
        <v>43483</v>
      </c>
      <c r="M57" s="28" t="s">
        <v>45</v>
      </c>
      <c r="O57" s="2">
        <v>61.8</v>
      </c>
      <c r="P57" s="32"/>
      <c r="Q57" s="2"/>
      <c r="R57" s="2"/>
      <c r="S57" s="33"/>
      <c r="T57" s="33"/>
      <c r="U57" s="2"/>
      <c r="W57" s="2"/>
      <c r="X57" s="2">
        <f t="shared" ref="X57" si="38">IF(O57&gt;0,O57,((P57*2.2046*S57)+(Q57+R57)/G57)+V57)</f>
        <v>61.8</v>
      </c>
      <c r="Y57" s="2">
        <f t="shared" ref="Y57" si="39">IF(O57&gt;0,O57,((P57*2.2046*S57)+(Q57+R57+T57)/G57)+V57+W57)</f>
        <v>61.8</v>
      </c>
      <c r="Z57" s="3">
        <f t="shared" ref="Z57" si="40">Y57*F57</f>
        <v>471014.88</v>
      </c>
      <c r="AA57" s="34">
        <v>43490</v>
      </c>
      <c r="AB57" s="3"/>
      <c r="AC57" s="35"/>
    </row>
    <row r="58" spans="1:29" x14ac:dyDescent="0.25">
      <c r="A58" s="124"/>
      <c r="B58" s="27" t="s">
        <v>26</v>
      </c>
      <c r="C58" t="s">
        <v>27</v>
      </c>
      <c r="D58" s="28" t="s">
        <v>44</v>
      </c>
      <c r="E58">
        <v>234</v>
      </c>
      <c r="F58" s="29">
        <v>20778.5</v>
      </c>
      <c r="G58" s="30">
        <v>20840</v>
      </c>
      <c r="H58" s="30">
        <f t="shared" ref="H58:H61" si="41">G58-F58</f>
        <v>61.5</v>
      </c>
      <c r="I58" t="s">
        <v>1939</v>
      </c>
      <c r="K58" s="31"/>
      <c r="L58" s="31">
        <v>43483</v>
      </c>
      <c r="M58" s="28" t="s">
        <v>45</v>
      </c>
      <c r="O58" s="2">
        <v>34.4</v>
      </c>
      <c r="P58" s="32"/>
      <c r="Q58" s="69">
        <v>21300</v>
      </c>
      <c r="R58" s="2"/>
      <c r="S58" s="33"/>
      <c r="T58" s="141">
        <f>X58*F58*0.0045</f>
        <v>3307.8362986468328</v>
      </c>
      <c r="U58" s="2">
        <f>E58*5</f>
        <v>1170</v>
      </c>
      <c r="W58" s="2">
        <v>0.3</v>
      </c>
      <c r="X58" s="2">
        <f>((O58*F58)+Q58+R58+S58+U58)/G58</f>
        <v>35.376698656429944</v>
      </c>
      <c r="Y58" s="2">
        <f>((O58*F58)+Q58+R58+S58+T58+U58)/G58+W58</f>
        <v>35.835424006652921</v>
      </c>
      <c r="Z58" s="3">
        <f>Y58*G58</f>
        <v>746810.23629864689</v>
      </c>
      <c r="AA58" s="34">
        <v>43490</v>
      </c>
      <c r="AB58" s="3"/>
      <c r="AC58" s="35"/>
    </row>
    <row r="59" spans="1:29" x14ac:dyDescent="0.25">
      <c r="A59" s="124"/>
      <c r="B59" s="27" t="s">
        <v>26</v>
      </c>
      <c r="C59" t="s">
        <v>27</v>
      </c>
      <c r="D59" s="28" t="s">
        <v>1718</v>
      </c>
      <c r="E59">
        <v>210</v>
      </c>
      <c r="F59" s="29">
        <v>23800</v>
      </c>
      <c r="G59" s="30">
        <f>7340+11640</f>
        <v>18980</v>
      </c>
      <c r="H59" s="30">
        <f t="shared" si="41"/>
        <v>-4820</v>
      </c>
      <c r="I59" s="28" t="s">
        <v>1894</v>
      </c>
      <c r="K59" s="31"/>
      <c r="L59" s="31">
        <v>43483</v>
      </c>
      <c r="M59" s="28" t="s">
        <v>45</v>
      </c>
      <c r="O59" s="2">
        <v>27</v>
      </c>
      <c r="P59" s="32"/>
      <c r="Q59" s="116">
        <v>16900</v>
      </c>
      <c r="R59" s="2">
        <f>72*E59</f>
        <v>15120</v>
      </c>
      <c r="S59" s="33">
        <f>-38*E59</f>
        <v>-7980</v>
      </c>
      <c r="T59" s="141">
        <f>X59*F59*0.0045</f>
        <v>3767.6290305584826</v>
      </c>
      <c r="U59" s="2">
        <f>E59*5</f>
        <v>1050</v>
      </c>
      <c r="W59" s="2">
        <v>0.3</v>
      </c>
      <c r="X59" s="2">
        <f>((O59*F59)+Q59+R59+S59+U59)/G59</f>
        <v>35.178609062170707</v>
      </c>
      <c r="Y59" s="2">
        <f>((O59*F59)+Q59+R59+S59+T59+U59)/G59+W59</f>
        <v>35.6771142797976</v>
      </c>
      <c r="Z59" s="3">
        <f>Y59*G59</f>
        <v>677151.6290305584</v>
      </c>
      <c r="AA59" s="34">
        <v>43496</v>
      </c>
      <c r="AB59" s="3"/>
      <c r="AC59" s="35" t="s">
        <v>1895</v>
      </c>
    </row>
    <row r="60" spans="1:29" x14ac:dyDescent="0.25">
      <c r="A60" s="124"/>
      <c r="B60" s="27" t="s">
        <v>1912</v>
      </c>
      <c r="C60" t="s">
        <v>1913</v>
      </c>
      <c r="D60" s="28" t="s">
        <v>1806</v>
      </c>
      <c r="E60" t="s">
        <v>1914</v>
      </c>
      <c r="F60" s="29">
        <v>1000</v>
      </c>
      <c r="G60" s="30">
        <v>1000</v>
      </c>
      <c r="H60" s="30">
        <f t="shared" si="41"/>
        <v>0</v>
      </c>
      <c r="I60" s="28" t="s">
        <v>1915</v>
      </c>
      <c r="K60" s="31"/>
      <c r="L60" s="31">
        <v>43483</v>
      </c>
      <c r="M60" s="28" t="s">
        <v>45</v>
      </c>
      <c r="O60" s="2">
        <v>29.5</v>
      </c>
      <c r="P60" s="32"/>
      <c r="Q60" s="2"/>
      <c r="R60" s="2"/>
      <c r="S60" s="33"/>
      <c r="T60" s="33"/>
      <c r="U60" s="2"/>
      <c r="W60" s="2"/>
      <c r="X60" s="2">
        <f>IF(O60&gt;0,O60,((P60*2.2046*S60)+(Q60+R60)/G60)+V60)</f>
        <v>29.5</v>
      </c>
      <c r="Y60" s="2">
        <f>IF(O60&gt;0,O60,((P60*2.2046*S60)+(Q60+R60+T60)/G60)+V60+W60)</f>
        <v>29.5</v>
      </c>
      <c r="Z60" s="3">
        <f>Y60*F60</f>
        <v>29500</v>
      </c>
      <c r="AA60" s="34">
        <v>43490</v>
      </c>
      <c r="AB60" s="3"/>
      <c r="AC60" s="35"/>
    </row>
    <row r="61" spans="1:29" x14ac:dyDescent="0.25">
      <c r="A61" s="124"/>
      <c r="B61" s="27" t="s">
        <v>30</v>
      </c>
      <c r="C61" t="s">
        <v>40</v>
      </c>
      <c r="D61" s="28" t="s">
        <v>40</v>
      </c>
      <c r="E61" t="s">
        <v>37</v>
      </c>
      <c r="F61" s="29">
        <f>42279*0.4536</f>
        <v>19177.754400000002</v>
      </c>
      <c r="G61" s="30">
        <v>19163.560000000001</v>
      </c>
      <c r="H61" s="30">
        <f t="shared" si="41"/>
        <v>-14.194400000000314</v>
      </c>
      <c r="I61" s="28" t="s">
        <v>1741</v>
      </c>
      <c r="J61" s="52" t="s">
        <v>196</v>
      </c>
      <c r="K61" s="31">
        <v>43483</v>
      </c>
      <c r="L61" s="31">
        <v>43119</v>
      </c>
      <c r="M61" s="28" t="s">
        <v>46</v>
      </c>
      <c r="N61" s="28" t="s">
        <v>1728</v>
      </c>
      <c r="O61" s="2"/>
      <c r="P61" s="32">
        <f>0.5132+0.105</f>
        <v>0.61819999999999997</v>
      </c>
      <c r="Q61" s="116">
        <v>26000</v>
      </c>
      <c r="R61" s="2">
        <v>100172</v>
      </c>
      <c r="S61" s="68">
        <v>19.09</v>
      </c>
      <c r="T61" s="141">
        <f>X61*F61*0.005</f>
        <v>3137.6152807007938</v>
      </c>
      <c r="V61" s="2">
        <v>0.12</v>
      </c>
      <c r="W61" s="2">
        <v>0.3</v>
      </c>
      <c r="X61" s="2">
        <f>IF(O61&gt;0,O61,((P61*2.2046*S61)+(Q61+R61)/G61)+V61)</f>
        <v>32.721404344408477</v>
      </c>
      <c r="Y61" s="2">
        <f>IF(O61&gt;0,O61,((P61*2.2046*S61)+(Q61+R61+T61)/G61)+V61+W61)</f>
        <v>33.185132549434094</v>
      </c>
      <c r="Z61" s="3">
        <f>Y61*F61</f>
        <v>636416.32176449301</v>
      </c>
      <c r="AA61" s="34">
        <v>43479</v>
      </c>
      <c r="AB61" s="3"/>
      <c r="AC61" s="35"/>
    </row>
    <row r="62" spans="1:29" ht="15.75" thickBot="1" x14ac:dyDescent="0.3">
      <c r="A62" s="125"/>
      <c r="B62" s="41"/>
      <c r="C62" s="4"/>
      <c r="D62" s="4"/>
      <c r="E62" s="4"/>
      <c r="F62" s="42"/>
      <c r="G62" s="42"/>
      <c r="H62" s="42"/>
      <c r="I62" s="7"/>
      <c r="J62" s="4"/>
      <c r="K62" s="8"/>
      <c r="L62" s="8"/>
      <c r="M62" s="4"/>
      <c r="N62" s="4"/>
      <c r="O62" s="9"/>
      <c r="P62" s="10"/>
      <c r="Q62" s="9"/>
      <c r="R62" s="9"/>
      <c r="S62" s="9"/>
      <c r="T62" s="9"/>
      <c r="U62" s="9"/>
      <c r="V62" s="9"/>
      <c r="W62" s="9"/>
      <c r="X62" s="9"/>
      <c r="Y62" s="9"/>
      <c r="Z62" s="13"/>
      <c r="AA62" s="43"/>
      <c r="AB62" s="3"/>
      <c r="AC62" s="35"/>
    </row>
    <row r="63" spans="1:29" ht="15.75" thickTop="1" x14ac:dyDescent="0.25">
      <c r="A63" s="126"/>
      <c r="B63" s="14" t="s">
        <v>26</v>
      </c>
      <c r="C63" s="14" t="s">
        <v>27</v>
      </c>
      <c r="D63" s="15" t="s">
        <v>1718</v>
      </c>
      <c r="E63" s="14">
        <v>220</v>
      </c>
      <c r="F63" s="16">
        <v>25870</v>
      </c>
      <c r="G63" s="17">
        <v>23670</v>
      </c>
      <c r="H63" s="18">
        <f t="shared" ref="H63:H65" si="42">G63-F63</f>
        <v>-2200</v>
      </c>
      <c r="I63" s="19" t="s">
        <v>1907</v>
      </c>
      <c r="J63" s="14">
        <v>250</v>
      </c>
      <c r="K63" s="20"/>
      <c r="L63" s="20">
        <v>43485</v>
      </c>
      <c r="M63" s="15" t="s">
        <v>28</v>
      </c>
      <c r="N63" s="14"/>
      <c r="O63" s="21">
        <v>27</v>
      </c>
      <c r="P63" s="22"/>
      <c r="Q63" s="120">
        <v>21300</v>
      </c>
      <c r="R63" s="2">
        <f>72*E63</f>
        <v>15840</v>
      </c>
      <c r="S63" s="21">
        <f>-38*E63</f>
        <v>-8360</v>
      </c>
      <c r="T63" s="157">
        <f>X63*F63*0.0045</f>
        <v>3582.3064448669202</v>
      </c>
      <c r="U63" s="21">
        <f>E63*5</f>
        <v>1100</v>
      </c>
      <c r="V63" s="14"/>
      <c r="W63" s="21">
        <v>0.3</v>
      </c>
      <c r="X63" s="21">
        <f>((O63*F63)+Q63+R63+S63+U63)/G63</f>
        <v>30.771863117870723</v>
      </c>
      <c r="Y63" s="24">
        <f>((O63*F63)+Q63+R63+S63+T63+U63)/G63+W63</f>
        <v>31.223206862901012</v>
      </c>
      <c r="Z63" s="24">
        <f>Y63*G63</f>
        <v>739053.30644486693</v>
      </c>
      <c r="AA63" s="25">
        <v>43500</v>
      </c>
      <c r="AB63" s="3"/>
      <c r="AC63" s="3"/>
    </row>
    <row r="64" spans="1:29" x14ac:dyDescent="0.25">
      <c r="A64" s="127"/>
      <c r="B64" s="27" t="s">
        <v>26</v>
      </c>
      <c r="C64" t="s">
        <v>27</v>
      </c>
      <c r="D64" s="28" t="s">
        <v>1718</v>
      </c>
      <c r="E64">
        <v>160</v>
      </c>
      <c r="F64" s="29">
        <v>19290</v>
      </c>
      <c r="G64" s="30">
        <v>12090</v>
      </c>
      <c r="H64" s="30">
        <f t="shared" si="42"/>
        <v>-7200</v>
      </c>
      <c r="I64" s="28" t="s">
        <v>1908</v>
      </c>
      <c r="J64">
        <v>130</v>
      </c>
      <c r="K64" s="119">
        <v>0.79100000000000004</v>
      </c>
      <c r="L64" s="31">
        <v>43485</v>
      </c>
      <c r="M64" s="28" t="s">
        <v>28</v>
      </c>
      <c r="O64" s="2">
        <v>27</v>
      </c>
      <c r="P64" s="32"/>
      <c r="Q64" s="116">
        <v>16900</v>
      </c>
      <c r="R64" s="2">
        <f>72*E64</f>
        <v>11520</v>
      </c>
      <c r="S64" s="33">
        <f>-38*E64</f>
        <v>-6080</v>
      </c>
      <c r="T64" s="141">
        <f>X64*F64*0.0045</f>
        <v>3905.6506079404462</v>
      </c>
      <c r="U64" s="2">
        <f>E64*5</f>
        <v>800</v>
      </c>
      <c r="W64" s="2">
        <v>0.3</v>
      </c>
      <c r="X64" s="2">
        <f>((O64*F64)+Q64+R64+S64+U64)/G64</f>
        <v>44.993382961124894</v>
      </c>
      <c r="Y64" s="2">
        <f>((O64*F64)+Q64+R64+S64+T64+U64)/G64+W64</f>
        <v>45.616430984941303</v>
      </c>
      <c r="Z64" s="3">
        <f>Y64*G64</f>
        <v>551502.65060794039</v>
      </c>
      <c r="AA64" s="34">
        <v>43500</v>
      </c>
      <c r="AB64" s="3">
        <v>36.090000000000003</v>
      </c>
      <c r="AC64" s="35" t="s">
        <v>1926</v>
      </c>
    </row>
    <row r="65" spans="1:32" x14ac:dyDescent="0.25">
      <c r="A65" s="127"/>
      <c r="B65" s="27" t="s">
        <v>26</v>
      </c>
      <c r="C65" t="s">
        <v>27</v>
      </c>
      <c r="D65" s="28" t="s">
        <v>1871</v>
      </c>
      <c r="E65">
        <v>199</v>
      </c>
      <c r="F65" s="29">
        <v>21005</v>
      </c>
      <c r="G65" s="30">
        <v>16270</v>
      </c>
      <c r="H65" s="30">
        <f t="shared" si="42"/>
        <v>-4735</v>
      </c>
      <c r="I65" s="28" t="s">
        <v>1942</v>
      </c>
      <c r="K65" s="119">
        <v>0.77400000000000002</v>
      </c>
      <c r="L65" s="31">
        <v>43486</v>
      </c>
      <c r="M65" s="28" t="s">
        <v>29</v>
      </c>
      <c r="O65" s="2">
        <v>27</v>
      </c>
      <c r="P65" s="32"/>
      <c r="Q65" s="69">
        <v>21300</v>
      </c>
      <c r="R65" s="2">
        <f>72*E65</f>
        <v>14328</v>
      </c>
      <c r="S65" s="33">
        <f>-38*E65</f>
        <v>-7562</v>
      </c>
      <c r="T65" s="141">
        <f>X65*F65*0.0045</f>
        <v>3463.6715679164104</v>
      </c>
      <c r="U65" s="2">
        <f>E65*5</f>
        <v>995</v>
      </c>
      <c r="W65" s="2">
        <v>0.3</v>
      </c>
      <c r="X65" s="2">
        <f>((O65*F65)+Q65+R65+S65+U65)/G65</f>
        <v>36.643884449907809</v>
      </c>
      <c r="Y65" s="2">
        <f>((O65*F65)+Q65+R65+S65+T65+U65)/G65+W65</f>
        <v>37.156771454696766</v>
      </c>
      <c r="Z65" s="3">
        <f>Y65*G65</f>
        <v>604540.6715679164</v>
      </c>
      <c r="AA65" s="34">
        <v>43500</v>
      </c>
      <c r="AB65" s="3"/>
      <c r="AC65" s="35"/>
    </row>
    <row r="66" spans="1:32" x14ac:dyDescent="0.25">
      <c r="A66" s="127"/>
      <c r="B66" s="27" t="s">
        <v>26</v>
      </c>
      <c r="C66" t="s">
        <v>27</v>
      </c>
      <c r="D66" s="28" t="s">
        <v>1829</v>
      </c>
      <c r="E66">
        <v>130</v>
      </c>
      <c r="F66" s="29">
        <v>14035</v>
      </c>
      <c r="G66" s="30">
        <v>11000</v>
      </c>
      <c r="H66" s="30">
        <f t="shared" ref="H66" si="43">G66-F66</f>
        <v>-3035</v>
      </c>
      <c r="I66" s="28" t="s">
        <v>1943</v>
      </c>
      <c r="K66" s="119">
        <v>0.78300000000000003</v>
      </c>
      <c r="L66" s="31">
        <v>43486</v>
      </c>
      <c r="M66" s="28" t="s">
        <v>29</v>
      </c>
      <c r="O66" s="2">
        <v>27</v>
      </c>
      <c r="P66" s="32"/>
      <c r="Q66" s="116">
        <v>16900</v>
      </c>
      <c r="R66" s="2">
        <f>72*E66</f>
        <v>9360</v>
      </c>
      <c r="S66" s="33">
        <f>-38*E66</f>
        <v>-4940</v>
      </c>
      <c r="T66" s="141">
        <f>X66*F66*0.0045</f>
        <v>2301.8899193181815</v>
      </c>
      <c r="U66" s="2">
        <f>E66*5</f>
        <v>650</v>
      </c>
      <c r="W66" s="2">
        <v>0.3</v>
      </c>
      <c r="X66" s="2">
        <f>((O66*F66)+Q66+R66+S66+U66)/G66</f>
        <v>36.44681818181818</v>
      </c>
      <c r="Y66" s="2">
        <f>((O66*F66)+Q66+R66+S66+T66+U66)/G66+W66</f>
        <v>36.956080901756195</v>
      </c>
      <c r="Z66" s="3">
        <f>Y66*G66</f>
        <v>406516.88991931814</v>
      </c>
      <c r="AA66" s="34">
        <v>43500</v>
      </c>
      <c r="AB66" s="3"/>
      <c r="AC66" s="35" t="s">
        <v>1944</v>
      </c>
    </row>
    <row r="67" spans="1:32" x14ac:dyDescent="0.25">
      <c r="A67" s="127"/>
      <c r="B67" s="27" t="s">
        <v>30</v>
      </c>
      <c r="C67" s="28" t="s">
        <v>35</v>
      </c>
      <c r="D67" s="28" t="s">
        <v>36</v>
      </c>
      <c r="E67" t="s">
        <v>37</v>
      </c>
      <c r="F67" s="29">
        <f>41648*0.4536</f>
        <v>18891.532800000001</v>
      </c>
      <c r="G67" s="30">
        <v>18797.07</v>
      </c>
      <c r="H67" s="30">
        <f>G67-F67</f>
        <v>-94.462800000001153</v>
      </c>
      <c r="I67" t="s">
        <v>1747</v>
      </c>
      <c r="J67" s="52" t="s">
        <v>196</v>
      </c>
      <c r="K67" s="31">
        <v>43486</v>
      </c>
      <c r="L67" s="31">
        <v>43487</v>
      </c>
      <c r="M67" s="28" t="s">
        <v>48</v>
      </c>
      <c r="N67" s="28" t="s">
        <v>1742</v>
      </c>
      <c r="O67" s="2"/>
      <c r="P67" s="32">
        <f>0.5222+0.1</f>
        <v>0.62219999999999998</v>
      </c>
      <c r="Q67" s="116">
        <v>26000</v>
      </c>
      <c r="R67" s="2">
        <v>102294</v>
      </c>
      <c r="S67" s="68">
        <v>19.23</v>
      </c>
      <c r="T67" s="141">
        <f>X67*F67*0.005</f>
        <v>3147.6169333213925</v>
      </c>
      <c r="V67" s="2">
        <v>0.12</v>
      </c>
      <c r="W67" s="2">
        <v>0.3</v>
      </c>
      <c r="X67" s="2">
        <f>IF(O67&gt;0,O67,((P67*2.2046*S67)+(Q67+R67)/G67)+V67)</f>
        <v>33.323044420423017</v>
      </c>
      <c r="Y67" s="2">
        <f>IF(O67&gt;0,O67,((P67*2.2046*S67)+(Q67+R67+T67)/G67)+V67+W67)</f>
        <v>33.790496950701481</v>
      </c>
      <c r="Z67" s="3">
        <f>Y67*F67</f>
        <v>638354.28147247701</v>
      </c>
      <c r="AA67" s="34">
        <v>43487</v>
      </c>
      <c r="AB67" s="3"/>
      <c r="AC67" s="35"/>
    </row>
    <row r="68" spans="1:32" x14ac:dyDescent="0.25">
      <c r="A68" s="127"/>
      <c r="B68" s="27" t="s">
        <v>26</v>
      </c>
      <c r="C68" t="s">
        <v>27</v>
      </c>
      <c r="D68" s="28" t="s">
        <v>1720</v>
      </c>
      <c r="E68">
        <v>200</v>
      </c>
      <c r="F68" s="29">
        <v>21235</v>
      </c>
      <c r="G68" s="30">
        <v>16430</v>
      </c>
      <c r="H68" s="30">
        <f>G68-F68</f>
        <v>-4805</v>
      </c>
      <c r="I68" s="28" t="s">
        <v>1947</v>
      </c>
      <c r="K68" s="119">
        <v>0.77300000000000002</v>
      </c>
      <c r="L68" s="31">
        <v>43487</v>
      </c>
      <c r="M68" s="28" t="s">
        <v>48</v>
      </c>
      <c r="O68" s="2">
        <v>27</v>
      </c>
      <c r="P68" s="32"/>
      <c r="Q68" s="69">
        <v>21300</v>
      </c>
      <c r="R68" s="2">
        <f>72*E68</f>
        <v>14400</v>
      </c>
      <c r="S68" s="33">
        <f>-38*E68</f>
        <v>-7600</v>
      </c>
      <c r="T68" s="141">
        <f>X68*F68*0.005</f>
        <v>3893.1587264150949</v>
      </c>
      <c r="U68" s="2">
        <f>E68*5</f>
        <v>1000</v>
      </c>
      <c r="W68" s="2">
        <v>0.3</v>
      </c>
      <c r="X68" s="2">
        <f>((O68*F68)+Q68+R68+S68+U68)/G68</f>
        <v>36.66737674984784</v>
      </c>
      <c r="Y68" s="2">
        <f>((O68*F68)+Q68+R68+S68+T68+U68)/G68+W68</f>
        <v>37.204331024127512</v>
      </c>
      <c r="Z68" s="3">
        <f>Y68*G68</f>
        <v>611267.15872641501</v>
      </c>
      <c r="AA68" s="34">
        <v>43501</v>
      </c>
      <c r="AB68" s="3"/>
      <c r="AC68" s="35"/>
      <c r="AF68" s="30"/>
    </row>
    <row r="69" spans="1:32" x14ac:dyDescent="0.25">
      <c r="A69" s="127"/>
      <c r="B69" s="27" t="s">
        <v>30</v>
      </c>
      <c r="C69" s="28" t="s">
        <v>31</v>
      </c>
      <c r="D69" s="28" t="s">
        <v>31</v>
      </c>
      <c r="E69" t="s">
        <v>32</v>
      </c>
      <c r="F69" s="29">
        <f>40813*0.4536</f>
        <v>18512.7768</v>
      </c>
      <c r="G69" s="30">
        <v>18485.509999999998</v>
      </c>
      <c r="H69" s="30">
        <f t="shared" ref="H69:H72" si="44">G69-F69</f>
        <v>-27.26680000000124</v>
      </c>
      <c r="I69" s="28" t="s">
        <v>1653</v>
      </c>
      <c r="J69" s="52" t="s">
        <v>1690</v>
      </c>
      <c r="K69" s="31">
        <v>43487</v>
      </c>
      <c r="L69" s="31">
        <v>43488</v>
      </c>
      <c r="M69" s="28" t="s">
        <v>33</v>
      </c>
      <c r="N69" s="28" t="s">
        <v>1743</v>
      </c>
      <c r="O69" s="2"/>
      <c r="P69" s="32">
        <f>0.5222+0.095</f>
        <v>0.61719999999999997</v>
      </c>
      <c r="Q69" s="116">
        <v>26000</v>
      </c>
      <c r="R69" s="2">
        <v>97384</v>
      </c>
      <c r="S69" s="68">
        <v>19.100000000000001</v>
      </c>
      <c r="T69" s="141">
        <f t="shared" ref="T69:T72" si="45">X69*F69*0.005</f>
        <v>3034.5777602274275</v>
      </c>
      <c r="V69" s="2">
        <v>0.12</v>
      </c>
      <c r="W69" s="2">
        <v>0.3</v>
      </c>
      <c r="X69" s="2">
        <f>IF(O69&gt;0,O69,((P69*2.2046*S69)+(Q69+R69)/G69)+V69)</f>
        <v>32.783604458812761</v>
      </c>
      <c r="Y69" s="2">
        <f>IF(O69&gt;0,O69,((P69*2.2046*S69)+(Q69+R69+T69)/G69)+V69+W69)</f>
        <v>33.247764266155237</v>
      </c>
      <c r="Z69" s="3">
        <f>Y69*F69</f>
        <v>615508.43895834766</v>
      </c>
      <c r="AA69" s="34">
        <v>43481</v>
      </c>
      <c r="AB69" s="3"/>
      <c r="AC69" s="35"/>
    </row>
    <row r="70" spans="1:32" x14ac:dyDescent="0.25">
      <c r="A70" s="127"/>
      <c r="B70" s="27" t="s">
        <v>30</v>
      </c>
      <c r="C70" s="28" t="s">
        <v>31</v>
      </c>
      <c r="D70" s="28" t="s">
        <v>31</v>
      </c>
      <c r="E70" t="s">
        <v>32</v>
      </c>
      <c r="F70" s="29">
        <f>41287*0.4536</f>
        <v>18727.783200000002</v>
      </c>
      <c r="G70" s="30">
        <v>18673.84</v>
      </c>
      <c r="H70" s="30">
        <f t="shared" si="44"/>
        <v>-53.943200000001525</v>
      </c>
      <c r="I70" s="28" t="s">
        <v>1654</v>
      </c>
      <c r="J70" s="52" t="s">
        <v>196</v>
      </c>
      <c r="K70" s="31">
        <v>43487</v>
      </c>
      <c r="L70" s="31">
        <v>43488</v>
      </c>
      <c r="M70" s="28" t="s">
        <v>33</v>
      </c>
      <c r="N70" s="28" t="s">
        <v>1743</v>
      </c>
      <c r="O70" s="2"/>
      <c r="P70" s="32">
        <f t="shared" ref="P70:P71" si="46">0.5222+0.095</f>
        <v>0.61719999999999997</v>
      </c>
      <c r="Q70" s="116">
        <v>26000</v>
      </c>
      <c r="R70" s="2">
        <v>96064</v>
      </c>
      <c r="S70" s="68">
        <v>19.100000000000001</v>
      </c>
      <c r="T70" s="141">
        <f t="shared" si="45"/>
        <v>3056.8987942402055</v>
      </c>
      <c r="V70" s="2">
        <v>0.12</v>
      </c>
      <c r="W70" s="2">
        <v>0.3</v>
      </c>
      <c r="X70" s="2">
        <f t="shared" ref="X70" si="47">IF(O70&gt;0,O70,((P70*2.2046*S70)+(Q70+R70)/G70)+V70)</f>
        <v>32.645602115259486</v>
      </c>
      <c r="Y70" s="2">
        <f t="shared" ref="Y70" si="48">IF(O70&gt;0,O70,((P70*2.2046*S70)+(Q70+R70+T70)/G70)+V70+W70)</f>
        <v>33.10930164327516</v>
      </c>
      <c r="Z70" s="3">
        <f t="shared" ref="Z70" si="49">Y70*F70</f>
        <v>620063.82307866099</v>
      </c>
      <c r="AA70" s="34">
        <v>43481</v>
      </c>
      <c r="AB70" s="3"/>
      <c r="AC70" s="35"/>
    </row>
    <row r="71" spans="1:32" x14ac:dyDescent="0.25">
      <c r="A71" s="127"/>
      <c r="B71" s="27" t="s">
        <v>30</v>
      </c>
      <c r="C71" s="28" t="s">
        <v>1790</v>
      </c>
      <c r="D71" s="28" t="s">
        <v>1790</v>
      </c>
      <c r="E71" t="s">
        <v>32</v>
      </c>
      <c r="F71" s="29">
        <f>42285*0.4536</f>
        <v>19180.475999999999</v>
      </c>
      <c r="G71" s="30">
        <v>19467.09</v>
      </c>
      <c r="H71" s="30">
        <f>G71-F71</f>
        <v>286.6140000000014</v>
      </c>
      <c r="I71" s="28" t="s">
        <v>1748</v>
      </c>
      <c r="J71" s="52" t="s">
        <v>196</v>
      </c>
      <c r="K71" s="31">
        <v>43487</v>
      </c>
      <c r="L71" s="31">
        <v>43488</v>
      </c>
      <c r="M71" s="28" t="s">
        <v>33</v>
      </c>
      <c r="N71" s="28" t="s">
        <v>1743</v>
      </c>
      <c r="O71" s="2"/>
      <c r="P71" s="32">
        <f t="shared" si="46"/>
        <v>0.61719999999999997</v>
      </c>
      <c r="Q71" s="116">
        <v>26000</v>
      </c>
      <c r="R71" s="2">
        <v>100459</v>
      </c>
      <c r="S71" s="68">
        <v>19.091999999999999</v>
      </c>
      <c r="T71" s="141">
        <f t="shared" ref="T71" si="50">X71*F71*0.005</f>
        <v>3125.8542573489885</v>
      </c>
      <c r="V71" s="2">
        <v>0.12</v>
      </c>
      <c r="W71" s="2">
        <v>0.3</v>
      </c>
      <c r="X71" s="2">
        <f>IF(O71&gt;0,O71,((P71*2.2046*S71)+(Q71+R71)/G71)+V71)</f>
        <v>32.594125999260797</v>
      </c>
      <c r="Y71" s="2">
        <f>IF(O71&gt;0,O71,((P71*2.2046*S71)+(Q71+R71+T71)/G71)+V71+W71)</f>
        <v>33.054697212387616</v>
      </c>
      <c r="Z71" s="3">
        <f>Y71*F71</f>
        <v>634004.82656946755</v>
      </c>
      <c r="AA71" s="34">
        <v>43490</v>
      </c>
      <c r="AB71" s="3"/>
      <c r="AC71" s="35"/>
    </row>
    <row r="72" spans="1:32" x14ac:dyDescent="0.25">
      <c r="A72" s="127"/>
      <c r="B72" s="27" t="s">
        <v>26</v>
      </c>
      <c r="C72" t="s">
        <v>27</v>
      </c>
      <c r="D72" s="28" t="s">
        <v>1718</v>
      </c>
      <c r="E72">
        <f>219+30</f>
        <v>249</v>
      </c>
      <c r="F72" s="29">
        <f>26330+3575</f>
        <v>29905</v>
      </c>
      <c r="G72" s="30">
        <f>16970+6680</f>
        <v>23650</v>
      </c>
      <c r="H72" s="30">
        <f t="shared" si="44"/>
        <v>-6255</v>
      </c>
      <c r="I72" s="28" t="s">
        <v>1948</v>
      </c>
      <c r="K72" s="119">
        <v>0.79</v>
      </c>
      <c r="L72" s="31">
        <v>43488</v>
      </c>
      <c r="M72" s="28" t="s">
        <v>33</v>
      </c>
      <c r="O72" s="2">
        <v>27</v>
      </c>
      <c r="P72" s="32"/>
      <c r="Q72" s="69">
        <v>21300</v>
      </c>
      <c r="R72" s="2">
        <f>72*E72</f>
        <v>17928</v>
      </c>
      <c r="S72" s="33">
        <f>-38*E72</f>
        <v>-9462</v>
      </c>
      <c r="T72" s="141">
        <f t="shared" si="45"/>
        <v>5300.9994989429169</v>
      </c>
      <c r="U72" s="2">
        <f>E72*5</f>
        <v>1245</v>
      </c>
      <c r="W72" s="2">
        <v>0.3</v>
      </c>
      <c r="X72" s="2">
        <f t="shared" ref="X72" si="51">((O72*F72)+Q72+R72+S72+U72)/G72</f>
        <v>35.452262156448199</v>
      </c>
      <c r="Y72" s="2">
        <f>((O72*F72)+Q72+R72+S72+T72+U72)/G72+W72</f>
        <v>35.976405898475385</v>
      </c>
      <c r="Z72" s="3">
        <f>Y72*G72</f>
        <v>850841.99949894287</v>
      </c>
      <c r="AA72" s="34">
        <v>43501</v>
      </c>
      <c r="AB72" s="3"/>
      <c r="AC72" s="35" t="s">
        <v>1951</v>
      </c>
    </row>
    <row r="73" spans="1:32" x14ac:dyDescent="0.25">
      <c r="A73" s="127"/>
      <c r="B73" s="27" t="s">
        <v>30</v>
      </c>
      <c r="C73" s="28" t="s">
        <v>40</v>
      </c>
      <c r="D73" s="28" t="s">
        <v>40</v>
      </c>
      <c r="E73" t="s">
        <v>37</v>
      </c>
      <c r="F73" s="29">
        <f>42323*0.4536</f>
        <v>19197.712800000001</v>
      </c>
      <c r="G73" s="30">
        <v>19130.54</v>
      </c>
      <c r="H73" s="30">
        <f>G73-F73</f>
        <v>-67.172800000000279</v>
      </c>
      <c r="I73" s="28" t="s">
        <v>1749</v>
      </c>
      <c r="J73" s="52" t="s">
        <v>196</v>
      </c>
      <c r="K73" s="31">
        <v>43488</v>
      </c>
      <c r="L73" s="31">
        <v>43489</v>
      </c>
      <c r="M73" s="28" t="s">
        <v>41</v>
      </c>
      <c r="N73" s="28" t="s">
        <v>1744</v>
      </c>
      <c r="O73" s="2"/>
      <c r="P73" s="32">
        <f>0.5322+0.105</f>
        <v>0.63719999999999999</v>
      </c>
      <c r="Q73" s="116">
        <v>26000</v>
      </c>
      <c r="R73" s="2">
        <v>101969</v>
      </c>
      <c r="S73" s="68">
        <v>19.007000000000001</v>
      </c>
      <c r="T73" s="141">
        <f>X73*F73*0.005</f>
        <v>3216.5514888916946</v>
      </c>
      <c r="V73" s="2">
        <v>0.12</v>
      </c>
      <c r="W73" s="2">
        <v>0.3</v>
      </c>
      <c r="X73" s="2">
        <f>IF(O73&gt;0,O73,((P73*2.2046*S73)+(Q73+R73)/G73)+V73)</f>
        <v>33.509736523318487</v>
      </c>
      <c r="Y73" s="2">
        <f>IF(O73&gt;0,O73,((P73*2.2046*S73)+(Q73+R73+T73)/G73)+V73+W73)</f>
        <v>33.977873517302541</v>
      </c>
      <c r="Z73" s="3">
        <f>Y73*F73</f>
        <v>652297.45733990008</v>
      </c>
      <c r="AA73" s="34">
        <v>43482</v>
      </c>
      <c r="AB73" s="3" t="s">
        <v>1963</v>
      </c>
      <c r="AC73" s="35"/>
    </row>
    <row r="74" spans="1:32" x14ac:dyDescent="0.25">
      <c r="A74" s="127"/>
      <c r="B74" s="27" t="s">
        <v>26</v>
      </c>
      <c r="C74" t="s">
        <v>27</v>
      </c>
      <c r="D74" s="28" t="s">
        <v>1636</v>
      </c>
      <c r="E74">
        <v>200</v>
      </c>
      <c r="F74" s="29">
        <v>19870</v>
      </c>
      <c r="G74" s="30">
        <v>21870</v>
      </c>
      <c r="H74" s="30">
        <f t="shared" ref="H74:H78" si="52">G74-F74</f>
        <v>2000</v>
      </c>
      <c r="I74" s="28" t="s">
        <v>1957</v>
      </c>
      <c r="J74">
        <v>250</v>
      </c>
      <c r="K74" s="31"/>
      <c r="L74" s="31">
        <v>43489</v>
      </c>
      <c r="M74" s="28" t="s">
        <v>41</v>
      </c>
      <c r="O74" s="2">
        <v>27</v>
      </c>
      <c r="P74" s="32"/>
      <c r="Q74" s="69">
        <v>21300</v>
      </c>
      <c r="R74" s="2">
        <f>72*E74</f>
        <v>14400</v>
      </c>
      <c r="S74" s="33">
        <f>-38*E74</f>
        <v>-7600</v>
      </c>
      <c r="T74" s="141">
        <f>X74*F74*0.0045</f>
        <v>2312.4019135802469</v>
      </c>
      <c r="U74" s="2">
        <f>E74*5</f>
        <v>1000</v>
      </c>
      <c r="W74" s="2">
        <v>0.3</v>
      </c>
      <c r="X74" s="2">
        <f t="shared" ref="X74" si="53">((O74*F74)+Q74+R74+S74+U74)/G74</f>
        <v>25.861454046639231</v>
      </c>
      <c r="Y74" s="2">
        <f>((O74*F74)+Q74+R74+S74+T74+U74)/G74+W74</f>
        <v>26.267188016167363</v>
      </c>
      <c r="Z74" s="3">
        <f>Y74*G74</f>
        <v>574463.40191358025</v>
      </c>
      <c r="AA74" s="34">
        <v>43502</v>
      </c>
      <c r="AB74" s="3"/>
      <c r="AC74" s="35"/>
    </row>
    <row r="75" spans="1:32" x14ac:dyDescent="0.25">
      <c r="A75" s="127"/>
      <c r="B75" s="27" t="s">
        <v>26</v>
      </c>
      <c r="C75" t="s">
        <v>27</v>
      </c>
      <c r="D75" s="28" t="s">
        <v>1871</v>
      </c>
      <c r="E75">
        <v>180</v>
      </c>
      <c r="F75" s="29">
        <v>20765</v>
      </c>
      <c r="G75" s="30">
        <v>9960</v>
      </c>
      <c r="H75" s="30">
        <f t="shared" si="52"/>
        <v>-10805</v>
      </c>
      <c r="I75" s="28" t="s">
        <v>1958</v>
      </c>
      <c r="J75">
        <v>130</v>
      </c>
      <c r="K75" s="119">
        <v>0.78300000000000003</v>
      </c>
      <c r="L75" s="31">
        <v>43489</v>
      </c>
      <c r="M75" s="28" t="s">
        <v>41</v>
      </c>
      <c r="O75" s="2">
        <v>27</v>
      </c>
      <c r="P75" s="32"/>
      <c r="Q75" s="116">
        <v>16900</v>
      </c>
      <c r="R75" s="2">
        <f>72*E75</f>
        <v>12960</v>
      </c>
      <c r="S75" s="33">
        <f>-38*E75</f>
        <v>-6840</v>
      </c>
      <c r="T75" s="141">
        <f>X75*F75*0.0045</f>
        <v>5484.3523531626506</v>
      </c>
      <c r="U75" s="2">
        <f>E75*5</f>
        <v>900</v>
      </c>
      <c r="W75" s="2">
        <v>0.3</v>
      </c>
      <c r="X75" s="2">
        <f>((O75*F75)+Q75+R75+S75+U75)/G75</f>
        <v>58.692269076305223</v>
      </c>
      <c r="Y75" s="2">
        <f>((O75*F75)+Q75+R75+S75+T75+U75)/G75+W75</f>
        <v>59.542906862767325</v>
      </c>
      <c r="Z75" s="3">
        <f>Y75*G75</f>
        <v>593047.3523531626</v>
      </c>
      <c r="AA75" s="34">
        <v>43502</v>
      </c>
      <c r="AB75" s="3">
        <v>36.6</v>
      </c>
      <c r="AC75" s="35" t="s">
        <v>1959</v>
      </c>
    </row>
    <row r="76" spans="1:32" x14ac:dyDescent="0.25">
      <c r="A76" s="127"/>
      <c r="B76" s="27" t="s">
        <v>1909</v>
      </c>
      <c r="C76" t="s">
        <v>2006</v>
      </c>
      <c r="D76" s="28" t="s">
        <v>1806</v>
      </c>
      <c r="E76" t="s">
        <v>2007</v>
      </c>
      <c r="F76" s="29">
        <f>874+866</f>
        <v>1740</v>
      </c>
      <c r="G76" s="30">
        <v>1740</v>
      </c>
      <c r="H76" s="30">
        <f t="shared" si="52"/>
        <v>0</v>
      </c>
      <c r="I76" s="28" t="s">
        <v>2008</v>
      </c>
      <c r="K76" s="119"/>
      <c r="L76" s="31">
        <v>43489</v>
      </c>
      <c r="M76" s="28" t="s">
        <v>41</v>
      </c>
      <c r="O76" s="2">
        <v>18.3</v>
      </c>
      <c r="P76" s="32"/>
      <c r="Q76" s="2"/>
      <c r="R76" s="2"/>
      <c r="S76" s="33"/>
      <c r="T76" s="33"/>
      <c r="U76" s="2"/>
      <c r="W76" s="2"/>
      <c r="X76" s="2">
        <f t="shared" ref="X76:X77" si="54">IF(O76&gt;0,O76,((P76*2.2046*S76)+(Q76+R76)/G76)+V76)</f>
        <v>18.3</v>
      </c>
      <c r="Y76" s="2">
        <f t="shared" ref="Y76:Y77" si="55">IF(O76&gt;0,O76,((P76*2.2046*S76)+(Q76+R76+T76)/G76)+V76+W76)</f>
        <v>18.3</v>
      </c>
      <c r="Z76" s="3">
        <f t="shared" ref="Z76:Z77" si="56">Y76*F76</f>
        <v>31842</v>
      </c>
      <c r="AA76" s="34">
        <v>43496</v>
      </c>
      <c r="AB76" s="3"/>
      <c r="AC76" s="35"/>
    </row>
    <row r="77" spans="1:32" x14ac:dyDescent="0.25">
      <c r="A77" s="127"/>
      <c r="B77" s="27" t="s">
        <v>1909</v>
      </c>
      <c r="C77" t="s">
        <v>40</v>
      </c>
      <c r="D77" s="28" t="s">
        <v>1806</v>
      </c>
      <c r="E77" t="s">
        <v>2007</v>
      </c>
      <c r="F77" s="29">
        <f>934.8+924.4</f>
        <v>1859.1999999999998</v>
      </c>
      <c r="G77" s="30">
        <v>1859.2</v>
      </c>
      <c r="H77" s="30">
        <f t="shared" si="52"/>
        <v>0</v>
      </c>
      <c r="I77" s="28" t="s">
        <v>2009</v>
      </c>
      <c r="K77" s="119"/>
      <c r="L77" s="31">
        <v>43490</v>
      </c>
      <c r="M77" s="28" t="s">
        <v>45</v>
      </c>
      <c r="O77" s="2">
        <v>18.3</v>
      </c>
      <c r="P77" s="32"/>
      <c r="Q77" s="2"/>
      <c r="R77" s="2"/>
      <c r="S77" s="33"/>
      <c r="T77" s="33"/>
      <c r="U77" s="2"/>
      <c r="W77" s="2"/>
      <c r="X77" s="2">
        <f t="shared" si="54"/>
        <v>18.3</v>
      </c>
      <c r="Y77" s="2">
        <f t="shared" si="55"/>
        <v>18.3</v>
      </c>
      <c r="Z77" s="3">
        <f t="shared" si="56"/>
        <v>34023.360000000001</v>
      </c>
      <c r="AA77" s="34">
        <v>43497</v>
      </c>
      <c r="AB77" s="3"/>
      <c r="AC77" s="35"/>
    </row>
    <row r="78" spans="1:32" x14ac:dyDescent="0.25">
      <c r="A78" s="127"/>
      <c r="B78" s="27" t="s">
        <v>30</v>
      </c>
      <c r="C78" s="28" t="s">
        <v>35</v>
      </c>
      <c r="D78" s="28" t="s">
        <v>36</v>
      </c>
      <c r="E78" t="s">
        <v>37</v>
      </c>
      <c r="F78" s="29">
        <f>41594*0.4536</f>
        <v>18867.038400000001</v>
      </c>
      <c r="G78" s="30">
        <v>18753.87</v>
      </c>
      <c r="H78" s="30">
        <f t="shared" si="52"/>
        <v>-113.16840000000229</v>
      </c>
      <c r="I78" s="28" t="s">
        <v>1750</v>
      </c>
      <c r="J78" s="52" t="s">
        <v>196</v>
      </c>
      <c r="K78" s="31">
        <v>43489</v>
      </c>
      <c r="L78" s="31">
        <v>43490</v>
      </c>
      <c r="M78" s="28" t="s">
        <v>45</v>
      </c>
      <c r="N78" s="28" t="s">
        <v>1946</v>
      </c>
      <c r="O78" s="2"/>
      <c r="P78" s="32">
        <v>0.61060000000000003</v>
      </c>
      <c r="Q78" s="116">
        <v>26000</v>
      </c>
      <c r="R78" s="2">
        <v>98172</v>
      </c>
      <c r="S78" s="68">
        <v>19.03</v>
      </c>
      <c r="T78" s="141">
        <f>X78*F78*0.005</f>
        <v>3052.4953472217871</v>
      </c>
      <c r="V78" s="2">
        <v>0.12</v>
      </c>
      <c r="W78" s="2">
        <v>0.3</v>
      </c>
      <c r="X78" s="2">
        <f>IF(O78&gt;0,O78,((P78*2.2046*S78)+(Q78+R78)/G78)+V78)</f>
        <v>32.357970366157595</v>
      </c>
      <c r="Y78" s="2">
        <f>IF(O78&gt;0,O78,((P78*2.2046*S78)+(Q78+R78+T78)/G78)+V78+W78)</f>
        <v>32.820736523074629</v>
      </c>
      <c r="Z78" s="3">
        <f>Y78*F78</f>
        <v>619230.0962971315</v>
      </c>
      <c r="AA78" s="34">
        <v>43490</v>
      </c>
      <c r="AB78" s="137">
        <v>0.63229999999999997</v>
      </c>
      <c r="AC78" s="35"/>
    </row>
    <row r="79" spans="1:32" x14ac:dyDescent="0.25">
      <c r="A79" s="127"/>
      <c r="B79" s="27" t="s">
        <v>26</v>
      </c>
      <c r="C79" t="s">
        <v>27</v>
      </c>
      <c r="D79" s="28" t="s">
        <v>44</v>
      </c>
      <c r="E79">
        <v>240</v>
      </c>
      <c r="F79" s="29">
        <v>18943</v>
      </c>
      <c r="G79" s="30">
        <v>19020</v>
      </c>
      <c r="H79" s="30">
        <f t="shared" ref="H79:H84" si="57">G79-F79</f>
        <v>77</v>
      </c>
      <c r="I79" t="s">
        <v>1994</v>
      </c>
      <c r="K79" s="31"/>
      <c r="L79" s="31">
        <v>43490</v>
      </c>
      <c r="O79" s="2">
        <v>33.799999999999997</v>
      </c>
      <c r="P79" s="32"/>
      <c r="Q79" s="69">
        <v>21300</v>
      </c>
      <c r="R79" s="2"/>
      <c r="S79" s="33"/>
      <c r="T79" s="141">
        <f>X79*F79*0.0045</f>
        <v>2970.4061158201885</v>
      </c>
      <c r="U79" s="2">
        <f>E79*5</f>
        <v>1200</v>
      </c>
      <c r="W79" s="2">
        <v>0.3</v>
      </c>
      <c r="X79" s="2">
        <f>((O79*F79)+Q79+R79+S79+U79)/G79</f>
        <v>34.846130389064136</v>
      </c>
      <c r="Y79" s="2">
        <f>((O79*F79)+Q79+R79+S79+T79+U79)/G79+W79</f>
        <v>35.302303160663513</v>
      </c>
      <c r="Z79" s="3">
        <f>Y79*G79</f>
        <v>671449.80611582007</v>
      </c>
      <c r="AA79" s="34">
        <v>43494</v>
      </c>
      <c r="AB79" s="3"/>
      <c r="AC79" s="35"/>
    </row>
    <row r="80" spans="1:32" x14ac:dyDescent="0.25">
      <c r="A80" s="127"/>
      <c r="B80" s="27" t="s">
        <v>26</v>
      </c>
      <c r="C80" t="s">
        <v>27</v>
      </c>
      <c r="D80" s="28" t="s">
        <v>1829</v>
      </c>
      <c r="E80">
        <v>130</v>
      </c>
      <c r="F80" s="29">
        <v>14030</v>
      </c>
      <c r="G80" s="30">
        <v>11050</v>
      </c>
      <c r="H80" s="30">
        <f t="shared" si="57"/>
        <v>-2980</v>
      </c>
      <c r="I80" s="28" t="s">
        <v>1961</v>
      </c>
      <c r="K80" s="119">
        <v>0.78759999999999997</v>
      </c>
      <c r="L80" s="31">
        <v>43490</v>
      </c>
      <c r="M80" s="28" t="s">
        <v>45</v>
      </c>
      <c r="O80" s="2">
        <v>27</v>
      </c>
      <c r="P80" s="32"/>
      <c r="Q80" s="116">
        <v>16900</v>
      </c>
      <c r="R80" s="2">
        <f>72*E80</f>
        <v>9360</v>
      </c>
      <c r="S80" s="33">
        <f>-38*E80</f>
        <v>-4940</v>
      </c>
      <c r="T80" s="141">
        <f>X80*F80*0.0045</f>
        <v>2289.8864524886876</v>
      </c>
      <c r="U80" s="2">
        <f>E80*5</f>
        <v>650</v>
      </c>
      <c r="W80" s="2">
        <v>0.3</v>
      </c>
      <c r="X80" s="2">
        <f>((O80*F80)+Q80+R80+S80+U80)/G80</f>
        <v>36.269683257918551</v>
      </c>
      <c r="Y80" s="2">
        <f>((O80*F80)+Q80+R80+S80+T80+U80)/G80+W80</f>
        <v>36.776912801130194</v>
      </c>
      <c r="Z80" s="3">
        <f>Y80*G80</f>
        <v>406384.88645248866</v>
      </c>
      <c r="AA80" s="34">
        <v>43503</v>
      </c>
      <c r="AB80" s="3"/>
      <c r="AC80" s="35" t="s">
        <v>1962</v>
      </c>
    </row>
    <row r="81" spans="1:32" x14ac:dyDescent="0.25">
      <c r="A81" s="127"/>
      <c r="B81" s="27" t="s">
        <v>1732</v>
      </c>
      <c r="C81" s="28" t="s">
        <v>1733</v>
      </c>
      <c r="D81" s="28" t="s">
        <v>1734</v>
      </c>
      <c r="E81" t="s">
        <v>1960</v>
      </c>
      <c r="F81" s="29">
        <v>2286.48</v>
      </c>
      <c r="G81" s="30">
        <v>2286.48</v>
      </c>
      <c r="H81" s="30">
        <f t="shared" si="57"/>
        <v>0</v>
      </c>
      <c r="I81" s="28" t="s">
        <v>2106</v>
      </c>
      <c r="L81" s="31">
        <v>43490</v>
      </c>
      <c r="M81" s="28" t="s">
        <v>45</v>
      </c>
      <c r="O81" s="2">
        <v>61.8</v>
      </c>
      <c r="P81" s="32"/>
      <c r="Q81" s="2"/>
      <c r="R81" s="2"/>
      <c r="S81" s="33"/>
      <c r="T81" s="33"/>
      <c r="U81" s="2"/>
      <c r="W81" s="2"/>
      <c r="X81" s="2">
        <f>IF(O81&gt;0,O81,((P81*2.2046*S81)+(Q81+R81)/G81)+V81)</f>
        <v>61.8</v>
      </c>
      <c r="Y81" s="2">
        <f>IF(O81&gt;0,O81,((P81*2.2046*S81)+(Q81+R81+T81)/G81)+V81+W81)</f>
        <v>61.8</v>
      </c>
      <c r="Z81" s="3">
        <f>Y81*F81</f>
        <v>141304.46400000001</v>
      </c>
      <c r="AA81" s="34">
        <v>43497</v>
      </c>
      <c r="AB81" s="3"/>
      <c r="AC81" s="35"/>
    </row>
    <row r="82" spans="1:32" x14ac:dyDescent="0.25">
      <c r="A82" s="127"/>
      <c r="B82" s="27" t="s">
        <v>1909</v>
      </c>
      <c r="C82" s="28" t="s">
        <v>40</v>
      </c>
      <c r="D82" s="28" t="s">
        <v>1806</v>
      </c>
      <c r="E82" t="s">
        <v>2007</v>
      </c>
      <c r="F82" s="29">
        <f>930.8+936.2</f>
        <v>1867</v>
      </c>
      <c r="G82" s="30">
        <v>1867</v>
      </c>
      <c r="H82" s="30">
        <f t="shared" si="57"/>
        <v>0</v>
      </c>
      <c r="I82" s="28" t="s">
        <v>2014</v>
      </c>
      <c r="L82" s="31">
        <v>43491</v>
      </c>
      <c r="M82" s="28" t="s">
        <v>46</v>
      </c>
      <c r="O82" s="2">
        <v>18.3</v>
      </c>
      <c r="P82" s="32"/>
      <c r="Q82" s="2"/>
      <c r="R82" s="2"/>
      <c r="S82" s="33"/>
      <c r="T82" s="33"/>
      <c r="U82" s="2"/>
      <c r="W82" s="2"/>
      <c r="X82" s="2">
        <f>IF(O82&gt;0,O82,((P82*2.2046*S82)+(Q82+R82)/G82)+V82)</f>
        <v>18.3</v>
      </c>
      <c r="Y82" s="2">
        <f>IF(O82&gt;0,O82,((P82*2.2046*S82)+(Q82+R82+T82)/G82)+V82+W82)</f>
        <v>18.3</v>
      </c>
      <c r="Z82" s="3">
        <f>Y82*F82</f>
        <v>34166.1</v>
      </c>
      <c r="AA82" s="34">
        <v>43497</v>
      </c>
      <c r="AB82" s="3"/>
      <c r="AC82" s="35"/>
    </row>
    <row r="83" spans="1:32" x14ac:dyDescent="0.25">
      <c r="A83" s="127"/>
      <c r="B83" s="27" t="s">
        <v>30</v>
      </c>
      <c r="C83" s="28" t="s">
        <v>1790</v>
      </c>
      <c r="D83" s="28" t="s">
        <v>1790</v>
      </c>
      <c r="E83" t="s">
        <v>32</v>
      </c>
      <c r="F83" s="29">
        <f>40552*0.4536</f>
        <v>18394.387200000001</v>
      </c>
      <c r="G83" s="30">
        <v>18277.419999999998</v>
      </c>
      <c r="H83" s="30">
        <f>G83-F83</f>
        <v>-116.96720000000278</v>
      </c>
      <c r="I83" t="s">
        <v>1751</v>
      </c>
      <c r="J83" s="52" t="s">
        <v>196</v>
      </c>
      <c r="K83" s="31">
        <v>43490</v>
      </c>
      <c r="L83" s="31">
        <v>43491</v>
      </c>
      <c r="M83" s="28" t="s">
        <v>46</v>
      </c>
      <c r="N83" s="28" t="s">
        <v>1745</v>
      </c>
      <c r="O83" s="2"/>
      <c r="P83" s="32">
        <v>0.60560000000000003</v>
      </c>
      <c r="Q83" s="140">
        <v>26000</v>
      </c>
      <c r="R83" s="2">
        <v>94052</v>
      </c>
      <c r="S83" s="68">
        <v>18.954999999999998</v>
      </c>
      <c r="T83" s="141">
        <f>X83*F83*0.005</f>
        <v>2942.6653410877293</v>
      </c>
      <c r="V83" s="2">
        <v>0.12</v>
      </c>
      <c r="W83" s="2">
        <v>0.3</v>
      </c>
      <c r="X83" s="2">
        <f>IF(O83&gt;0,O83,((P83*2.2046*S83)+(Q83+R83)/G83)+V83)</f>
        <v>31.995252781106281</v>
      </c>
      <c r="Y83" s="2">
        <f>IF(O83&gt;0,O83,((P83*2.2046*S83)+(Q83+R83+T83)/G83)+V83+W83)</f>
        <v>32.456252820558653</v>
      </c>
      <c r="Z83" s="3">
        <f>Y83*F83</f>
        <v>597012.88144244801</v>
      </c>
      <c r="AA83" s="34">
        <v>43493</v>
      </c>
      <c r="AB83" s="137">
        <v>0.62729999999999997</v>
      </c>
      <c r="AC83" s="35"/>
    </row>
    <row r="84" spans="1:32" x14ac:dyDescent="0.25">
      <c r="A84" s="127"/>
      <c r="B84" s="27" t="s">
        <v>30</v>
      </c>
      <c r="C84" t="s">
        <v>40</v>
      </c>
      <c r="D84" s="28" t="s">
        <v>40</v>
      </c>
      <c r="E84" t="s">
        <v>37</v>
      </c>
      <c r="F84" s="29">
        <f>42422*0.4536</f>
        <v>19242.619200000001</v>
      </c>
      <c r="G84" s="30">
        <v>19182.18</v>
      </c>
      <c r="H84" s="30">
        <f t="shared" si="57"/>
        <v>-60.43920000000071</v>
      </c>
      <c r="I84" s="28" t="s">
        <v>1752</v>
      </c>
      <c r="J84" s="52" t="s">
        <v>196</v>
      </c>
      <c r="K84" s="31">
        <v>43490</v>
      </c>
      <c r="L84" s="31">
        <v>43491</v>
      </c>
      <c r="M84" s="28" t="s">
        <v>46</v>
      </c>
      <c r="N84" s="28" t="s">
        <v>1746</v>
      </c>
      <c r="O84" s="2"/>
      <c r="P84" s="32">
        <f>0.5044+0.105</f>
        <v>0.60939999999999994</v>
      </c>
      <c r="Q84" s="140">
        <v>26000</v>
      </c>
      <c r="R84" s="2">
        <v>102918</v>
      </c>
      <c r="S84" s="68">
        <v>18.978000000000002</v>
      </c>
      <c r="T84" s="141">
        <f>X84*F84*0.005</f>
        <v>3111.2757672066864</v>
      </c>
      <c r="V84" s="2">
        <v>0.12</v>
      </c>
      <c r="W84" s="2">
        <v>0.3</v>
      </c>
      <c r="X84" s="2">
        <f>IF(O84&gt;0,O84,((P84*2.2046*S84)+(Q84+R84)/G84)+V84)</f>
        <v>32.33734176069634</v>
      </c>
      <c r="Y84" s="2">
        <f>IF(O84&gt;0,O84,((P84*2.2046*S84)+(Q84+R84+T84)/G84)+V84+W84)</f>
        <v>32.799537911874502</v>
      </c>
      <c r="Z84" s="3">
        <f>Y84*F84</f>
        <v>631149.01797416422</v>
      </c>
      <c r="AA84" s="34">
        <v>43487</v>
      </c>
      <c r="AB84" s="3" t="s">
        <v>1964</v>
      </c>
      <c r="AC84" s="35"/>
    </row>
    <row r="85" spans="1:32" ht="15.75" thickBot="1" x14ac:dyDescent="0.3">
      <c r="A85" s="128"/>
      <c r="B85" s="41"/>
      <c r="C85" s="4"/>
      <c r="D85" s="4"/>
      <c r="E85" s="4"/>
      <c r="F85" s="42"/>
      <c r="G85" s="42"/>
      <c r="H85" s="42"/>
      <c r="I85" s="7"/>
      <c r="J85" s="4"/>
      <c r="K85" s="8"/>
      <c r="L85" s="8"/>
      <c r="M85" s="4"/>
      <c r="N85" s="4"/>
      <c r="O85" s="9"/>
      <c r="P85" s="10"/>
      <c r="Q85" s="9"/>
      <c r="R85" s="9"/>
      <c r="S85" s="9"/>
      <c r="T85" s="9"/>
      <c r="U85" s="9"/>
      <c r="V85" s="9"/>
      <c r="W85" s="9"/>
      <c r="X85" s="9"/>
      <c r="Y85" s="9"/>
      <c r="Z85" s="13"/>
      <c r="AA85" s="43"/>
      <c r="AB85" s="3" t="s">
        <v>1965</v>
      </c>
      <c r="AC85" s="35"/>
    </row>
    <row r="86" spans="1:32" ht="15.75" thickTop="1" x14ac:dyDescent="0.25">
      <c r="A86" s="129"/>
      <c r="B86" s="14" t="s">
        <v>26</v>
      </c>
      <c r="C86" s="14" t="s">
        <v>27</v>
      </c>
      <c r="D86" s="15" t="s">
        <v>1682</v>
      </c>
      <c r="E86" s="14">
        <v>200</v>
      </c>
      <c r="F86" s="16">
        <v>24680</v>
      </c>
      <c r="G86" s="17">
        <v>17760</v>
      </c>
      <c r="H86" s="18">
        <f t="shared" ref="H86:H90" si="58">G86-F86</f>
        <v>-6920</v>
      </c>
      <c r="I86" s="19" t="s">
        <v>1990</v>
      </c>
      <c r="J86" s="14"/>
      <c r="K86" s="20"/>
      <c r="L86" s="20">
        <v>43492</v>
      </c>
      <c r="M86" s="15" t="s">
        <v>28</v>
      </c>
      <c r="N86" s="14"/>
      <c r="O86" s="21">
        <v>26.5</v>
      </c>
      <c r="P86" s="22"/>
      <c r="Q86" s="139">
        <v>21300</v>
      </c>
      <c r="R86" s="2">
        <f>72*E86</f>
        <v>14400</v>
      </c>
      <c r="S86" s="21">
        <f>-38*E86</f>
        <v>-7600</v>
      </c>
      <c r="T86" s="157">
        <f>X86*F86*0.0045</f>
        <v>4271.8078378378377</v>
      </c>
      <c r="U86" s="21">
        <f>E86*5</f>
        <v>1000</v>
      </c>
      <c r="V86" s="14"/>
      <c r="W86" s="21">
        <v>0.3</v>
      </c>
      <c r="X86" s="21">
        <f>((O86*F86)+Q86+R86+S86+U86)/G86</f>
        <v>38.463963963963963</v>
      </c>
      <c r="Y86" s="24">
        <f>((O86*F86)+Q86+R86+S86+T86+U86)/G86+W86</f>
        <v>39.004493684562938</v>
      </c>
      <c r="Z86" s="24">
        <f>Y86*G86</f>
        <v>692719.80783783772</v>
      </c>
      <c r="AA86" s="25">
        <v>43507</v>
      </c>
      <c r="AB86" s="3"/>
      <c r="AC86" s="3"/>
    </row>
    <row r="87" spans="1:32" x14ac:dyDescent="0.25">
      <c r="A87" s="130"/>
      <c r="B87" s="27" t="s">
        <v>26</v>
      </c>
      <c r="C87" t="s">
        <v>27</v>
      </c>
      <c r="D87" s="28" t="s">
        <v>1720</v>
      </c>
      <c r="E87">
        <v>130</v>
      </c>
      <c r="F87" s="29">
        <v>13835</v>
      </c>
      <c r="G87" s="30">
        <v>12760</v>
      </c>
      <c r="H87" s="30">
        <f t="shared" si="58"/>
        <v>-1075</v>
      </c>
      <c r="I87" s="28" t="s">
        <v>1991</v>
      </c>
      <c r="K87" s="31"/>
      <c r="L87" s="31">
        <v>43492</v>
      </c>
      <c r="M87" s="28" t="s">
        <v>28</v>
      </c>
      <c r="O87" s="2">
        <v>26.5</v>
      </c>
      <c r="P87" s="32"/>
      <c r="Q87" s="140">
        <v>16900</v>
      </c>
      <c r="R87" s="2">
        <f>72*E87</f>
        <v>9360</v>
      </c>
      <c r="S87" s="33">
        <f>-38*E87</f>
        <v>-4940</v>
      </c>
      <c r="T87" s="141">
        <f>X87*F87*0.0045</f>
        <v>1896.0116658503132</v>
      </c>
      <c r="U87" s="2">
        <f>E87*5</f>
        <v>650</v>
      </c>
      <c r="W87" s="2">
        <v>0.3</v>
      </c>
      <c r="X87" s="2">
        <f>((O87*F87)+Q87+R87+S87+U87)/G87</f>
        <v>30.454349529780565</v>
      </c>
      <c r="Y87" s="2">
        <f>((O87*F87)+Q87+R87+S87+T87+U87)/G87+W87</f>
        <v>30.902939785724946</v>
      </c>
      <c r="Z87" s="3">
        <f>Y87*G87</f>
        <v>394321.5116658503</v>
      </c>
      <c r="AA87" s="34">
        <v>43507</v>
      </c>
      <c r="AB87" s="3">
        <v>35.76</v>
      </c>
      <c r="AC87" s="35" t="s">
        <v>1992</v>
      </c>
    </row>
    <row r="88" spans="1:32" x14ac:dyDescent="0.25">
      <c r="A88" s="130"/>
      <c r="B88" s="27" t="s">
        <v>1732</v>
      </c>
      <c r="C88" s="28" t="s">
        <v>1733</v>
      </c>
      <c r="D88" s="28" t="s">
        <v>1806</v>
      </c>
      <c r="E88" t="s">
        <v>2015</v>
      </c>
      <c r="F88" s="29">
        <v>3023.4</v>
      </c>
      <c r="G88" s="30">
        <v>3023.64</v>
      </c>
      <c r="H88" s="30">
        <f t="shared" si="58"/>
        <v>0.23999999999978172</v>
      </c>
      <c r="I88" s="28" t="s">
        <v>2016</v>
      </c>
      <c r="K88" s="31"/>
      <c r="L88" s="31">
        <v>43493</v>
      </c>
      <c r="M88" s="28" t="s">
        <v>29</v>
      </c>
      <c r="O88" s="2">
        <v>64</v>
      </c>
      <c r="P88" s="32"/>
      <c r="Q88" s="2"/>
      <c r="R88" s="2"/>
      <c r="S88" s="33"/>
      <c r="T88" s="33"/>
      <c r="U88" s="2"/>
      <c r="W88" s="2"/>
      <c r="X88" s="2">
        <f>IF(O88&gt;0,O88,((P88*2.2046*S88)+(Q88+R88)/G88)+V88)</f>
        <v>64</v>
      </c>
      <c r="Y88" s="2">
        <f>IF(O88&gt;0,O88,((P88*2.2046*S88)+(Q88+R88+T88)/G88)+V88+W88)</f>
        <v>64</v>
      </c>
      <c r="Z88" s="3">
        <f>Y88*F88</f>
        <v>193497.60000000001</v>
      </c>
      <c r="AA88" s="34">
        <v>43500</v>
      </c>
      <c r="AB88" s="3"/>
      <c r="AC88" s="35"/>
    </row>
    <row r="89" spans="1:32" x14ac:dyDescent="0.25">
      <c r="A89" s="130"/>
      <c r="B89" s="27" t="s">
        <v>26</v>
      </c>
      <c r="C89" t="s">
        <v>27</v>
      </c>
      <c r="D89" s="28" t="s">
        <v>2000</v>
      </c>
      <c r="E89">
        <f>200+50</f>
        <v>250</v>
      </c>
      <c r="F89" s="29">
        <f>25100+5090</f>
        <v>30190</v>
      </c>
      <c r="G89" s="30">
        <f>18120+5940</f>
        <v>24060</v>
      </c>
      <c r="H89" s="30">
        <f t="shared" si="58"/>
        <v>-6130</v>
      </c>
      <c r="I89" s="28" t="s">
        <v>2001</v>
      </c>
      <c r="K89" s="31"/>
      <c r="L89" s="31">
        <v>43493</v>
      </c>
      <c r="M89" s="28" t="s">
        <v>29</v>
      </c>
      <c r="O89" s="2">
        <v>26.5</v>
      </c>
      <c r="P89" s="32"/>
      <c r="Q89" s="138">
        <v>21300</v>
      </c>
      <c r="R89" s="2">
        <f>72*E89</f>
        <v>18000</v>
      </c>
      <c r="S89" s="33">
        <f>-38*E89</f>
        <v>-9500</v>
      </c>
      <c r="T89" s="141">
        <f>X89*F89*0.0045</f>
        <v>4692.728706359102</v>
      </c>
      <c r="U89" s="2">
        <f>E89*5</f>
        <v>1250</v>
      </c>
      <c r="W89" s="2">
        <v>0.3</v>
      </c>
      <c r="X89" s="2">
        <f>((O89*F89)+Q89+R89+S89+U89)/G89</f>
        <v>34.542186201163759</v>
      </c>
      <c r="Y89" s="2">
        <f>((O89*F89)+Q89+R89+S89+T89+U89)/G89+W89</f>
        <v>35.037228957039027</v>
      </c>
      <c r="Z89" s="3">
        <f>Y89*G89</f>
        <v>842995.72870635893</v>
      </c>
      <c r="AA89" s="34">
        <v>43507</v>
      </c>
      <c r="AB89" s="3"/>
      <c r="AC89" s="35" t="s">
        <v>2037</v>
      </c>
    </row>
    <row r="90" spans="1:32" x14ac:dyDescent="0.25">
      <c r="A90" s="130"/>
      <c r="B90" s="27" t="s">
        <v>30</v>
      </c>
      <c r="C90" s="28" t="s">
        <v>1790</v>
      </c>
      <c r="D90" s="28" t="s">
        <v>1790</v>
      </c>
      <c r="E90" t="s">
        <v>32</v>
      </c>
      <c r="F90" s="29">
        <f>39632*0.4536</f>
        <v>17977.075199999999</v>
      </c>
      <c r="G90" s="30">
        <v>17925.68</v>
      </c>
      <c r="H90" s="30">
        <f t="shared" si="58"/>
        <v>-51.395199999999022</v>
      </c>
      <c r="I90" s="28" t="s">
        <v>1755</v>
      </c>
      <c r="J90" s="52" t="s">
        <v>196</v>
      </c>
      <c r="K90" s="31">
        <v>43493</v>
      </c>
      <c r="L90" s="31">
        <v>43494</v>
      </c>
      <c r="M90" s="28" t="s">
        <v>48</v>
      </c>
      <c r="N90" s="28" t="s">
        <v>1753</v>
      </c>
      <c r="O90" s="2"/>
      <c r="P90" s="32">
        <f>0.4664+0.095</f>
        <v>0.56140000000000001</v>
      </c>
      <c r="Q90" s="140">
        <v>26000</v>
      </c>
      <c r="R90" s="2">
        <v>86091</v>
      </c>
      <c r="S90" s="68">
        <v>19.082999999999998</v>
      </c>
      <c r="T90" s="141">
        <f t="shared" ref="T90" si="59">X90*F90*0.005</f>
        <v>2695.789026140576</v>
      </c>
      <c r="V90" s="2">
        <v>0.12</v>
      </c>
      <c r="W90" s="2">
        <v>0.3</v>
      </c>
      <c r="X90" s="2">
        <f>IF(O90&gt;0,O90,((P90*2.2046*S90)+(Q90+R90)/G90)+V90)</f>
        <v>29.991408459375819</v>
      </c>
      <c r="Y90" s="2">
        <f>IF(O90&gt;0,O90,((P90*2.2046*S90)+(Q90+R90+T90)/G90)+V90+W90)</f>
        <v>30.441795447548127</v>
      </c>
      <c r="Z90" s="3">
        <f>Y90*F90</f>
        <v>547254.44598359033</v>
      </c>
      <c r="AA90" s="34">
        <v>43494</v>
      </c>
      <c r="AB90" s="3"/>
      <c r="AC90" s="35"/>
    </row>
    <row r="91" spans="1:32" x14ac:dyDescent="0.25">
      <c r="A91" s="130"/>
      <c r="B91" s="27" t="s">
        <v>30</v>
      </c>
      <c r="C91" s="28" t="s">
        <v>35</v>
      </c>
      <c r="D91" s="28" t="s">
        <v>36</v>
      </c>
      <c r="E91" t="s">
        <v>37</v>
      </c>
      <c r="F91" s="29">
        <f>41281*0.4536</f>
        <v>18725.061600000001</v>
      </c>
      <c r="G91" s="30">
        <v>18760.87</v>
      </c>
      <c r="H91" s="30">
        <f>G91-F91</f>
        <v>35.808399999998073</v>
      </c>
      <c r="I91" t="s">
        <v>1756</v>
      </c>
      <c r="J91" s="52" t="s">
        <v>196</v>
      </c>
      <c r="K91" s="31">
        <v>43493</v>
      </c>
      <c r="L91" s="31">
        <v>43494</v>
      </c>
      <c r="M91" s="28" t="s">
        <v>48</v>
      </c>
      <c r="N91" s="28" t="s">
        <v>1754</v>
      </c>
      <c r="O91" s="2"/>
      <c r="P91" s="32">
        <f>0.4664+0.1</f>
        <v>0.56640000000000001</v>
      </c>
      <c r="Q91" s="140">
        <v>26000</v>
      </c>
      <c r="R91" s="2">
        <v>93432</v>
      </c>
      <c r="S91" s="68">
        <v>19.085000000000001</v>
      </c>
      <c r="T91" s="141">
        <f>X91*F91*0.005</f>
        <v>2838.4550996048893</v>
      </c>
      <c r="V91" s="2">
        <v>0.12</v>
      </c>
      <c r="W91" s="2">
        <v>0.3</v>
      </c>
      <c r="X91" s="2">
        <f>IF(O91&gt;0,O91,((P91*2.2046*S91)+(Q91+R91)/G91)+V91)</f>
        <v>30.317177697347489</v>
      </c>
      <c r="Y91" s="2">
        <f>IF(O91&gt;0,O91,((P91*2.2046*S91)+(Q91+R91+T91)/G91)+V91+W91)</f>
        <v>30.768474257667179</v>
      </c>
      <c r="Z91" s="3">
        <f>Y91*F91</f>
        <v>576141.57581283222</v>
      </c>
      <c r="AA91" s="34">
        <v>43494</v>
      </c>
      <c r="AB91" s="3"/>
      <c r="AC91" s="35"/>
    </row>
    <row r="92" spans="1:32" x14ac:dyDescent="0.25">
      <c r="A92" s="130"/>
      <c r="B92" s="27" t="s">
        <v>26</v>
      </c>
      <c r="C92" t="s">
        <v>27</v>
      </c>
      <c r="D92" s="28" t="s">
        <v>1998</v>
      </c>
      <c r="E92">
        <f>199+50</f>
        <v>249</v>
      </c>
      <c r="F92" s="29">
        <f>23200+5455</f>
        <v>28655</v>
      </c>
      <c r="G92" s="30">
        <f>16700+6130</f>
        <v>22830</v>
      </c>
      <c r="H92" s="30">
        <f t="shared" ref="H92" si="60">G92-F92</f>
        <v>-5825</v>
      </c>
      <c r="I92" s="28" t="s">
        <v>1999</v>
      </c>
      <c r="K92" s="31"/>
      <c r="L92" s="31">
        <v>43494</v>
      </c>
      <c r="M92" s="28" t="s">
        <v>48</v>
      </c>
      <c r="O92" s="2">
        <v>26.5</v>
      </c>
      <c r="P92" s="32"/>
      <c r="Q92" s="138">
        <v>21300</v>
      </c>
      <c r="R92" s="2">
        <f>72*E92</f>
        <v>17928</v>
      </c>
      <c r="S92" s="33">
        <f>-38*E92</f>
        <v>-9462</v>
      </c>
      <c r="T92" s="141">
        <f>X92*F92*0.005</f>
        <v>4960.142218024529</v>
      </c>
      <c r="U92" s="2">
        <f>E92*5</f>
        <v>1245</v>
      </c>
      <c r="W92" s="2">
        <v>0.3</v>
      </c>
      <c r="X92" s="2">
        <f>((O92*F92)+Q92+R92+S92+U92)/G92</f>
        <v>34.619732807709156</v>
      </c>
      <c r="Y92" s="2">
        <f>((O92*F92)+Q92+R92+S92+T92+U92)/G92+W92</f>
        <v>35.136997031012903</v>
      </c>
      <c r="Z92" s="3">
        <f>Y92*G92</f>
        <v>802177.64221802459</v>
      </c>
      <c r="AA92" s="34">
        <v>43508</v>
      </c>
      <c r="AB92" s="3"/>
      <c r="AC92" s="35" t="s">
        <v>2053</v>
      </c>
      <c r="AF92" s="30"/>
    </row>
    <row r="93" spans="1:32" x14ac:dyDescent="0.25">
      <c r="A93" s="130"/>
      <c r="B93" s="27" t="s">
        <v>30</v>
      </c>
      <c r="C93" s="28" t="s">
        <v>31</v>
      </c>
      <c r="D93" s="28" t="s">
        <v>31</v>
      </c>
      <c r="E93" t="s">
        <v>32</v>
      </c>
      <c r="F93" s="29">
        <f>40969*0.4536</f>
        <v>18583.538400000001</v>
      </c>
      <c r="G93" s="30">
        <v>18569.599999999999</v>
      </c>
      <c r="H93" s="30">
        <f t="shared" ref="H93:H95" si="61">G93-F93</f>
        <v>-13.93840000000273</v>
      </c>
      <c r="I93" s="28" t="s">
        <v>1655</v>
      </c>
      <c r="J93" s="52" t="s">
        <v>1690</v>
      </c>
      <c r="K93" s="31">
        <v>43494</v>
      </c>
      <c r="L93" s="31">
        <v>43495</v>
      </c>
      <c r="M93" s="28" t="s">
        <v>33</v>
      </c>
      <c r="N93" s="28" t="s">
        <v>1753</v>
      </c>
      <c r="O93" s="2"/>
      <c r="P93" s="32">
        <f>0.4664+0.095</f>
        <v>0.56140000000000001</v>
      </c>
      <c r="Q93" s="140">
        <v>26000</v>
      </c>
      <c r="R93" s="2">
        <v>88352</v>
      </c>
      <c r="S93" s="68">
        <v>19.190000000000001</v>
      </c>
      <c r="T93" s="141">
        <f t="shared" ref="T93" si="62">X93*F93*0.005</f>
        <v>2790.2034385930765</v>
      </c>
      <c r="V93" s="2">
        <v>0.12</v>
      </c>
      <c r="W93" s="2">
        <v>0.3</v>
      </c>
      <c r="X93" s="2">
        <f>IF(O93&gt;0,O93,((P93*2.2046*S93)+(Q93+R93)/G93)+V93)</f>
        <v>30.028763936507122</v>
      </c>
      <c r="Y93" s="2">
        <f>IF(O93&gt;0,O93,((P93*2.2046*S93)+(Q93+R93+T93)/G93)+V93+W93)</f>
        <v>30.479020454611607</v>
      </c>
      <c r="Z93" s="3">
        <f>Y93*F93</f>
        <v>566408.0470126603</v>
      </c>
      <c r="AA93" s="34">
        <v>43488</v>
      </c>
      <c r="AB93" s="3" t="s">
        <v>2036</v>
      </c>
      <c r="AC93" s="35"/>
    </row>
    <row r="94" spans="1:32" x14ac:dyDescent="0.25">
      <c r="A94" s="130"/>
      <c r="B94" s="27" t="s">
        <v>26</v>
      </c>
      <c r="C94" t="s">
        <v>27</v>
      </c>
      <c r="D94" s="28" t="s">
        <v>1682</v>
      </c>
      <c r="E94">
        <v>200</v>
      </c>
      <c r="F94" s="29">
        <v>22920</v>
      </c>
      <c r="G94" s="30">
        <v>17490</v>
      </c>
      <c r="H94" s="30">
        <f t="shared" si="61"/>
        <v>-5430</v>
      </c>
      <c r="I94" t="s">
        <v>2051</v>
      </c>
      <c r="K94" s="31"/>
      <c r="L94" s="31">
        <v>43495</v>
      </c>
      <c r="M94" s="28" t="s">
        <v>33</v>
      </c>
      <c r="O94" s="2">
        <v>26.5</v>
      </c>
      <c r="P94" s="32"/>
      <c r="Q94" s="138">
        <v>21300</v>
      </c>
      <c r="R94" s="2">
        <f>72*E94</f>
        <v>14400</v>
      </c>
      <c r="S94" s="33">
        <f>-38*E94</f>
        <v>-7600</v>
      </c>
      <c r="T94" s="141">
        <f t="shared" ref="T94" si="63">X94*F94*0.005</f>
        <v>4170.4178387650081</v>
      </c>
      <c r="U94" s="2">
        <f>E94*5</f>
        <v>1000</v>
      </c>
      <c r="W94" s="2">
        <v>0.3</v>
      </c>
      <c r="X94" s="2">
        <f t="shared" ref="X94" si="64">((O94*F94)+Q94+R94+S94+U94)/G94</f>
        <v>36.39108061749571</v>
      </c>
      <c r="Y94" s="2">
        <f>((O94*F94)+Q94+R94+S94+T94+U94)/G94+W94</f>
        <v>36.929526463051168</v>
      </c>
      <c r="Z94" s="3">
        <f>Y94*G94</f>
        <v>645897.41783876496</v>
      </c>
      <c r="AA94" s="34">
        <v>43508</v>
      </c>
      <c r="AB94" s="3"/>
      <c r="AC94" s="35"/>
    </row>
    <row r="95" spans="1:32" x14ac:dyDescent="0.25">
      <c r="A95" s="130"/>
      <c r="B95" s="27" t="s">
        <v>26</v>
      </c>
      <c r="C95" t="s">
        <v>27</v>
      </c>
      <c r="D95" s="28" t="s">
        <v>1829</v>
      </c>
      <c r="E95">
        <v>130</v>
      </c>
      <c r="F95" s="29">
        <v>13955</v>
      </c>
      <c r="G95" s="30">
        <v>11930</v>
      </c>
      <c r="H95" s="30">
        <f t="shared" si="61"/>
        <v>-2025</v>
      </c>
      <c r="I95" t="s">
        <v>2052</v>
      </c>
      <c r="K95" s="31"/>
      <c r="L95" s="31">
        <v>43495</v>
      </c>
      <c r="M95" s="28" t="s">
        <v>33</v>
      </c>
      <c r="O95" s="2">
        <v>26.5</v>
      </c>
      <c r="P95" s="32"/>
      <c r="Q95" s="140">
        <v>16900</v>
      </c>
      <c r="R95" s="2">
        <f>72*E95</f>
        <v>9360</v>
      </c>
      <c r="S95" s="33">
        <f>-38*E95</f>
        <v>-4940</v>
      </c>
      <c r="T95" s="158">
        <f t="shared" ref="T95" si="65">X95*F95*0.005</f>
        <v>2291.3893598072086</v>
      </c>
      <c r="U95" s="2">
        <f>E95*5</f>
        <v>650</v>
      </c>
      <c r="W95" s="2">
        <v>0.3</v>
      </c>
      <c r="X95" s="2">
        <f t="shared" ref="X95" si="66">((O95*F95)+Q95+R95+S95+U95)/G95</f>
        <v>32.839689857502094</v>
      </c>
      <c r="Y95" s="2">
        <f>((O95*F95)+Q95+R95+S95+T95+U95)/G95+W95</f>
        <v>33.33175937634595</v>
      </c>
      <c r="Z95" s="3">
        <f>Y95*G95</f>
        <v>397647.88935980719</v>
      </c>
      <c r="AA95" s="34">
        <v>43508</v>
      </c>
      <c r="AB95" s="3"/>
      <c r="AC95" s="35" t="s">
        <v>2054</v>
      </c>
    </row>
    <row r="96" spans="1:32" x14ac:dyDescent="0.25">
      <c r="A96" s="130"/>
      <c r="B96" s="27" t="s">
        <v>2057</v>
      </c>
      <c r="C96" s="28" t="s">
        <v>2058</v>
      </c>
      <c r="D96" s="28" t="s">
        <v>2044</v>
      </c>
      <c r="E96" t="s">
        <v>2065</v>
      </c>
      <c r="F96" s="29">
        <v>1000</v>
      </c>
      <c r="G96" s="30">
        <v>1000</v>
      </c>
      <c r="H96" s="30">
        <f t="shared" ref="H96:H99" si="67">G96-F96</f>
        <v>0</v>
      </c>
      <c r="I96" s="28" t="s">
        <v>2042</v>
      </c>
      <c r="K96" s="31"/>
      <c r="L96" s="31">
        <v>43495</v>
      </c>
      <c r="M96" s="28" t="s">
        <v>33</v>
      </c>
      <c r="O96" s="2">
        <v>45</v>
      </c>
      <c r="P96" s="32"/>
      <c r="Q96" s="2"/>
      <c r="R96" s="2"/>
      <c r="S96" s="33"/>
      <c r="T96" s="33"/>
      <c r="U96" s="2"/>
      <c r="W96" s="2"/>
      <c r="X96" s="2">
        <f t="shared" ref="X96:X98" si="68">IF(O96&gt;0,O96,((P96*2.2046*S96)+(Q96+R96)/G96)+V96)</f>
        <v>45</v>
      </c>
      <c r="Y96" s="2">
        <f t="shared" ref="Y96:Y98" si="69">IF(O96&gt;0,O96,((P96*2.2046*S96)+(Q96+R96+T96)/G96)+V96+W96)</f>
        <v>45</v>
      </c>
      <c r="Z96" s="3">
        <f t="shared" ref="Z96:Z98" si="70">Y96*F96</f>
        <v>45000</v>
      </c>
      <c r="AA96" s="34">
        <v>43495</v>
      </c>
      <c r="AB96" s="3"/>
      <c r="AC96" s="35"/>
    </row>
    <row r="97" spans="1:29" x14ac:dyDescent="0.25">
      <c r="A97" s="130"/>
      <c r="B97" s="27" t="s">
        <v>2059</v>
      </c>
      <c r="C97" s="142" t="s">
        <v>2062</v>
      </c>
      <c r="D97" s="28" t="s">
        <v>2044</v>
      </c>
      <c r="E97" t="s">
        <v>2063</v>
      </c>
      <c r="F97" s="29">
        <v>120</v>
      </c>
      <c r="G97" s="30">
        <v>120</v>
      </c>
      <c r="H97" s="30">
        <f t="shared" si="67"/>
        <v>0</v>
      </c>
      <c r="I97" s="28" t="s">
        <v>2042</v>
      </c>
      <c r="K97" s="31"/>
      <c r="L97" s="31">
        <v>43495</v>
      </c>
      <c r="M97" s="28" t="s">
        <v>33</v>
      </c>
      <c r="O97" s="2">
        <v>170</v>
      </c>
      <c r="P97" s="32"/>
      <c r="Q97" s="2"/>
      <c r="R97" s="2"/>
      <c r="S97" s="33"/>
      <c r="T97" s="33"/>
      <c r="U97" s="2"/>
      <c r="W97" s="2"/>
      <c r="X97" s="2">
        <f t="shared" si="68"/>
        <v>170</v>
      </c>
      <c r="Y97" s="2">
        <f t="shared" si="69"/>
        <v>170</v>
      </c>
      <c r="Z97" s="3">
        <f t="shared" si="70"/>
        <v>20400</v>
      </c>
      <c r="AA97" s="34">
        <v>43495</v>
      </c>
      <c r="AB97" s="3"/>
      <c r="AC97" s="35"/>
    </row>
    <row r="98" spans="1:29" x14ac:dyDescent="0.25">
      <c r="A98" s="130"/>
      <c r="B98" s="27" t="s">
        <v>2060</v>
      </c>
      <c r="C98" t="s">
        <v>2061</v>
      </c>
      <c r="D98" s="28" t="s">
        <v>2044</v>
      </c>
      <c r="E98" t="s">
        <v>2064</v>
      </c>
      <c r="F98" s="29">
        <v>45.4</v>
      </c>
      <c r="G98" s="30">
        <v>45.4</v>
      </c>
      <c r="H98" s="30">
        <f t="shared" si="67"/>
        <v>0</v>
      </c>
      <c r="I98" s="28" t="s">
        <v>2042</v>
      </c>
      <c r="K98" s="31"/>
      <c r="L98" s="31">
        <v>43495</v>
      </c>
      <c r="M98" s="28" t="s">
        <v>33</v>
      </c>
      <c r="O98" s="2">
        <v>175</v>
      </c>
      <c r="P98" s="32"/>
      <c r="Q98" s="2"/>
      <c r="R98" s="2"/>
      <c r="S98" s="33"/>
      <c r="T98" s="33"/>
      <c r="U98" s="2"/>
      <c r="W98" s="2"/>
      <c r="X98" s="2">
        <f t="shared" si="68"/>
        <v>175</v>
      </c>
      <c r="Y98" s="2">
        <f t="shared" si="69"/>
        <v>175</v>
      </c>
      <c r="Z98" s="3">
        <f t="shared" si="70"/>
        <v>7945</v>
      </c>
      <c r="AA98" s="34">
        <v>43495</v>
      </c>
      <c r="AB98" s="3"/>
      <c r="AC98" s="35"/>
    </row>
    <row r="99" spans="1:29" x14ac:dyDescent="0.25">
      <c r="A99" s="130"/>
      <c r="B99" s="27" t="s">
        <v>30</v>
      </c>
      <c r="C99" s="28" t="s">
        <v>40</v>
      </c>
      <c r="D99" s="28" t="s">
        <v>40</v>
      </c>
      <c r="E99" t="s">
        <v>37</v>
      </c>
      <c r="F99" s="29">
        <f>42571*0.4536</f>
        <v>19310.205600000001</v>
      </c>
      <c r="G99" s="30">
        <v>19234.2</v>
      </c>
      <c r="H99" s="30">
        <f t="shared" si="67"/>
        <v>-76.005600000000413</v>
      </c>
      <c r="I99" t="s">
        <v>1968</v>
      </c>
      <c r="J99" s="52" t="s">
        <v>196</v>
      </c>
      <c r="K99" s="31">
        <v>43495</v>
      </c>
      <c r="L99" s="31">
        <v>43496</v>
      </c>
      <c r="M99" s="28" t="s">
        <v>41</v>
      </c>
      <c r="N99" s="28" t="s">
        <v>1758</v>
      </c>
      <c r="O99" s="2"/>
      <c r="P99" s="32">
        <f>0.4624+0.105</f>
        <v>0.56740000000000002</v>
      </c>
      <c r="Q99" s="140">
        <v>26000</v>
      </c>
      <c r="R99" s="2">
        <v>96247</v>
      </c>
      <c r="S99" s="68">
        <v>19.114999999999998</v>
      </c>
      <c r="T99" s="141">
        <f>X99*F99*0.005</f>
        <v>2933.8452301526945</v>
      </c>
      <c r="V99" s="2">
        <v>0.12</v>
      </c>
      <c r="W99" s="2">
        <v>0.3</v>
      </c>
      <c r="X99" s="2">
        <f>IF(O99&gt;0,O99,((P99*2.2046*S99)+(Q99+R99)/G99)+V99)</f>
        <v>30.38647325591079</v>
      </c>
      <c r="Y99" s="2">
        <f>IF(O99&gt;0,O99,((P99*2.2046*S99)+(Q99+R99+T99)/G99)+V99+W99)</f>
        <v>30.839005996037891</v>
      </c>
      <c r="Z99" s="3">
        <f>Y99*F99</f>
        <v>595507.54628312448</v>
      </c>
      <c r="AA99" s="34">
        <v>43489</v>
      </c>
      <c r="AB99" s="3"/>
      <c r="AC99" s="35"/>
    </row>
    <row r="100" spans="1:29" x14ac:dyDescent="0.25">
      <c r="A100" s="130"/>
      <c r="B100" s="27" t="s">
        <v>26</v>
      </c>
      <c r="C100" t="s">
        <v>27</v>
      </c>
      <c r="D100" s="28" t="s">
        <v>1682</v>
      </c>
      <c r="E100">
        <v>199</v>
      </c>
      <c r="F100" s="29">
        <v>24270</v>
      </c>
      <c r="G100" s="30">
        <v>23420</v>
      </c>
      <c r="H100" s="30">
        <f t="shared" ref="H100:H101" si="71">G100-F100</f>
        <v>-850</v>
      </c>
      <c r="I100" s="28" t="s">
        <v>2076</v>
      </c>
      <c r="J100" s="55">
        <v>249</v>
      </c>
      <c r="K100" s="31"/>
      <c r="L100" s="31">
        <v>43496</v>
      </c>
      <c r="M100" s="28" t="s">
        <v>41</v>
      </c>
      <c r="O100" s="2">
        <v>26.5</v>
      </c>
      <c r="P100" s="32"/>
      <c r="Q100" s="138">
        <v>21300</v>
      </c>
      <c r="R100" s="2">
        <f>72*E100</f>
        <v>14328</v>
      </c>
      <c r="S100" s="33">
        <f>-38*E100</f>
        <v>-7562</v>
      </c>
      <c r="T100" s="141">
        <f>X100*F100*0.0045</f>
        <v>3134.7596259607167</v>
      </c>
      <c r="U100" s="2">
        <f>E100*5</f>
        <v>995</v>
      </c>
      <c r="W100" s="2">
        <v>0.3</v>
      </c>
      <c r="X100" s="2">
        <f t="shared" ref="X100" si="72">((O100*F100)+Q100+R100+S100+U100)/G100</f>
        <v>28.702647309991459</v>
      </c>
      <c r="Y100" s="2">
        <f>((O100*F100)+Q100+R100+S100+T100+U100)/G100+W100</f>
        <v>29.136496995130688</v>
      </c>
      <c r="Z100" s="3">
        <f>Y100*G100</f>
        <v>682376.75962596072</v>
      </c>
      <c r="AA100" s="34">
        <v>43509</v>
      </c>
      <c r="AB100" s="3"/>
      <c r="AC100" s="35"/>
    </row>
    <row r="101" spans="1:29" x14ac:dyDescent="0.25">
      <c r="A101" s="130"/>
      <c r="B101" s="27" t="s">
        <v>26</v>
      </c>
      <c r="C101" t="s">
        <v>27</v>
      </c>
      <c r="D101" s="28" t="s">
        <v>1636</v>
      </c>
      <c r="E101">
        <v>180</v>
      </c>
      <c r="F101" s="29">
        <v>17285</v>
      </c>
      <c r="G101" s="30">
        <v>9920</v>
      </c>
      <c r="H101" s="30">
        <f t="shared" si="71"/>
        <v>-7365</v>
      </c>
      <c r="I101" s="28" t="s">
        <v>2075</v>
      </c>
      <c r="J101" s="55">
        <v>130</v>
      </c>
      <c r="K101" s="31"/>
      <c r="L101" s="31">
        <v>43496</v>
      </c>
      <c r="M101" s="28" t="s">
        <v>41</v>
      </c>
      <c r="O101" s="2">
        <v>26.5</v>
      </c>
      <c r="P101" s="32"/>
      <c r="Q101" s="140">
        <v>16900</v>
      </c>
      <c r="R101" s="2">
        <f>72*E101</f>
        <v>12960</v>
      </c>
      <c r="S101" s="33">
        <f>-38*E101</f>
        <v>-6840</v>
      </c>
      <c r="T101" s="141">
        <f>X101*F101*0.0045</f>
        <v>3779.1356835937495</v>
      </c>
      <c r="U101" s="2">
        <f>E101*5</f>
        <v>900</v>
      </c>
      <c r="W101" s="2">
        <v>0.3</v>
      </c>
      <c r="X101" s="2">
        <f>((O101*F101)+Q101+R101+S101+U101)/G101</f>
        <v>48.5859375</v>
      </c>
      <c r="Y101" s="2">
        <f>((O101*F101)+Q101+R101+S101+T101+U101)/G101+W101</f>
        <v>49.266898758426784</v>
      </c>
      <c r="Z101" s="3">
        <f>Y101*G101</f>
        <v>488727.63568359369</v>
      </c>
      <c r="AA101" s="34">
        <v>43509</v>
      </c>
      <c r="AB101" s="3">
        <v>35.119999999999997</v>
      </c>
      <c r="AC101" t="s">
        <v>2107</v>
      </c>
    </row>
    <row r="102" spans="1:29" x14ac:dyDescent="0.25">
      <c r="A102" s="130"/>
      <c r="B102" s="27" t="s">
        <v>30</v>
      </c>
      <c r="C102" s="28" t="s">
        <v>1790</v>
      </c>
      <c r="D102" s="28" t="s">
        <v>1790</v>
      </c>
      <c r="E102" t="s">
        <v>32</v>
      </c>
      <c r="F102" s="29">
        <f>42059*0.4536</f>
        <v>19077.9624</v>
      </c>
      <c r="G102" s="30">
        <v>18927.740000000002</v>
      </c>
      <c r="H102" s="30">
        <f>G102-F102</f>
        <v>-150.22239999999874</v>
      </c>
      <c r="I102" s="28" t="s">
        <v>1757</v>
      </c>
      <c r="J102" s="52" t="s">
        <v>196</v>
      </c>
      <c r="K102" s="31">
        <v>43495</v>
      </c>
      <c r="L102" s="31">
        <v>43496</v>
      </c>
      <c r="M102" s="28" t="s">
        <v>41</v>
      </c>
      <c r="N102" s="28" t="s">
        <v>1759</v>
      </c>
      <c r="O102" s="2"/>
      <c r="P102" s="32">
        <f>0.4624+0.095</f>
        <v>0.55740000000000001</v>
      </c>
      <c r="Q102" s="140">
        <v>26000</v>
      </c>
      <c r="R102" s="2">
        <v>90196</v>
      </c>
      <c r="S102" s="68">
        <v>19.239999999999998</v>
      </c>
      <c r="T102" s="141">
        <f>X102*F102*0.005</f>
        <v>2852.3352441900938</v>
      </c>
      <c r="V102" s="2">
        <v>0.12</v>
      </c>
      <c r="W102" s="2">
        <v>0.3</v>
      </c>
      <c r="X102" s="2">
        <f>IF(O102&gt;0,O102,((P102*2.2046*S102)+(Q102+R102)/G102)+V102)</f>
        <v>29.901885582813538</v>
      </c>
      <c r="Y102" s="2">
        <f>IF(O102&gt;0,O102,((P102*2.2046*S102)+(Q102+R102+T102)/G102)+V102+W102)</f>
        <v>30.352581611192527</v>
      </c>
      <c r="Z102" s="3">
        <f>Y102*F102</f>
        <v>579065.41072126245</v>
      </c>
      <c r="AA102" s="34">
        <v>43493</v>
      </c>
      <c r="AB102" s="3"/>
      <c r="AC102" s="35"/>
    </row>
    <row r="103" spans="1:29" x14ac:dyDescent="0.25">
      <c r="A103" s="130"/>
      <c r="B103" s="27" t="s">
        <v>2097</v>
      </c>
      <c r="C103" s="28" t="s">
        <v>2098</v>
      </c>
      <c r="D103" s="28" t="s">
        <v>1806</v>
      </c>
      <c r="E103" t="s">
        <v>2064</v>
      </c>
      <c r="F103" s="29">
        <v>124.28</v>
      </c>
      <c r="G103" s="30">
        <v>124.28</v>
      </c>
      <c r="H103" s="30">
        <f>G103-F103</f>
        <v>0</v>
      </c>
      <c r="I103" s="28" t="s">
        <v>2099</v>
      </c>
      <c r="K103" s="31"/>
      <c r="L103" s="31">
        <v>43496</v>
      </c>
      <c r="M103" s="28" t="s">
        <v>41</v>
      </c>
      <c r="N103" s="28"/>
      <c r="O103" s="2">
        <v>186</v>
      </c>
      <c r="P103" s="32"/>
      <c r="Q103" s="2"/>
      <c r="R103" s="2"/>
      <c r="S103" s="68"/>
      <c r="T103" s="33"/>
      <c r="V103" s="2"/>
      <c r="W103" s="2"/>
      <c r="X103" s="2">
        <f>IF(O103&gt;0,O103,((P103*2.2046*S103)+(Q103+R103)/G103)+V103)</f>
        <v>186</v>
      </c>
      <c r="Y103" s="2">
        <f>IF(O103&gt;0,O103,((P103*2.2046*S103)+(Q103+R103+T103)/G103)+V103+W103)</f>
        <v>186</v>
      </c>
      <c r="Z103" s="3">
        <f>Y103*F103</f>
        <v>23116.080000000002</v>
      </c>
      <c r="AA103" s="34">
        <v>43503</v>
      </c>
      <c r="AB103" s="3"/>
      <c r="AC103" s="35"/>
    </row>
    <row r="104" spans="1:29" ht="15.75" thickBot="1" x14ac:dyDescent="0.3">
      <c r="A104" s="131"/>
      <c r="B104" s="41"/>
      <c r="C104" s="4"/>
      <c r="D104" s="4"/>
      <c r="E104" s="4"/>
      <c r="F104" s="42"/>
      <c r="G104" s="42"/>
      <c r="H104" s="42"/>
      <c r="I104" s="7"/>
      <c r="J104" s="4"/>
      <c r="K104" s="8"/>
      <c r="L104" s="8"/>
      <c r="M104" s="4"/>
      <c r="N104" s="4"/>
      <c r="O104" s="9"/>
      <c r="P104" s="10"/>
      <c r="Q104" s="9"/>
      <c r="R104" s="9"/>
      <c r="S104" s="9"/>
      <c r="T104" s="9"/>
      <c r="U104" s="9"/>
      <c r="V104" s="9"/>
      <c r="W104" s="9"/>
      <c r="X104" s="9"/>
      <c r="Y104" s="9"/>
      <c r="Z104" s="13"/>
      <c r="AA104" s="43"/>
      <c r="AB104" s="3"/>
      <c r="AC104" s="3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94B4-AE14-46D1-8064-1A20F9C3E8CB}">
  <dimension ref="A1:S1793"/>
  <sheetViews>
    <sheetView topLeftCell="A1762" workbookViewId="0">
      <selection activeCell="E1792" sqref="E1792"/>
    </sheetView>
  </sheetViews>
  <sheetFormatPr baseColWidth="10" defaultRowHeight="15" x14ac:dyDescent="0.25"/>
  <cols>
    <col min="2" max="2" width="14.140625" style="3" customWidth="1"/>
    <col min="3" max="3" width="14.140625" style="3" bestFit="1" customWidth="1"/>
    <col min="4" max="4" width="12.5703125" bestFit="1" customWidth="1"/>
    <col min="5" max="5" width="14.28515625" style="3" customWidth="1"/>
    <col min="6" max="6" width="12.28515625" customWidth="1"/>
    <col min="7" max="7" width="12.140625" customWidth="1"/>
    <col min="8" max="9" width="14.140625" bestFit="1" customWidth="1"/>
    <col min="11" max="11" width="12.28515625" customWidth="1"/>
    <col min="12" max="12" width="14.140625" bestFit="1" customWidth="1"/>
  </cols>
  <sheetData>
    <row r="1" spans="1:7" x14ac:dyDescent="0.25">
      <c r="A1" t="s">
        <v>832</v>
      </c>
    </row>
    <row r="3" spans="1:7" ht="45" x14ac:dyDescent="0.25">
      <c r="A3" s="80" t="s">
        <v>833</v>
      </c>
      <c r="B3" s="81" t="s">
        <v>834</v>
      </c>
      <c r="C3" s="81" t="s">
        <v>835</v>
      </c>
      <c r="D3" s="82" t="s">
        <v>836</v>
      </c>
      <c r="E3" s="81" t="s">
        <v>837</v>
      </c>
      <c r="F3" s="82" t="s">
        <v>838</v>
      </c>
      <c r="G3" s="82" t="s">
        <v>839</v>
      </c>
    </row>
    <row r="5" spans="1:7" x14ac:dyDescent="0.25">
      <c r="A5" t="s">
        <v>840</v>
      </c>
      <c r="B5" s="3">
        <v>295938</v>
      </c>
      <c r="C5" s="3">
        <v>50000</v>
      </c>
      <c r="D5" s="72">
        <v>42931</v>
      </c>
      <c r="E5" s="3" t="s">
        <v>841</v>
      </c>
    </row>
    <row r="6" spans="1:7" x14ac:dyDescent="0.25">
      <c r="C6" s="3">
        <v>50000</v>
      </c>
      <c r="D6" s="72">
        <v>42931</v>
      </c>
      <c r="E6" s="3" t="s">
        <v>841</v>
      </c>
    </row>
    <row r="7" spans="1:7" x14ac:dyDescent="0.25">
      <c r="C7" s="3">
        <v>39695</v>
      </c>
      <c r="D7" s="72">
        <v>42931</v>
      </c>
      <c r="E7" s="3" t="s">
        <v>841</v>
      </c>
    </row>
    <row r="8" spans="1:7" x14ac:dyDescent="0.25">
      <c r="C8" s="50">
        <v>44575.7</v>
      </c>
      <c r="D8" s="72">
        <v>42931</v>
      </c>
      <c r="E8" s="3" t="s">
        <v>842</v>
      </c>
    </row>
    <row r="9" spans="1:7" x14ac:dyDescent="0.25">
      <c r="C9" s="83">
        <v>49912</v>
      </c>
      <c r="D9" s="72">
        <v>42928</v>
      </c>
      <c r="E9" s="3" t="s">
        <v>842</v>
      </c>
    </row>
    <row r="10" spans="1:7" x14ac:dyDescent="0.25">
      <c r="C10" s="79">
        <v>43453.4</v>
      </c>
      <c r="D10" s="72">
        <v>42927</v>
      </c>
      <c r="E10" s="3" t="s">
        <v>842</v>
      </c>
    </row>
    <row r="11" spans="1:7" x14ac:dyDescent="0.25">
      <c r="C11" s="3">
        <v>14296</v>
      </c>
      <c r="D11" s="72">
        <v>42929</v>
      </c>
      <c r="E11" s="3" t="s">
        <v>843</v>
      </c>
    </row>
    <row r="12" spans="1:7" x14ac:dyDescent="0.25">
      <c r="C12" s="3">
        <v>4006</v>
      </c>
      <c r="D12" s="72">
        <v>42929</v>
      </c>
      <c r="E12" s="3" t="s">
        <v>844</v>
      </c>
    </row>
    <row r="13" spans="1:7" x14ac:dyDescent="0.25">
      <c r="B13" s="3">
        <f>SUM(B5:B12)</f>
        <v>295938</v>
      </c>
      <c r="C13" s="3">
        <f>SUM(C5:C12)</f>
        <v>295938.10000000003</v>
      </c>
      <c r="E13" s="3">
        <f>C13-B13</f>
        <v>0.1000000000349246</v>
      </c>
      <c r="F13" s="72">
        <v>42931</v>
      </c>
      <c r="G13" s="72">
        <v>42935</v>
      </c>
    </row>
    <row r="15" spans="1:7" x14ac:dyDescent="0.25">
      <c r="A15" t="s">
        <v>845</v>
      </c>
      <c r="B15" s="3">
        <v>470960</v>
      </c>
      <c r="C15" s="3">
        <v>745000</v>
      </c>
      <c r="D15" s="72">
        <v>42934</v>
      </c>
      <c r="E15" s="3" t="s">
        <v>846</v>
      </c>
    </row>
    <row r="16" spans="1:7" x14ac:dyDescent="0.25">
      <c r="A16" t="s">
        <v>847</v>
      </c>
      <c r="B16" s="3">
        <v>21279.200000000001</v>
      </c>
      <c r="C16" s="3">
        <v>190000</v>
      </c>
      <c r="D16" s="72">
        <v>42935</v>
      </c>
      <c r="E16" s="3" t="s">
        <v>846</v>
      </c>
    </row>
    <row r="17" spans="1:7" x14ac:dyDescent="0.25">
      <c r="A17" t="s">
        <v>848</v>
      </c>
      <c r="B17" s="3">
        <v>25322</v>
      </c>
      <c r="C17" s="3">
        <v>28611</v>
      </c>
      <c r="D17" s="72">
        <v>42935</v>
      </c>
      <c r="E17" s="3" t="s">
        <v>849</v>
      </c>
    </row>
    <row r="18" spans="1:7" x14ac:dyDescent="0.25">
      <c r="A18" t="s">
        <v>850</v>
      </c>
      <c r="B18" s="3">
        <v>446050</v>
      </c>
    </row>
    <row r="19" spans="1:7" x14ac:dyDescent="0.25">
      <c r="B19" s="3">
        <f>SUM(B15:B18)</f>
        <v>963611.2</v>
      </c>
      <c r="C19" s="3">
        <f>SUM(C15:C18)</f>
        <v>963611</v>
      </c>
      <c r="E19" s="3">
        <f>C19-B19</f>
        <v>-0.19999999995343387</v>
      </c>
      <c r="F19" s="72">
        <v>42935</v>
      </c>
      <c r="G19" s="72">
        <v>42935</v>
      </c>
    </row>
    <row r="23" spans="1:7" x14ac:dyDescent="0.25">
      <c r="A23" t="s">
        <v>851</v>
      </c>
      <c r="B23" s="3">
        <v>241800</v>
      </c>
      <c r="C23" s="3">
        <v>275000</v>
      </c>
      <c r="D23" s="72">
        <v>42954</v>
      </c>
      <c r="E23" s="3" t="s">
        <v>846</v>
      </c>
    </row>
    <row r="24" spans="1:7" x14ac:dyDescent="0.25">
      <c r="B24" s="3">
        <f>SUM(B23)</f>
        <v>241800</v>
      </c>
      <c r="C24" s="3">
        <f>SUM(C23)</f>
        <v>275000</v>
      </c>
      <c r="E24" s="79">
        <f>C24-B24</f>
        <v>33200</v>
      </c>
      <c r="F24" s="72">
        <v>42954</v>
      </c>
      <c r="G24" s="72">
        <v>42957</v>
      </c>
    </row>
    <row r="26" spans="1:7" x14ac:dyDescent="0.25">
      <c r="A26" t="s">
        <v>852</v>
      </c>
      <c r="B26" s="3">
        <v>130248</v>
      </c>
      <c r="C26" s="3">
        <v>344000</v>
      </c>
      <c r="D26" s="72">
        <v>42955</v>
      </c>
      <c r="E26" s="3" t="s">
        <v>846</v>
      </c>
    </row>
    <row r="27" spans="1:7" x14ac:dyDescent="0.25">
      <c r="A27" t="s">
        <v>853</v>
      </c>
      <c r="B27" s="3">
        <v>34340.400000000001</v>
      </c>
    </row>
    <row r="28" spans="1:7" x14ac:dyDescent="0.25">
      <c r="B28" s="3">
        <f>SUM(B26:B27)</f>
        <v>164588.4</v>
      </c>
      <c r="C28" s="3">
        <f>SUM(C26:C27)</f>
        <v>344000</v>
      </c>
      <c r="E28" s="83">
        <f>C28-B28</f>
        <v>179411.6</v>
      </c>
      <c r="F28" s="72">
        <v>42955</v>
      </c>
      <c r="G28" s="72">
        <v>42957</v>
      </c>
    </row>
    <row r="30" spans="1:7" x14ac:dyDescent="0.25">
      <c r="A30" t="s">
        <v>854</v>
      </c>
      <c r="B30" s="3">
        <v>484704</v>
      </c>
      <c r="C30" s="3">
        <v>491000</v>
      </c>
      <c r="D30" s="72">
        <v>42957</v>
      </c>
      <c r="E30" s="3" t="s">
        <v>846</v>
      </c>
    </row>
    <row r="31" spans="1:7" x14ac:dyDescent="0.25">
      <c r="B31" s="3">
        <f>SUM(B30)</f>
        <v>484704</v>
      </c>
      <c r="C31" s="3">
        <f>SUM(C30)</f>
        <v>491000</v>
      </c>
      <c r="E31" s="63">
        <f>C31-B31</f>
        <v>6296</v>
      </c>
      <c r="F31" s="72">
        <v>42957</v>
      </c>
      <c r="G31" s="72">
        <v>42957</v>
      </c>
    </row>
    <row r="33" spans="1:7" x14ac:dyDescent="0.25">
      <c r="A33" t="s">
        <v>855</v>
      </c>
      <c r="B33" s="3">
        <v>14567.1</v>
      </c>
      <c r="C33" s="3">
        <v>318000</v>
      </c>
      <c r="D33" s="72">
        <v>42958</v>
      </c>
      <c r="E33" s="3" t="s">
        <v>846</v>
      </c>
    </row>
    <row r="34" spans="1:7" x14ac:dyDescent="0.25">
      <c r="A34" t="s">
        <v>856</v>
      </c>
      <c r="B34" s="3">
        <v>271151</v>
      </c>
    </row>
    <row r="35" spans="1:7" x14ac:dyDescent="0.25">
      <c r="B35" s="3">
        <f>SUM(B33:B34)</f>
        <v>285718.09999999998</v>
      </c>
      <c r="C35" s="3">
        <f>SUM(C33:C34)</f>
        <v>318000</v>
      </c>
      <c r="E35" s="84">
        <f>C35-B35</f>
        <v>32281.900000000023</v>
      </c>
      <c r="F35" s="72">
        <v>42958</v>
      </c>
      <c r="G35" s="72">
        <v>42959</v>
      </c>
    </row>
    <row r="37" spans="1:7" x14ac:dyDescent="0.25">
      <c r="A37" t="s">
        <v>857</v>
      </c>
      <c r="B37" s="3">
        <v>422584</v>
      </c>
      <c r="C37" s="3">
        <v>223000</v>
      </c>
      <c r="D37" s="72">
        <v>42959</v>
      </c>
      <c r="E37" s="3" t="s">
        <v>846</v>
      </c>
    </row>
    <row r="38" spans="1:7" x14ac:dyDescent="0.25">
      <c r="C38" s="83">
        <v>179411.6</v>
      </c>
      <c r="D38" s="72">
        <v>42955</v>
      </c>
      <c r="E38" s="3" t="s">
        <v>842</v>
      </c>
    </row>
    <row r="39" spans="1:7" x14ac:dyDescent="0.25">
      <c r="C39" s="3">
        <v>1774</v>
      </c>
      <c r="D39" s="85">
        <v>42948</v>
      </c>
      <c r="E39" s="3" t="s">
        <v>858</v>
      </c>
    </row>
    <row r="40" spans="1:7" x14ac:dyDescent="0.25">
      <c r="C40" s="3">
        <v>15000</v>
      </c>
      <c r="D40" s="85">
        <v>42948</v>
      </c>
      <c r="E40" s="3" t="s">
        <v>859</v>
      </c>
    </row>
    <row r="41" spans="1:7" x14ac:dyDescent="0.25">
      <c r="C41" s="3">
        <v>720</v>
      </c>
      <c r="D41" s="85">
        <v>42948</v>
      </c>
      <c r="E41" s="3" t="s">
        <v>860</v>
      </c>
    </row>
    <row r="42" spans="1:7" x14ac:dyDescent="0.25">
      <c r="C42" s="3">
        <v>720</v>
      </c>
      <c r="D42" s="72">
        <v>42957</v>
      </c>
      <c r="E42" s="3" t="s">
        <v>861</v>
      </c>
    </row>
    <row r="43" spans="1:7" x14ac:dyDescent="0.25">
      <c r="C43" s="3">
        <v>1958</v>
      </c>
      <c r="D43" s="72">
        <v>42959</v>
      </c>
      <c r="E43" s="3" t="s">
        <v>849</v>
      </c>
    </row>
    <row r="44" spans="1:7" x14ac:dyDescent="0.25">
      <c r="B44" s="3">
        <f>SUM(B37:B42)</f>
        <v>422584</v>
      </c>
      <c r="C44" s="3">
        <f>SUM(C37:C43)</f>
        <v>422583.6</v>
      </c>
      <c r="E44" s="3">
        <f>C44-B44</f>
        <v>-0.40000000002328306</v>
      </c>
      <c r="F44" s="72">
        <v>42959</v>
      </c>
      <c r="G44" s="72">
        <v>42959</v>
      </c>
    </row>
    <row r="46" spans="1:7" x14ac:dyDescent="0.25">
      <c r="A46" t="s">
        <v>862</v>
      </c>
      <c r="B46" s="3">
        <v>236376</v>
      </c>
      <c r="C46" s="3">
        <v>338000</v>
      </c>
      <c r="D46" s="72">
        <v>42962</v>
      </c>
      <c r="E46" s="3" t="s">
        <v>846</v>
      </c>
    </row>
    <row r="47" spans="1:7" x14ac:dyDescent="0.25">
      <c r="B47" s="3">
        <f>SUM(B46)</f>
        <v>236376</v>
      </c>
      <c r="C47" s="3">
        <f>SUM(C46)</f>
        <v>338000</v>
      </c>
      <c r="E47" s="51">
        <f>C47-B47</f>
        <v>101624</v>
      </c>
      <c r="F47" s="72">
        <v>42962</v>
      </c>
      <c r="G47" s="72">
        <v>42965</v>
      </c>
    </row>
    <row r="49" spans="1:7" x14ac:dyDescent="0.25">
      <c r="A49" t="s">
        <v>863</v>
      </c>
      <c r="B49" s="3">
        <v>488744</v>
      </c>
      <c r="C49" s="3">
        <v>494030.88</v>
      </c>
      <c r="D49" s="72">
        <v>42961</v>
      </c>
      <c r="E49" s="3" t="s">
        <v>846</v>
      </c>
    </row>
    <row r="50" spans="1:7" x14ac:dyDescent="0.25">
      <c r="B50" s="3">
        <f>SUM(B49)</f>
        <v>488744</v>
      </c>
      <c r="C50" s="3">
        <f>SUM(C49)</f>
        <v>494030.88</v>
      </c>
      <c r="E50" s="86">
        <f>C50-B50</f>
        <v>5286.8800000000047</v>
      </c>
      <c r="F50" s="72">
        <v>42962</v>
      </c>
      <c r="G50" s="72">
        <v>42965</v>
      </c>
    </row>
    <row r="52" spans="1:7" x14ac:dyDescent="0.25">
      <c r="A52" t="s">
        <v>864</v>
      </c>
      <c r="B52" s="3">
        <v>442733.5</v>
      </c>
      <c r="C52" s="3">
        <v>233000</v>
      </c>
      <c r="D52" s="72">
        <v>42963</v>
      </c>
      <c r="E52" s="3" t="s">
        <v>846</v>
      </c>
    </row>
    <row r="53" spans="1:7" x14ac:dyDescent="0.25">
      <c r="C53" s="51">
        <v>101624</v>
      </c>
      <c r="D53" s="72">
        <v>42962</v>
      </c>
      <c r="E53" s="3" t="s">
        <v>842</v>
      </c>
    </row>
    <row r="54" spans="1:7" x14ac:dyDescent="0.25">
      <c r="C54" s="79">
        <v>33200</v>
      </c>
      <c r="D54" s="72">
        <v>42954</v>
      </c>
      <c r="E54" s="3" t="s">
        <v>842</v>
      </c>
    </row>
    <row r="55" spans="1:7" x14ac:dyDescent="0.25">
      <c r="C55" s="84">
        <v>32191.9</v>
      </c>
      <c r="D55" s="72">
        <v>42958</v>
      </c>
      <c r="E55" s="3" t="s">
        <v>842</v>
      </c>
    </row>
    <row r="56" spans="1:7" x14ac:dyDescent="0.25">
      <c r="C56" s="63">
        <v>6296</v>
      </c>
      <c r="D56" s="72">
        <v>42957</v>
      </c>
      <c r="E56" s="3" t="s">
        <v>842</v>
      </c>
    </row>
    <row r="57" spans="1:7" x14ac:dyDescent="0.25">
      <c r="C57" s="86">
        <v>5286.88</v>
      </c>
      <c r="D57" s="72">
        <v>42962</v>
      </c>
      <c r="E57" s="3" t="s">
        <v>842</v>
      </c>
    </row>
    <row r="58" spans="1:7" x14ac:dyDescent="0.25">
      <c r="C58" s="3">
        <v>1440</v>
      </c>
      <c r="D58" s="72">
        <v>42962</v>
      </c>
      <c r="E58" s="3" t="s">
        <v>865</v>
      </c>
    </row>
    <row r="59" spans="1:7" x14ac:dyDescent="0.25">
      <c r="C59" s="3">
        <v>10478</v>
      </c>
      <c r="D59" s="72">
        <v>42956</v>
      </c>
      <c r="E59" s="3" t="s">
        <v>866</v>
      </c>
    </row>
    <row r="60" spans="1:7" x14ac:dyDescent="0.25">
      <c r="C60" s="3">
        <v>19217</v>
      </c>
      <c r="D60" s="72">
        <v>42963</v>
      </c>
      <c r="E60" s="3" t="s">
        <v>849</v>
      </c>
    </row>
    <row r="61" spans="1:7" x14ac:dyDescent="0.25">
      <c r="B61" s="3">
        <f>SUM(B52:B60)</f>
        <v>442733.5</v>
      </c>
      <c r="C61" s="3">
        <f>SUM(C52:C60)</f>
        <v>442733.78</v>
      </c>
      <c r="E61" s="3">
        <f>C61-B61</f>
        <v>0.28000000002793968</v>
      </c>
      <c r="F61" s="72">
        <v>42963</v>
      </c>
      <c r="G61" s="72">
        <v>42965</v>
      </c>
    </row>
    <row r="63" spans="1:7" x14ac:dyDescent="0.25">
      <c r="A63" t="s">
        <v>867</v>
      </c>
      <c r="B63" s="3">
        <v>283024</v>
      </c>
      <c r="C63" s="3">
        <v>273000</v>
      </c>
      <c r="D63" s="72">
        <v>42964</v>
      </c>
      <c r="E63" s="3" t="s">
        <v>846</v>
      </c>
    </row>
    <row r="64" spans="1:7" x14ac:dyDescent="0.25">
      <c r="C64" s="3">
        <v>10024</v>
      </c>
      <c r="D64" s="72">
        <v>42965</v>
      </c>
      <c r="E64" s="3" t="s">
        <v>849</v>
      </c>
    </row>
    <row r="65" spans="1:7" x14ac:dyDescent="0.25">
      <c r="B65" s="3">
        <f>SUM(B63)</f>
        <v>283024</v>
      </c>
      <c r="C65" s="3">
        <f>SUM(C63:C64)</f>
        <v>283024</v>
      </c>
      <c r="E65" s="3">
        <f>C65-B65</f>
        <v>0</v>
      </c>
      <c r="F65" s="72">
        <v>42965</v>
      </c>
      <c r="G65" s="72">
        <v>42965</v>
      </c>
    </row>
    <row r="67" spans="1:7" x14ac:dyDescent="0.25">
      <c r="A67" t="s">
        <v>868</v>
      </c>
      <c r="B67" s="3">
        <v>242029</v>
      </c>
      <c r="C67" s="3">
        <v>400000</v>
      </c>
      <c r="D67" s="72">
        <v>42968</v>
      </c>
      <c r="E67" s="3" t="s">
        <v>869</v>
      </c>
    </row>
    <row r="68" spans="1:7" x14ac:dyDescent="0.25">
      <c r="A68" t="s">
        <v>870</v>
      </c>
      <c r="B68" s="3">
        <v>5413.6</v>
      </c>
      <c r="C68" s="3">
        <v>410000</v>
      </c>
      <c r="D68" s="72">
        <v>42968</v>
      </c>
      <c r="E68" s="3" t="s">
        <v>869</v>
      </c>
    </row>
    <row r="69" spans="1:7" x14ac:dyDescent="0.25">
      <c r="A69" t="s">
        <v>871</v>
      </c>
      <c r="B69" s="3">
        <v>34735.26</v>
      </c>
      <c r="C69" s="3">
        <v>380000</v>
      </c>
      <c r="D69" s="72">
        <v>42968</v>
      </c>
      <c r="E69" s="3" t="s">
        <v>869</v>
      </c>
    </row>
    <row r="70" spans="1:7" x14ac:dyDescent="0.25">
      <c r="A70" t="s">
        <v>872</v>
      </c>
      <c r="B70" s="3">
        <v>441392</v>
      </c>
    </row>
    <row r="71" spans="1:7" x14ac:dyDescent="0.25">
      <c r="A71" t="s">
        <v>873</v>
      </c>
      <c r="B71" s="3">
        <v>462952</v>
      </c>
    </row>
    <row r="72" spans="1:7" x14ac:dyDescent="0.25">
      <c r="B72" s="3">
        <f>SUM(B67:B71)</f>
        <v>1186521.8599999999</v>
      </c>
      <c r="C72" s="3">
        <f>SUM(C67:C70)</f>
        <v>1190000</v>
      </c>
      <c r="E72" s="51">
        <f>C72-B72</f>
        <v>3478.1400000001304</v>
      </c>
      <c r="F72" s="72">
        <v>42968</v>
      </c>
      <c r="G72" s="72">
        <v>42969</v>
      </c>
    </row>
    <row r="74" spans="1:7" x14ac:dyDescent="0.25">
      <c r="A74" t="s">
        <v>874</v>
      </c>
      <c r="B74" s="3">
        <v>255976</v>
      </c>
      <c r="C74" s="3">
        <v>452000</v>
      </c>
      <c r="D74" s="72">
        <v>42970</v>
      </c>
      <c r="E74" s="3" t="s">
        <v>846</v>
      </c>
    </row>
    <row r="75" spans="1:7" x14ac:dyDescent="0.25">
      <c r="A75" t="s">
        <v>875</v>
      </c>
      <c r="B75" s="3">
        <v>23170.400000000001</v>
      </c>
    </row>
    <row r="76" spans="1:7" x14ac:dyDescent="0.25">
      <c r="A76" t="s">
        <v>876</v>
      </c>
      <c r="B76" s="3">
        <v>270015</v>
      </c>
      <c r="C76" s="3">
        <v>89000</v>
      </c>
      <c r="D76" s="72">
        <v>42971</v>
      </c>
      <c r="E76" s="3" t="s">
        <v>846</v>
      </c>
    </row>
    <row r="77" spans="1:7" x14ac:dyDescent="0.25">
      <c r="C77" s="3">
        <v>8161</v>
      </c>
      <c r="D77" s="72">
        <v>42971</v>
      </c>
      <c r="E77" s="3" t="s">
        <v>849</v>
      </c>
    </row>
    <row r="78" spans="1:7" x14ac:dyDescent="0.25">
      <c r="B78" s="3">
        <f>SUM(B74:B77)</f>
        <v>549161.4</v>
      </c>
      <c r="C78" s="3">
        <f>SUM(C74:C77)</f>
        <v>549161</v>
      </c>
      <c r="E78" s="3">
        <f>C78-B78</f>
        <v>-0.40000000002328306</v>
      </c>
      <c r="F78" s="72">
        <v>42971</v>
      </c>
      <c r="G78" s="72">
        <v>42972</v>
      </c>
    </row>
    <row r="80" spans="1:7" x14ac:dyDescent="0.25">
      <c r="A80" t="s">
        <v>877</v>
      </c>
      <c r="B80" s="3">
        <v>253330</v>
      </c>
      <c r="C80" s="3">
        <v>400000</v>
      </c>
      <c r="D80" s="72">
        <v>42975</v>
      </c>
      <c r="E80" s="3" t="s">
        <v>846</v>
      </c>
    </row>
    <row r="81" spans="1:7" x14ac:dyDescent="0.25">
      <c r="A81" t="s">
        <v>878</v>
      </c>
      <c r="B81" s="3">
        <v>235378.5</v>
      </c>
      <c r="C81" s="3">
        <v>400000</v>
      </c>
      <c r="D81" s="72">
        <v>42975</v>
      </c>
      <c r="E81" s="3" t="s">
        <v>846</v>
      </c>
    </row>
    <row r="82" spans="1:7" x14ac:dyDescent="0.25">
      <c r="A82" t="s">
        <v>879</v>
      </c>
      <c r="B82" s="3">
        <v>458535</v>
      </c>
      <c r="C82" s="3">
        <v>493000</v>
      </c>
      <c r="D82" s="72">
        <v>42975</v>
      </c>
      <c r="E82" s="3" t="s">
        <v>846</v>
      </c>
    </row>
    <row r="83" spans="1:7" x14ac:dyDescent="0.25">
      <c r="A83" t="s">
        <v>880</v>
      </c>
      <c r="B83" s="3">
        <v>452790</v>
      </c>
      <c r="C83" s="3">
        <v>594000</v>
      </c>
      <c r="D83" s="72">
        <v>42978</v>
      </c>
      <c r="E83" s="3" t="s">
        <v>846</v>
      </c>
    </row>
    <row r="84" spans="1:7" x14ac:dyDescent="0.25">
      <c r="A84" t="s">
        <v>881</v>
      </c>
      <c r="B84" s="3">
        <v>235683</v>
      </c>
      <c r="C84" s="3">
        <v>94800</v>
      </c>
      <c r="D84" s="72">
        <v>42978</v>
      </c>
      <c r="E84" s="3" t="s">
        <v>846</v>
      </c>
    </row>
    <row r="85" spans="1:7" x14ac:dyDescent="0.25">
      <c r="A85" t="s">
        <v>882</v>
      </c>
      <c r="B85" s="3">
        <v>1867.6</v>
      </c>
      <c r="C85" s="3">
        <v>26300</v>
      </c>
      <c r="D85" s="72">
        <v>42976</v>
      </c>
    </row>
    <row r="86" spans="1:7" x14ac:dyDescent="0.25">
      <c r="A86" t="s">
        <v>883</v>
      </c>
      <c r="B86" s="3">
        <v>23805</v>
      </c>
      <c r="C86" s="51">
        <v>3478.14</v>
      </c>
      <c r="D86" s="72">
        <v>42968</v>
      </c>
      <c r="E86" s="3" t="s">
        <v>842</v>
      </c>
    </row>
    <row r="87" spans="1:7" x14ac:dyDescent="0.25">
      <c r="A87" t="s">
        <v>884</v>
      </c>
      <c r="B87" s="3">
        <v>11157.3</v>
      </c>
      <c r="C87" s="3">
        <v>6102</v>
      </c>
      <c r="D87" s="72">
        <v>42970</v>
      </c>
      <c r="E87" s="3" t="s">
        <v>885</v>
      </c>
    </row>
    <row r="88" spans="1:7" x14ac:dyDescent="0.25">
      <c r="A88" t="s">
        <v>886</v>
      </c>
      <c r="B88" s="3">
        <v>49016.1</v>
      </c>
      <c r="C88" s="3">
        <v>31186</v>
      </c>
      <c r="D88" s="72">
        <v>42971</v>
      </c>
      <c r="E88" s="3" t="s">
        <v>887</v>
      </c>
    </row>
    <row r="89" spans="1:7" x14ac:dyDescent="0.25">
      <c r="A89" t="s">
        <v>888</v>
      </c>
      <c r="B89" s="3">
        <v>283464</v>
      </c>
      <c r="C89" s="3">
        <v>6787</v>
      </c>
      <c r="D89" s="72">
        <v>42973</v>
      </c>
      <c r="E89" s="3" t="s">
        <v>889</v>
      </c>
    </row>
    <row r="90" spans="1:7" x14ac:dyDescent="0.25">
      <c r="B90" s="3">
        <f>SUM(B80:B89)</f>
        <v>2005026.5000000002</v>
      </c>
      <c r="C90" s="3">
        <f>SUM(C80:C89)</f>
        <v>2055653.14</v>
      </c>
      <c r="E90" s="50">
        <f>C90-B90</f>
        <v>50626.639999999665</v>
      </c>
      <c r="F90" t="s">
        <v>890</v>
      </c>
      <c r="G90" s="72">
        <v>42979</v>
      </c>
    </row>
    <row r="91" spans="1:7" x14ac:dyDescent="0.25">
      <c r="C91" s="3" t="s">
        <v>891</v>
      </c>
    </row>
    <row r="92" spans="1:7" x14ac:dyDescent="0.25">
      <c r="A92" t="s">
        <v>892</v>
      </c>
      <c r="B92" s="3">
        <v>235694</v>
      </c>
      <c r="C92" s="3">
        <v>707000</v>
      </c>
      <c r="D92" s="72">
        <v>42980</v>
      </c>
      <c r="E92" s="3" t="s">
        <v>846</v>
      </c>
    </row>
    <row r="93" spans="1:7" x14ac:dyDescent="0.25">
      <c r="A93" t="s">
        <v>893</v>
      </c>
      <c r="B93" s="3">
        <v>464439</v>
      </c>
      <c r="C93" s="3">
        <v>11993</v>
      </c>
      <c r="D93" s="72">
        <v>42980</v>
      </c>
      <c r="E93" s="3" t="s">
        <v>849</v>
      </c>
    </row>
    <row r="94" spans="1:7" x14ac:dyDescent="0.25">
      <c r="A94" t="s">
        <v>894</v>
      </c>
      <c r="B94" s="3">
        <v>18860</v>
      </c>
    </row>
    <row r="95" spans="1:7" x14ac:dyDescent="0.25">
      <c r="B95" s="3">
        <f>SUM(B92:B94)</f>
        <v>718993</v>
      </c>
      <c r="C95" s="3">
        <f>SUM(C92:C94)</f>
        <v>718993</v>
      </c>
      <c r="E95" s="3">
        <f>C95-B95</f>
        <v>0</v>
      </c>
      <c r="F95" s="72">
        <v>42980</v>
      </c>
      <c r="G95" s="72">
        <v>42980</v>
      </c>
    </row>
    <row r="97" spans="1:7" x14ac:dyDescent="0.25">
      <c r="A97" t="s">
        <v>895</v>
      </c>
      <c r="B97" s="3">
        <v>445627</v>
      </c>
      <c r="C97" s="3">
        <v>866000</v>
      </c>
      <c r="D97" s="72">
        <v>42983</v>
      </c>
      <c r="E97" s="3" t="s">
        <v>846</v>
      </c>
    </row>
    <row r="98" spans="1:7" x14ac:dyDescent="0.25">
      <c r="A98" t="s">
        <v>896</v>
      </c>
      <c r="B98" s="3">
        <v>454238</v>
      </c>
      <c r="C98" s="3">
        <v>10505</v>
      </c>
      <c r="D98" s="72">
        <v>42977</v>
      </c>
      <c r="E98" s="3" t="s">
        <v>897</v>
      </c>
    </row>
    <row r="99" spans="1:7" x14ac:dyDescent="0.25">
      <c r="C99" s="3">
        <v>5625</v>
      </c>
      <c r="D99" s="72">
        <v>42979</v>
      </c>
      <c r="E99" s="3" t="s">
        <v>898</v>
      </c>
    </row>
    <row r="100" spans="1:7" x14ac:dyDescent="0.25">
      <c r="C100" s="3">
        <v>17735</v>
      </c>
      <c r="D100" s="72">
        <v>42984</v>
      </c>
      <c r="E100" s="3" t="s">
        <v>849</v>
      </c>
    </row>
    <row r="101" spans="1:7" x14ac:dyDescent="0.25">
      <c r="B101" s="3">
        <f>SUM(B97:B100)</f>
        <v>899865</v>
      </c>
      <c r="C101" s="3">
        <f>SUM(C97:C100)</f>
        <v>899865</v>
      </c>
      <c r="E101" s="3">
        <f>C101-B101</f>
        <v>0</v>
      </c>
      <c r="F101" s="72">
        <v>42953</v>
      </c>
      <c r="G101" s="72">
        <v>42953</v>
      </c>
    </row>
    <row r="103" spans="1:7" x14ac:dyDescent="0.25">
      <c r="A103" t="s">
        <v>899</v>
      </c>
      <c r="B103" s="3">
        <v>261366</v>
      </c>
      <c r="C103" s="3">
        <v>250000</v>
      </c>
      <c r="D103" s="72">
        <v>42984</v>
      </c>
      <c r="E103" s="3" t="s">
        <v>846</v>
      </c>
    </row>
    <row r="104" spans="1:7" x14ac:dyDescent="0.25">
      <c r="C104" s="3">
        <v>11366</v>
      </c>
      <c r="D104" s="72">
        <v>42984</v>
      </c>
      <c r="E104" s="3" t="s">
        <v>849</v>
      </c>
    </row>
    <row r="105" spans="1:7" x14ac:dyDescent="0.25">
      <c r="B105" s="3">
        <f>SUM(B103:B104)</f>
        <v>261366</v>
      </c>
      <c r="C105" s="3">
        <f>SUM(C103:C104)</f>
        <v>261366</v>
      </c>
      <c r="E105" s="3">
        <f>C105-B105</f>
        <v>0</v>
      </c>
      <c r="F105" s="72">
        <v>42953</v>
      </c>
      <c r="G105" s="72">
        <v>42953</v>
      </c>
    </row>
    <row r="108" spans="1:7" x14ac:dyDescent="0.25">
      <c r="A108" t="s">
        <v>900</v>
      </c>
      <c r="B108" s="3">
        <v>206460</v>
      </c>
      <c r="C108" s="3">
        <v>519000</v>
      </c>
      <c r="D108" s="72">
        <v>42986</v>
      </c>
      <c r="E108" s="3" t="s">
        <v>846</v>
      </c>
    </row>
    <row r="109" spans="1:7" x14ac:dyDescent="0.25">
      <c r="A109" t="s">
        <v>901</v>
      </c>
      <c r="B109" s="3">
        <v>281622</v>
      </c>
      <c r="C109" s="3">
        <v>729000</v>
      </c>
      <c r="D109" s="72">
        <v>42989</v>
      </c>
      <c r="E109" s="3" t="s">
        <v>846</v>
      </c>
    </row>
    <row r="110" spans="1:7" x14ac:dyDescent="0.25">
      <c r="A110" t="s">
        <v>902</v>
      </c>
      <c r="B110" s="3">
        <v>28020.9</v>
      </c>
      <c r="C110" s="3">
        <v>42000</v>
      </c>
      <c r="D110" s="72">
        <v>42989</v>
      </c>
      <c r="E110" s="3" t="s">
        <v>846</v>
      </c>
    </row>
    <row r="111" spans="1:7" x14ac:dyDescent="0.25">
      <c r="A111" t="s">
        <v>903</v>
      </c>
      <c r="B111" s="3">
        <v>434250</v>
      </c>
      <c r="C111" s="3">
        <v>5872</v>
      </c>
      <c r="D111" s="72">
        <v>42986</v>
      </c>
      <c r="E111" s="3" t="s">
        <v>904</v>
      </c>
    </row>
    <row r="112" spans="1:7" x14ac:dyDescent="0.25">
      <c r="A112" t="s">
        <v>905</v>
      </c>
      <c r="B112" s="3">
        <v>431665</v>
      </c>
      <c r="C112" s="3">
        <v>38500</v>
      </c>
      <c r="D112" s="72">
        <v>42979</v>
      </c>
      <c r="E112" s="3" t="s">
        <v>906</v>
      </c>
    </row>
    <row r="113" spans="1:8" x14ac:dyDescent="0.25">
      <c r="C113" s="50">
        <v>50626.7</v>
      </c>
      <c r="D113" s="72">
        <v>42978</v>
      </c>
      <c r="E113" s="73" t="s">
        <v>842</v>
      </c>
    </row>
    <row r="114" spans="1:8" x14ac:dyDescent="0.25">
      <c r="B114" s="3">
        <f>SUM(B108:B113)</f>
        <v>1382017.9</v>
      </c>
      <c r="C114" s="3">
        <f>SUM(C108:C113)</f>
        <v>1384998.7</v>
      </c>
      <c r="E114" s="54">
        <f>C114-B114</f>
        <v>2980.8000000000466</v>
      </c>
      <c r="F114" t="s">
        <v>907</v>
      </c>
      <c r="G114" s="72">
        <v>42992</v>
      </c>
    </row>
    <row r="115" spans="1:8" x14ac:dyDescent="0.25">
      <c r="G115" t="s">
        <v>908</v>
      </c>
    </row>
    <row r="116" spans="1:8" x14ac:dyDescent="0.25">
      <c r="A116" t="s">
        <v>909</v>
      </c>
      <c r="B116" s="3">
        <v>419601</v>
      </c>
      <c r="C116" s="3">
        <v>669000</v>
      </c>
      <c r="D116" s="72">
        <v>42991</v>
      </c>
      <c r="E116" s="3" t="s">
        <v>846</v>
      </c>
    </row>
    <row r="117" spans="1:8" x14ac:dyDescent="0.25">
      <c r="A117" t="s">
        <v>910</v>
      </c>
      <c r="B117" s="3">
        <v>254930</v>
      </c>
      <c r="C117" s="3">
        <v>6286</v>
      </c>
      <c r="D117" s="72">
        <v>42987</v>
      </c>
      <c r="E117" s="3" t="s">
        <v>911</v>
      </c>
    </row>
    <row r="118" spans="1:8" x14ac:dyDescent="0.25">
      <c r="C118" s="54">
        <v>2980.7</v>
      </c>
      <c r="D118" s="72">
        <v>42989</v>
      </c>
      <c r="E118" s="3" t="s">
        <v>842</v>
      </c>
    </row>
    <row r="119" spans="1:8" x14ac:dyDescent="0.25">
      <c r="B119" s="3">
        <f>SUM(B116:B118)</f>
        <v>674531</v>
      </c>
      <c r="C119" s="3">
        <f>SUM(C116:C118)</f>
        <v>678266.7</v>
      </c>
      <c r="E119" s="63">
        <f>C119-B119</f>
        <v>3735.6999999999534</v>
      </c>
      <c r="F119" s="72">
        <v>42992</v>
      </c>
      <c r="G119" s="87" t="s">
        <v>912</v>
      </c>
      <c r="H119" s="72">
        <v>42996</v>
      </c>
    </row>
    <row r="120" spans="1:8" x14ac:dyDescent="0.25">
      <c r="E120" s="88">
        <v>9267</v>
      </c>
      <c r="F120" s="62"/>
    </row>
    <row r="121" spans="1:8" x14ac:dyDescent="0.25">
      <c r="A121" t="s">
        <v>913</v>
      </c>
      <c r="B121" s="3">
        <v>5306.4</v>
      </c>
      <c r="C121" s="3">
        <v>530000</v>
      </c>
      <c r="D121" s="72">
        <v>42992</v>
      </c>
      <c r="E121" s="3" t="s">
        <v>846</v>
      </c>
    </row>
    <row r="122" spans="1:8" x14ac:dyDescent="0.25">
      <c r="A122" t="s">
        <v>914</v>
      </c>
      <c r="B122" s="3">
        <v>428640</v>
      </c>
    </row>
    <row r="123" spans="1:8" x14ac:dyDescent="0.25">
      <c r="B123" s="3">
        <f>SUM(B121:B122)</f>
        <v>433946.4</v>
      </c>
      <c r="C123" s="3">
        <f>SUM(C121:C122)</f>
        <v>530000</v>
      </c>
      <c r="E123" s="83">
        <f>C123-B123</f>
        <v>96053.599999999977</v>
      </c>
      <c r="F123" s="72">
        <v>42992</v>
      </c>
      <c r="G123" s="72">
        <v>42993</v>
      </c>
    </row>
    <row r="125" spans="1:8" x14ac:dyDescent="0.25">
      <c r="A125" t="s">
        <v>915</v>
      </c>
      <c r="B125" s="3">
        <v>229400</v>
      </c>
      <c r="C125" s="3">
        <v>549000</v>
      </c>
      <c r="D125" s="72">
        <v>42993</v>
      </c>
      <c r="E125" s="3" t="s">
        <v>846</v>
      </c>
    </row>
    <row r="126" spans="1:8" x14ac:dyDescent="0.25">
      <c r="A126" t="s">
        <v>916</v>
      </c>
      <c r="B126" s="3">
        <v>461250</v>
      </c>
      <c r="C126" s="3">
        <v>852</v>
      </c>
      <c r="D126" s="72">
        <v>42990</v>
      </c>
      <c r="E126" s="3" t="s">
        <v>917</v>
      </c>
    </row>
    <row r="127" spans="1:8" x14ac:dyDescent="0.25">
      <c r="C127" s="3">
        <v>35645</v>
      </c>
      <c r="D127" s="72">
        <v>42992</v>
      </c>
      <c r="E127" s="3" t="s">
        <v>918</v>
      </c>
    </row>
    <row r="128" spans="1:8" x14ac:dyDescent="0.25">
      <c r="C128" s="3">
        <v>7125</v>
      </c>
      <c r="D128" s="72">
        <v>42993</v>
      </c>
      <c r="E128" s="3" t="s">
        <v>919</v>
      </c>
    </row>
    <row r="129" spans="1:8" x14ac:dyDescent="0.25">
      <c r="C129" s="83">
        <v>96054</v>
      </c>
      <c r="D129" s="72">
        <v>42992</v>
      </c>
      <c r="E129" s="3" t="s">
        <v>842</v>
      </c>
    </row>
    <row r="130" spans="1:8" x14ac:dyDescent="0.25">
      <c r="C130" s="3">
        <v>1974</v>
      </c>
      <c r="D130" s="72">
        <v>42993</v>
      </c>
      <c r="E130" s="3" t="s">
        <v>849</v>
      </c>
    </row>
    <row r="131" spans="1:8" x14ac:dyDescent="0.25">
      <c r="B131" s="3">
        <f>SUM(B125:B129)</f>
        <v>690650</v>
      </c>
      <c r="C131" s="3">
        <f>SUM(C125:C130)</f>
        <v>690650</v>
      </c>
      <c r="E131" s="3">
        <f>C131-B131</f>
        <v>0</v>
      </c>
      <c r="F131" s="72">
        <v>42993</v>
      </c>
      <c r="G131" s="72">
        <v>42994</v>
      </c>
      <c r="H131" s="72"/>
    </row>
    <row r="133" spans="1:8" x14ac:dyDescent="0.25">
      <c r="A133" t="s">
        <v>920</v>
      </c>
      <c r="B133" s="3">
        <v>12502.08</v>
      </c>
      <c r="C133" s="3">
        <v>400000</v>
      </c>
      <c r="D133" s="72">
        <v>42998</v>
      </c>
      <c r="E133" s="3" t="s">
        <v>846</v>
      </c>
    </row>
    <row r="134" spans="1:8" x14ac:dyDescent="0.25">
      <c r="A134" t="s">
        <v>921</v>
      </c>
      <c r="B134" s="3">
        <v>38070.6</v>
      </c>
      <c r="C134" s="3">
        <v>300000</v>
      </c>
      <c r="D134" s="72">
        <v>42998</v>
      </c>
      <c r="E134" s="3" t="s">
        <v>846</v>
      </c>
    </row>
    <row r="135" spans="1:8" x14ac:dyDescent="0.25">
      <c r="A135" t="s">
        <v>922</v>
      </c>
      <c r="B135" s="3">
        <v>393260</v>
      </c>
      <c r="C135" s="3">
        <v>380000</v>
      </c>
      <c r="D135" s="72">
        <v>42998</v>
      </c>
      <c r="E135" s="3" t="s">
        <v>846</v>
      </c>
    </row>
    <row r="136" spans="1:8" x14ac:dyDescent="0.25">
      <c r="A136" t="s">
        <v>923</v>
      </c>
      <c r="B136" s="3">
        <v>416465</v>
      </c>
    </row>
    <row r="137" spans="1:8" x14ac:dyDescent="0.25">
      <c r="B137" s="3">
        <f>SUM(B133:B136)</f>
        <v>860297.67999999993</v>
      </c>
      <c r="C137" s="3">
        <f>SUM(C133:C136)</f>
        <v>1080000</v>
      </c>
      <c r="E137" s="75">
        <f>C137-B137</f>
        <v>219702.32000000007</v>
      </c>
      <c r="F137" s="72">
        <v>42998</v>
      </c>
      <c r="G137" s="72">
        <v>42998</v>
      </c>
    </row>
    <row r="139" spans="1:8" x14ac:dyDescent="0.25">
      <c r="A139" t="s">
        <v>924</v>
      </c>
      <c r="B139" s="3">
        <v>235508</v>
      </c>
      <c r="C139" s="3">
        <v>531000</v>
      </c>
      <c r="D139" s="72">
        <v>43000</v>
      </c>
      <c r="E139" s="3" t="s">
        <v>846</v>
      </c>
    </row>
    <row r="140" spans="1:8" x14ac:dyDescent="0.25">
      <c r="A140" t="s">
        <v>925</v>
      </c>
      <c r="B140" s="3">
        <v>234285.5</v>
      </c>
    </row>
    <row r="141" spans="1:8" x14ac:dyDescent="0.25">
      <c r="B141" s="3">
        <f>SUM(B139:B140)</f>
        <v>469793.5</v>
      </c>
      <c r="C141" s="3">
        <f>SUM(C139:C140)</f>
        <v>531000</v>
      </c>
      <c r="E141" s="79">
        <f>C141-B141</f>
        <v>61206.5</v>
      </c>
      <c r="F141" s="72">
        <v>43000</v>
      </c>
      <c r="G141" s="72">
        <v>43001</v>
      </c>
    </row>
    <row r="143" spans="1:8" x14ac:dyDescent="0.25">
      <c r="A143" t="s">
        <v>926</v>
      </c>
      <c r="B143" s="3">
        <v>460280</v>
      </c>
      <c r="C143" s="63">
        <v>3735.7</v>
      </c>
      <c r="D143" s="72">
        <v>42992</v>
      </c>
      <c r="E143" s="3" t="s">
        <v>842</v>
      </c>
    </row>
    <row r="144" spans="1:8" x14ac:dyDescent="0.25">
      <c r="A144" t="s">
        <v>927</v>
      </c>
      <c r="B144" s="3">
        <v>411918.5</v>
      </c>
      <c r="C144" s="89">
        <v>61206.5</v>
      </c>
      <c r="D144" s="72">
        <v>43000</v>
      </c>
      <c r="E144" s="3" t="s">
        <v>842</v>
      </c>
    </row>
    <row r="145" spans="1:7" x14ac:dyDescent="0.25">
      <c r="C145" s="75">
        <v>219702.32</v>
      </c>
      <c r="D145" s="72">
        <v>42998</v>
      </c>
      <c r="E145" s="3" t="s">
        <v>842</v>
      </c>
    </row>
    <row r="146" spans="1:7" x14ac:dyDescent="0.25">
      <c r="C146" s="3">
        <v>280</v>
      </c>
      <c r="D146" s="72">
        <v>43000</v>
      </c>
      <c r="E146" s="3" t="s">
        <v>928</v>
      </c>
    </row>
    <row r="147" spans="1:7" x14ac:dyDescent="0.25">
      <c r="C147" s="3">
        <v>3162</v>
      </c>
      <c r="D147" s="72">
        <v>42992</v>
      </c>
      <c r="E147" s="3" t="s">
        <v>929</v>
      </c>
    </row>
    <row r="148" spans="1:7" x14ac:dyDescent="0.25">
      <c r="C148" s="3">
        <v>24083</v>
      </c>
      <c r="D148" s="72">
        <v>42991</v>
      </c>
      <c r="E148" s="3" t="s">
        <v>930</v>
      </c>
    </row>
    <row r="149" spans="1:7" x14ac:dyDescent="0.25">
      <c r="C149" s="3">
        <v>4930</v>
      </c>
      <c r="D149" s="72">
        <v>42990</v>
      </c>
      <c r="E149" s="3" t="s">
        <v>931</v>
      </c>
    </row>
    <row r="150" spans="1:7" x14ac:dyDescent="0.25">
      <c r="C150" s="3">
        <v>6242</v>
      </c>
      <c r="D150" s="72">
        <v>42990</v>
      </c>
      <c r="E150" s="3" t="s">
        <v>932</v>
      </c>
    </row>
    <row r="151" spans="1:7" x14ac:dyDescent="0.25">
      <c r="C151" s="3">
        <v>11432</v>
      </c>
      <c r="D151" s="72">
        <v>42997</v>
      </c>
      <c r="E151" s="3" t="s">
        <v>933</v>
      </c>
    </row>
    <row r="152" spans="1:7" x14ac:dyDescent="0.25">
      <c r="C152" s="3">
        <v>51450</v>
      </c>
      <c r="D152" s="72">
        <v>42994</v>
      </c>
      <c r="E152" s="3" t="s">
        <v>934</v>
      </c>
    </row>
    <row r="153" spans="1:7" x14ac:dyDescent="0.25">
      <c r="C153" s="3">
        <v>455000</v>
      </c>
      <c r="D153" s="72">
        <v>43001</v>
      </c>
      <c r="E153" s="3" t="s">
        <v>935</v>
      </c>
    </row>
    <row r="154" spans="1:7" x14ac:dyDescent="0.25">
      <c r="C154" s="3">
        <v>30975</v>
      </c>
      <c r="D154" s="72">
        <v>43001</v>
      </c>
      <c r="E154" s="3" t="s">
        <v>849</v>
      </c>
    </row>
    <row r="155" spans="1:7" x14ac:dyDescent="0.25">
      <c r="B155" s="3">
        <f>SUM(B143:B154)</f>
        <v>872198.5</v>
      </c>
      <c r="C155" s="3">
        <f>SUM(C143:C154)</f>
        <v>872198.52</v>
      </c>
      <c r="E155" s="3">
        <f>C155-B155</f>
        <v>2.0000000018626451E-2</v>
      </c>
      <c r="F155" s="72">
        <v>43001</v>
      </c>
      <c r="G155" s="72">
        <v>43001</v>
      </c>
    </row>
    <row r="157" spans="1:7" x14ac:dyDescent="0.25">
      <c r="A157" t="s">
        <v>936</v>
      </c>
      <c r="B157" s="3">
        <v>9355.5</v>
      </c>
      <c r="C157" s="3">
        <v>48000</v>
      </c>
      <c r="D157" s="72">
        <v>43003</v>
      </c>
      <c r="E157" s="3" t="s">
        <v>846</v>
      </c>
    </row>
    <row r="158" spans="1:7" x14ac:dyDescent="0.25">
      <c r="A158" t="s">
        <v>937</v>
      </c>
      <c r="B158" s="3">
        <v>30110.400000000001</v>
      </c>
      <c r="C158" s="3">
        <v>530000</v>
      </c>
      <c r="D158" s="72">
        <v>43003</v>
      </c>
      <c r="E158" s="3" t="s">
        <v>846</v>
      </c>
    </row>
    <row r="159" spans="1:7" x14ac:dyDescent="0.25">
      <c r="A159" t="s">
        <v>938</v>
      </c>
      <c r="B159" s="3">
        <v>433985</v>
      </c>
    </row>
    <row r="160" spans="1:7" x14ac:dyDescent="0.25">
      <c r="B160" s="3">
        <f>SUM(B157:B159)</f>
        <v>473450.9</v>
      </c>
      <c r="C160" s="3">
        <f>SUM(C157:C159)</f>
        <v>578000</v>
      </c>
      <c r="E160" s="83">
        <f>C160-B160</f>
        <v>104549.09999999998</v>
      </c>
      <c r="F160" s="72">
        <v>43003</v>
      </c>
      <c r="G160" s="72">
        <v>43005</v>
      </c>
    </row>
    <row r="162" spans="1:7" x14ac:dyDescent="0.25">
      <c r="A162" t="s">
        <v>939</v>
      </c>
      <c r="B162" s="3">
        <v>422902</v>
      </c>
      <c r="C162" s="3">
        <v>453000</v>
      </c>
      <c r="D162" s="72">
        <v>43004</v>
      </c>
    </row>
    <row r="163" spans="1:7" x14ac:dyDescent="0.25">
      <c r="B163" s="3">
        <f>SUM(B162)</f>
        <v>422902</v>
      </c>
      <c r="C163" s="3">
        <f>SUM(C162)</f>
        <v>453000</v>
      </c>
      <c r="E163" s="54">
        <f>C163-B163</f>
        <v>30098</v>
      </c>
      <c r="F163" s="72">
        <v>43004</v>
      </c>
      <c r="G163" s="72">
        <v>43005</v>
      </c>
    </row>
    <row r="165" spans="1:7" x14ac:dyDescent="0.25">
      <c r="A165" t="s">
        <v>940</v>
      </c>
      <c r="B165" s="3">
        <v>240240</v>
      </c>
      <c r="C165" s="3">
        <v>271000</v>
      </c>
      <c r="D165" s="72">
        <v>43005</v>
      </c>
      <c r="E165" s="3" t="s">
        <v>941</v>
      </c>
    </row>
    <row r="166" spans="1:7" x14ac:dyDescent="0.25">
      <c r="B166" s="3">
        <f>SUM(B165)</f>
        <v>240240</v>
      </c>
      <c r="C166" s="3">
        <f>SUM(C165)</f>
        <v>271000</v>
      </c>
      <c r="E166" s="75">
        <f>C166-B166</f>
        <v>30760</v>
      </c>
      <c r="F166" s="72">
        <v>43005</v>
      </c>
      <c r="G166" s="72">
        <v>43005</v>
      </c>
    </row>
    <row r="168" spans="1:7" x14ac:dyDescent="0.25">
      <c r="A168" t="s">
        <v>942</v>
      </c>
      <c r="B168" s="3">
        <v>436320</v>
      </c>
      <c r="C168" s="3">
        <v>437000</v>
      </c>
      <c r="D168" s="72">
        <v>43006</v>
      </c>
      <c r="E168" s="3" t="s">
        <v>846</v>
      </c>
    </row>
    <row r="169" spans="1:7" x14ac:dyDescent="0.25">
      <c r="A169" t="s">
        <v>943</v>
      </c>
      <c r="B169" s="3">
        <v>236880</v>
      </c>
      <c r="C169" s="3">
        <v>14895</v>
      </c>
      <c r="D169" s="72">
        <v>43007</v>
      </c>
    </row>
    <row r="170" spans="1:7" x14ac:dyDescent="0.25">
      <c r="C170" s="3">
        <v>2766</v>
      </c>
      <c r="D170" s="72">
        <v>43004</v>
      </c>
      <c r="E170" s="3" t="s">
        <v>944</v>
      </c>
    </row>
    <row r="171" spans="1:7" x14ac:dyDescent="0.25">
      <c r="C171" s="3">
        <v>9220</v>
      </c>
      <c r="D171" s="72">
        <v>43003</v>
      </c>
      <c r="E171" s="3" t="s">
        <v>945</v>
      </c>
    </row>
    <row r="172" spans="1:7" x14ac:dyDescent="0.25">
      <c r="C172" s="3">
        <v>2565</v>
      </c>
      <c r="D172" s="72">
        <v>43005</v>
      </c>
      <c r="E172" s="3" t="s">
        <v>946</v>
      </c>
    </row>
    <row r="173" spans="1:7" x14ac:dyDescent="0.25">
      <c r="C173" s="3">
        <v>21411</v>
      </c>
      <c r="D173" s="72">
        <v>43004</v>
      </c>
      <c r="E173" s="3" t="s">
        <v>947</v>
      </c>
    </row>
    <row r="174" spans="1:7" x14ac:dyDescent="0.25">
      <c r="C174" s="3">
        <v>11464</v>
      </c>
      <c r="D174" s="72">
        <v>43005</v>
      </c>
      <c r="E174" s="3" t="s">
        <v>948</v>
      </c>
    </row>
    <row r="175" spans="1:7" x14ac:dyDescent="0.25">
      <c r="C175" s="3">
        <v>8472</v>
      </c>
      <c r="D175" s="72">
        <v>43006</v>
      </c>
      <c r="E175" s="3" t="s">
        <v>949</v>
      </c>
    </row>
    <row r="176" spans="1:7" x14ac:dyDescent="0.25">
      <c r="C176" s="83">
        <v>104549.1</v>
      </c>
      <c r="D176" s="72">
        <v>43003</v>
      </c>
      <c r="E176" s="3" t="s">
        <v>842</v>
      </c>
    </row>
    <row r="177" spans="1:7" x14ac:dyDescent="0.25">
      <c r="C177" s="54">
        <v>30098</v>
      </c>
      <c r="D177" s="72">
        <v>43004</v>
      </c>
      <c r="E177" s="3" t="s">
        <v>842</v>
      </c>
    </row>
    <row r="178" spans="1:7" x14ac:dyDescent="0.25">
      <c r="C178" s="75">
        <v>30760</v>
      </c>
      <c r="D178" s="72">
        <v>43005</v>
      </c>
      <c r="E178" s="3" t="s">
        <v>842</v>
      </c>
    </row>
    <row r="179" spans="1:7" x14ac:dyDescent="0.25">
      <c r="B179" s="3">
        <f>SUM(B168:B178)</f>
        <v>673200</v>
      </c>
      <c r="C179" s="3">
        <f>SUM(C168:C178)</f>
        <v>673200.1</v>
      </c>
      <c r="E179" s="3">
        <f>C179-B179</f>
        <v>9.9999999976716936E-2</v>
      </c>
      <c r="F179" s="72">
        <v>43006</v>
      </c>
      <c r="G179" s="72">
        <v>43007</v>
      </c>
    </row>
    <row r="181" spans="1:7" x14ac:dyDescent="0.25">
      <c r="A181" t="s">
        <v>950</v>
      </c>
      <c r="B181" s="3">
        <v>409670</v>
      </c>
      <c r="C181" s="3">
        <v>413000</v>
      </c>
      <c r="D181" s="72">
        <v>43008</v>
      </c>
      <c r="E181" s="3" t="s">
        <v>846</v>
      </c>
    </row>
    <row r="182" spans="1:7" x14ac:dyDescent="0.25">
      <c r="A182" t="s">
        <v>951</v>
      </c>
      <c r="B182" s="3">
        <v>15127.5</v>
      </c>
      <c r="C182" s="3">
        <v>250000</v>
      </c>
      <c r="D182" s="72">
        <v>43007</v>
      </c>
      <c r="E182" s="3" t="s">
        <v>846</v>
      </c>
    </row>
    <row r="183" spans="1:7" x14ac:dyDescent="0.25">
      <c r="A183" t="s">
        <v>952</v>
      </c>
      <c r="B183" s="3">
        <v>439200</v>
      </c>
      <c r="C183" s="3">
        <v>386000</v>
      </c>
      <c r="D183" s="72">
        <v>43010</v>
      </c>
      <c r="E183" s="3" t="s">
        <v>846</v>
      </c>
    </row>
    <row r="184" spans="1:7" x14ac:dyDescent="0.25">
      <c r="A184" t="s">
        <v>953</v>
      </c>
      <c r="B184" s="3">
        <v>444174</v>
      </c>
      <c r="C184" s="3">
        <v>270000</v>
      </c>
      <c r="D184" s="72">
        <v>43011</v>
      </c>
      <c r="E184" s="3" t="s">
        <v>846</v>
      </c>
    </row>
    <row r="185" spans="1:7" x14ac:dyDescent="0.25">
      <c r="B185" s="3">
        <f>SUM(B181:B184)</f>
        <v>1308171.5</v>
      </c>
      <c r="C185" s="3">
        <f>SUM(C181:C184)</f>
        <v>1319000</v>
      </c>
      <c r="E185" s="51">
        <f>C185-B185</f>
        <v>10828.5</v>
      </c>
      <c r="F185" s="72">
        <v>43011</v>
      </c>
      <c r="G185" s="72">
        <v>43012</v>
      </c>
    </row>
    <row r="187" spans="1:7" x14ac:dyDescent="0.25">
      <c r="A187" t="s">
        <v>954</v>
      </c>
      <c r="B187" s="3">
        <v>244614</v>
      </c>
      <c r="C187" s="3">
        <v>283000</v>
      </c>
      <c r="D187" s="72">
        <v>43012</v>
      </c>
      <c r="E187" s="3" t="s">
        <v>846</v>
      </c>
    </row>
    <row r="188" spans="1:7" x14ac:dyDescent="0.25">
      <c r="B188" s="3">
        <f>SUM(B187)</f>
        <v>244614</v>
      </c>
      <c r="C188" s="3">
        <f>SUM(C187)</f>
        <v>283000</v>
      </c>
      <c r="E188" s="79">
        <f>C188-B188</f>
        <v>38386</v>
      </c>
      <c r="F188" s="72">
        <v>43012</v>
      </c>
      <c r="G188" s="72">
        <v>43012</v>
      </c>
    </row>
    <row r="190" spans="1:7" x14ac:dyDescent="0.25">
      <c r="A190" t="s">
        <v>955</v>
      </c>
      <c r="B190" s="3">
        <v>35708.6</v>
      </c>
      <c r="C190" s="3">
        <v>1624</v>
      </c>
      <c r="D190" s="72">
        <v>43017</v>
      </c>
      <c r="E190" s="3" t="s">
        <v>956</v>
      </c>
    </row>
    <row r="191" spans="1:7" x14ac:dyDescent="0.25">
      <c r="A191" t="s">
        <v>957</v>
      </c>
      <c r="B191" s="3">
        <v>225852</v>
      </c>
      <c r="C191" s="79">
        <v>38386</v>
      </c>
      <c r="D191" s="72">
        <v>43012</v>
      </c>
      <c r="E191" s="3" t="s">
        <v>842</v>
      </c>
    </row>
    <row r="192" spans="1:7" x14ac:dyDescent="0.25">
      <c r="C192" s="3">
        <v>5340</v>
      </c>
      <c r="D192" s="72">
        <v>43012</v>
      </c>
      <c r="E192" s="3" t="s">
        <v>958</v>
      </c>
    </row>
    <row r="193" spans="1:7" x14ac:dyDescent="0.25">
      <c r="C193" s="51">
        <v>10828.5</v>
      </c>
      <c r="D193" s="72">
        <v>43011</v>
      </c>
      <c r="E193" s="3" t="s">
        <v>842</v>
      </c>
    </row>
    <row r="194" spans="1:7" x14ac:dyDescent="0.25">
      <c r="C194" s="3">
        <v>3853</v>
      </c>
      <c r="D194" s="72">
        <v>43008</v>
      </c>
      <c r="E194" s="3" t="s">
        <v>959</v>
      </c>
    </row>
    <row r="195" spans="1:7" x14ac:dyDescent="0.25">
      <c r="C195" s="3">
        <v>9093</v>
      </c>
      <c r="D195" s="72">
        <v>43011</v>
      </c>
      <c r="E195" s="3" t="s">
        <v>960</v>
      </c>
    </row>
    <row r="196" spans="1:7" x14ac:dyDescent="0.25">
      <c r="C196" s="3">
        <v>14952</v>
      </c>
      <c r="D196" s="72">
        <v>43011</v>
      </c>
      <c r="E196" s="3" t="s">
        <v>961</v>
      </c>
    </row>
    <row r="197" spans="1:7" x14ac:dyDescent="0.25">
      <c r="C197" s="3">
        <v>168000</v>
      </c>
      <c r="D197" s="72">
        <v>43013</v>
      </c>
      <c r="E197" s="3" t="s">
        <v>846</v>
      </c>
    </row>
    <row r="198" spans="1:7" x14ac:dyDescent="0.25">
      <c r="C198" s="3">
        <v>9485</v>
      </c>
      <c r="D198" s="72">
        <v>43013</v>
      </c>
      <c r="E198" s="3" t="s">
        <v>849</v>
      </c>
    </row>
    <row r="199" spans="1:7" x14ac:dyDescent="0.25">
      <c r="B199" s="3">
        <f>SUM(B190:B197)</f>
        <v>261560.6</v>
      </c>
      <c r="C199" s="3">
        <f>SUM(C190:C198)</f>
        <v>261561.5</v>
      </c>
      <c r="E199" s="3">
        <f>C199-B199</f>
        <v>0.89999999999417923</v>
      </c>
      <c r="F199" s="72">
        <v>43013</v>
      </c>
      <c r="G199" s="72">
        <v>43014</v>
      </c>
    </row>
    <row r="201" spans="1:7" x14ac:dyDescent="0.25">
      <c r="A201" t="s">
        <v>962</v>
      </c>
      <c r="B201" s="3">
        <v>52750.5</v>
      </c>
      <c r="C201" s="3">
        <v>300000</v>
      </c>
      <c r="D201" s="72">
        <v>43014</v>
      </c>
      <c r="E201" s="3" t="s">
        <v>963</v>
      </c>
    </row>
    <row r="202" spans="1:7" x14ac:dyDescent="0.25">
      <c r="A202" t="s">
        <v>964</v>
      </c>
      <c r="B202" s="3">
        <v>210160</v>
      </c>
    </row>
    <row r="203" spans="1:7" x14ac:dyDescent="0.25">
      <c r="B203" s="3">
        <f>SUM(B201:B202)</f>
        <v>262910.5</v>
      </c>
      <c r="C203" s="3">
        <f>SUM(C201:C202)</f>
        <v>300000</v>
      </c>
      <c r="E203" s="50">
        <f>C203-B203</f>
        <v>37089.5</v>
      </c>
      <c r="F203" s="72">
        <v>43014</v>
      </c>
      <c r="G203" s="72">
        <v>43015</v>
      </c>
    </row>
    <row r="205" spans="1:7" x14ac:dyDescent="0.25">
      <c r="A205" t="s">
        <v>965</v>
      </c>
      <c r="B205" s="3">
        <v>8514</v>
      </c>
      <c r="C205" s="3">
        <v>475000</v>
      </c>
      <c r="D205" s="72">
        <v>43017</v>
      </c>
      <c r="E205" s="3" t="s">
        <v>846</v>
      </c>
    </row>
    <row r="206" spans="1:7" x14ac:dyDescent="0.25">
      <c r="A206" t="s">
        <v>966</v>
      </c>
      <c r="B206" s="3">
        <v>400372</v>
      </c>
      <c r="C206" s="3">
        <v>338000</v>
      </c>
      <c r="D206" s="72">
        <v>43015</v>
      </c>
      <c r="E206" s="3" t="s">
        <v>846</v>
      </c>
    </row>
    <row r="207" spans="1:7" x14ac:dyDescent="0.25">
      <c r="A207" t="s">
        <v>967</v>
      </c>
      <c r="B207" s="3">
        <v>3400</v>
      </c>
      <c r="C207" s="50">
        <v>37089.5</v>
      </c>
      <c r="D207" s="72">
        <v>43014</v>
      </c>
      <c r="E207" s="3" t="s">
        <v>842</v>
      </c>
    </row>
    <row r="208" spans="1:7" x14ac:dyDescent="0.25">
      <c r="A208" t="s">
        <v>968</v>
      </c>
      <c r="B208" s="3">
        <v>8911</v>
      </c>
    </row>
    <row r="209" spans="1:7" x14ac:dyDescent="0.25">
      <c r="A209" t="s">
        <v>969</v>
      </c>
      <c r="B209" s="3">
        <v>405055</v>
      </c>
    </row>
    <row r="210" spans="1:7" x14ac:dyDescent="0.25">
      <c r="B210" s="3">
        <f>SUM(B205:B209)</f>
        <v>826252</v>
      </c>
      <c r="C210" s="3">
        <f>SUM(C205:C209)</f>
        <v>850089.5</v>
      </c>
      <c r="E210" s="75">
        <f>C210-B210</f>
        <v>23837.5</v>
      </c>
      <c r="F210" s="72">
        <v>43017</v>
      </c>
      <c r="G210" s="72">
        <v>43019</v>
      </c>
    </row>
    <row r="212" spans="1:7" x14ac:dyDescent="0.25">
      <c r="A212" t="s">
        <v>970</v>
      </c>
      <c r="B212" s="3">
        <v>26166.400000000001</v>
      </c>
      <c r="C212" s="75">
        <v>23837.5</v>
      </c>
      <c r="D212" s="72">
        <v>43017</v>
      </c>
      <c r="E212" s="3" t="s">
        <v>842</v>
      </c>
    </row>
    <row r="213" spans="1:7" x14ac:dyDescent="0.25">
      <c r="A213" t="s">
        <v>971</v>
      </c>
      <c r="B213" s="3">
        <v>364350</v>
      </c>
      <c r="C213" s="3">
        <v>4872</v>
      </c>
      <c r="D213" s="72">
        <v>43017</v>
      </c>
      <c r="E213" s="3" t="s">
        <v>972</v>
      </c>
    </row>
    <row r="214" spans="1:7" x14ac:dyDescent="0.25">
      <c r="C214" s="3">
        <v>3547</v>
      </c>
      <c r="D214" s="72">
        <v>43015</v>
      </c>
      <c r="E214" s="3" t="s">
        <v>973</v>
      </c>
    </row>
    <row r="215" spans="1:7" x14ac:dyDescent="0.25">
      <c r="C215" s="3">
        <v>1687</v>
      </c>
      <c r="D215" s="72">
        <v>43014</v>
      </c>
      <c r="E215" s="3" t="s">
        <v>974</v>
      </c>
    </row>
    <row r="216" spans="1:7" x14ac:dyDescent="0.25">
      <c r="C216" s="3">
        <v>1529</v>
      </c>
      <c r="D216" s="72">
        <v>43013</v>
      </c>
      <c r="E216" s="3" t="s">
        <v>975</v>
      </c>
    </row>
    <row r="217" spans="1:7" x14ac:dyDescent="0.25">
      <c r="C217" s="3">
        <v>21044</v>
      </c>
      <c r="D217" s="72">
        <v>43019</v>
      </c>
    </row>
    <row r="218" spans="1:7" x14ac:dyDescent="0.25">
      <c r="C218" s="3">
        <v>334000</v>
      </c>
      <c r="D218" s="72">
        <v>43018</v>
      </c>
      <c r="E218" s="3" t="s">
        <v>846</v>
      </c>
    </row>
    <row r="219" spans="1:7" x14ac:dyDescent="0.25">
      <c r="B219" s="3">
        <f>SUM(B212:B217)</f>
        <v>390516.4</v>
      </c>
      <c r="C219" s="3">
        <f>SUM(C212:C218)</f>
        <v>390516.5</v>
      </c>
      <c r="E219" s="3">
        <f>C219-B219</f>
        <v>9.9999999976716936E-2</v>
      </c>
      <c r="F219" s="72">
        <v>43018</v>
      </c>
      <c r="G219" s="72">
        <v>43020</v>
      </c>
    </row>
    <row r="221" spans="1:7" x14ac:dyDescent="0.25">
      <c r="A221" t="s">
        <v>976</v>
      </c>
      <c r="B221" s="3">
        <v>229991</v>
      </c>
      <c r="C221" s="3">
        <v>467000</v>
      </c>
      <c r="D221" s="72">
        <v>43020</v>
      </c>
      <c r="E221" s="3" t="s">
        <v>963</v>
      </c>
    </row>
    <row r="222" spans="1:7" x14ac:dyDescent="0.25">
      <c r="A222" t="s">
        <v>977</v>
      </c>
      <c r="B222" s="3">
        <v>211584</v>
      </c>
    </row>
    <row r="223" spans="1:7" x14ac:dyDescent="0.25">
      <c r="B223" s="3">
        <f>SUM(B221:B222)</f>
        <v>441575</v>
      </c>
      <c r="C223" s="3">
        <f>SUM(C221:C222)</f>
        <v>467000</v>
      </c>
      <c r="E223" s="84">
        <f>C223-B223</f>
        <v>25425</v>
      </c>
      <c r="F223" s="72">
        <v>43020</v>
      </c>
      <c r="G223" s="72">
        <v>43022</v>
      </c>
    </row>
    <row r="225" spans="1:7" x14ac:dyDescent="0.25">
      <c r="A225" t="s">
        <v>978</v>
      </c>
      <c r="B225" s="3">
        <v>207408</v>
      </c>
      <c r="C225" s="3">
        <v>300000</v>
      </c>
      <c r="D225" s="72">
        <v>43021</v>
      </c>
      <c r="E225" s="3" t="s">
        <v>846</v>
      </c>
    </row>
    <row r="226" spans="1:7" x14ac:dyDescent="0.25">
      <c r="B226" s="3">
        <f>SUM(B225)</f>
        <v>207408</v>
      </c>
      <c r="C226" s="3">
        <f>SUM(C225)</f>
        <v>300000</v>
      </c>
      <c r="E226" s="86">
        <f>C226-B226</f>
        <v>92592</v>
      </c>
      <c r="F226" s="72">
        <v>43021</v>
      </c>
      <c r="G226" s="72">
        <v>43022</v>
      </c>
    </row>
    <row r="228" spans="1:7" x14ac:dyDescent="0.25">
      <c r="A228" t="s">
        <v>979</v>
      </c>
      <c r="B228" s="3">
        <v>386561</v>
      </c>
      <c r="C228" s="3">
        <v>340000</v>
      </c>
      <c r="D228" s="72">
        <v>43022</v>
      </c>
      <c r="E228" s="3" t="s">
        <v>846</v>
      </c>
    </row>
    <row r="229" spans="1:7" x14ac:dyDescent="0.25">
      <c r="C229" s="3">
        <v>6089</v>
      </c>
      <c r="D229" s="72">
        <v>43022</v>
      </c>
      <c r="E229" s="3" t="s">
        <v>980</v>
      </c>
    </row>
    <row r="230" spans="1:7" x14ac:dyDescent="0.25">
      <c r="C230" s="3">
        <v>6926</v>
      </c>
      <c r="D230" s="72">
        <v>43021</v>
      </c>
      <c r="E230" s="3" t="s">
        <v>981</v>
      </c>
    </row>
    <row r="231" spans="1:7" x14ac:dyDescent="0.25">
      <c r="C231" s="84">
        <v>25425</v>
      </c>
      <c r="D231" s="72">
        <v>43020</v>
      </c>
      <c r="E231" s="3" t="s">
        <v>842</v>
      </c>
    </row>
    <row r="232" spans="1:7" x14ac:dyDescent="0.25">
      <c r="C232" s="3">
        <v>8121</v>
      </c>
      <c r="D232" s="72">
        <v>43022</v>
      </c>
      <c r="E232" s="3" t="s">
        <v>849</v>
      </c>
    </row>
    <row r="233" spans="1:7" x14ac:dyDescent="0.25">
      <c r="B233" s="3">
        <f>SUM(B228:B231)</f>
        <v>386561</v>
      </c>
      <c r="C233" s="3">
        <f>SUM(C228:C232)</f>
        <v>386561</v>
      </c>
      <c r="E233" s="3">
        <f>C233-B233</f>
        <v>0</v>
      </c>
      <c r="F233" s="72">
        <v>43022</v>
      </c>
      <c r="G233" s="72">
        <v>43022</v>
      </c>
    </row>
    <row r="235" spans="1:7" x14ac:dyDescent="0.25">
      <c r="A235" t="s">
        <v>982</v>
      </c>
      <c r="B235" s="3">
        <v>398970</v>
      </c>
      <c r="C235" s="3">
        <v>404000</v>
      </c>
      <c r="D235" s="72">
        <v>43024</v>
      </c>
      <c r="E235" s="3" t="s">
        <v>846</v>
      </c>
    </row>
    <row r="236" spans="1:7" x14ac:dyDescent="0.25">
      <c r="B236" s="3">
        <f>SUM(B235)</f>
        <v>398970</v>
      </c>
      <c r="C236" s="3">
        <f>SUM(C235)</f>
        <v>404000</v>
      </c>
      <c r="E236" s="54">
        <f>C236-B236</f>
        <v>5030</v>
      </c>
      <c r="F236" s="72">
        <v>43024</v>
      </c>
      <c r="G236" s="72">
        <v>43024</v>
      </c>
    </row>
    <row r="238" spans="1:7" x14ac:dyDescent="0.25">
      <c r="A238" t="s">
        <v>983</v>
      </c>
      <c r="B238" s="3">
        <v>378080</v>
      </c>
      <c r="D238" s="72"/>
    </row>
    <row r="239" spans="1:7" x14ac:dyDescent="0.25">
      <c r="A239" t="s">
        <v>984</v>
      </c>
      <c r="B239" s="3">
        <v>27633.599999999999</v>
      </c>
      <c r="C239" s="86">
        <v>92592</v>
      </c>
      <c r="D239" s="72">
        <v>43021</v>
      </c>
      <c r="E239" s="3" t="s">
        <v>842</v>
      </c>
    </row>
    <row r="240" spans="1:7" x14ac:dyDescent="0.25">
      <c r="A240" t="s">
        <v>985</v>
      </c>
      <c r="B240" s="3">
        <v>209163</v>
      </c>
      <c r="C240" s="3">
        <v>362000</v>
      </c>
      <c r="D240" s="72">
        <v>43028</v>
      </c>
      <c r="E240" s="3" t="s">
        <v>846</v>
      </c>
    </row>
    <row r="241" spans="1:7" x14ac:dyDescent="0.25">
      <c r="A241" t="s">
        <v>986</v>
      </c>
      <c r="B241" s="3">
        <v>397826</v>
      </c>
      <c r="C241" s="3">
        <v>500000</v>
      </c>
      <c r="D241" s="72">
        <v>43027</v>
      </c>
      <c r="E241" s="3" t="s">
        <v>846</v>
      </c>
    </row>
    <row r="242" spans="1:7" x14ac:dyDescent="0.25">
      <c r="A242" t="s">
        <v>987</v>
      </c>
      <c r="B242" s="3">
        <v>36115.199999999997</v>
      </c>
    </row>
    <row r="243" spans="1:7" x14ac:dyDescent="0.25">
      <c r="A243" t="s">
        <v>988</v>
      </c>
      <c r="B243" s="3">
        <v>205020</v>
      </c>
      <c r="C243" s="3">
        <v>323000</v>
      </c>
      <c r="D243" s="72">
        <v>43025</v>
      </c>
      <c r="E243" s="3" t="s">
        <v>846</v>
      </c>
    </row>
    <row r="244" spans="1:7" x14ac:dyDescent="0.25">
      <c r="B244" s="3">
        <f>SUM(B238:B243)</f>
        <v>1253837.8</v>
      </c>
      <c r="C244" s="3">
        <f>SUM(C238:C243)</f>
        <v>1277592</v>
      </c>
      <c r="E244" s="90">
        <f>C244-B244</f>
        <v>23754.199999999953</v>
      </c>
      <c r="F244" s="72">
        <v>43028</v>
      </c>
      <c r="G244" s="72">
        <v>43028</v>
      </c>
    </row>
    <row r="246" spans="1:7" x14ac:dyDescent="0.25">
      <c r="A246" t="s">
        <v>989</v>
      </c>
      <c r="B246" s="3">
        <v>376720</v>
      </c>
      <c r="C246" s="3">
        <v>390000</v>
      </c>
      <c r="D246" s="72">
        <v>43029</v>
      </c>
      <c r="E246" s="3" t="s">
        <v>846</v>
      </c>
    </row>
    <row r="247" spans="1:7" x14ac:dyDescent="0.25">
      <c r="B247" s="3">
        <f>SUM(B246)</f>
        <v>376720</v>
      </c>
      <c r="C247" s="3">
        <f>SUM(C246)</f>
        <v>390000</v>
      </c>
      <c r="E247" s="75">
        <f>C247-B247</f>
        <v>13280</v>
      </c>
      <c r="F247" s="72">
        <v>43031</v>
      </c>
      <c r="G247" s="72">
        <v>43032</v>
      </c>
    </row>
    <row r="249" spans="1:7" x14ac:dyDescent="0.25">
      <c r="A249" t="s">
        <v>990</v>
      </c>
      <c r="B249" s="3">
        <v>23023</v>
      </c>
      <c r="C249" s="3">
        <v>493000</v>
      </c>
      <c r="D249" s="72">
        <v>43031</v>
      </c>
      <c r="E249" s="3" t="s">
        <v>846</v>
      </c>
    </row>
    <row r="250" spans="1:7" x14ac:dyDescent="0.25">
      <c r="A250" t="s">
        <v>991</v>
      </c>
      <c r="B250" s="3">
        <v>392150</v>
      </c>
    </row>
    <row r="251" spans="1:7" x14ac:dyDescent="0.25">
      <c r="B251" s="3">
        <f>SUM(B249:B250)</f>
        <v>415173</v>
      </c>
      <c r="C251" s="3">
        <f>SUM(C249:C250)</f>
        <v>493000</v>
      </c>
      <c r="E251" s="91">
        <f>C251-B251</f>
        <v>77827</v>
      </c>
      <c r="F251" s="72">
        <v>43031</v>
      </c>
      <c r="G251" s="72">
        <v>43032</v>
      </c>
    </row>
    <row r="253" spans="1:7" x14ac:dyDescent="0.25">
      <c r="A253" t="s">
        <v>992</v>
      </c>
      <c r="B253" s="3">
        <v>403340</v>
      </c>
      <c r="C253" s="3">
        <v>250000</v>
      </c>
      <c r="D253" s="72">
        <v>43032</v>
      </c>
      <c r="E253" s="3" t="s">
        <v>846</v>
      </c>
    </row>
    <row r="254" spans="1:7" x14ac:dyDescent="0.25">
      <c r="C254" s="91">
        <v>77827</v>
      </c>
      <c r="D254" s="72">
        <v>43031</v>
      </c>
      <c r="E254" s="3" t="s">
        <v>842</v>
      </c>
    </row>
    <row r="255" spans="1:7" x14ac:dyDescent="0.25">
      <c r="C255" s="75">
        <v>13280</v>
      </c>
      <c r="D255" s="72">
        <v>43031</v>
      </c>
      <c r="E255" s="3" t="s">
        <v>842</v>
      </c>
    </row>
    <row r="256" spans="1:7" x14ac:dyDescent="0.25">
      <c r="C256" s="54">
        <v>5030</v>
      </c>
      <c r="D256" s="72">
        <v>43024</v>
      </c>
      <c r="E256" s="3" t="s">
        <v>842</v>
      </c>
    </row>
    <row r="257" spans="1:7" x14ac:dyDescent="0.25">
      <c r="C257" s="90">
        <v>23754.2</v>
      </c>
      <c r="D257" s="72">
        <v>43028</v>
      </c>
      <c r="E257" s="3" t="s">
        <v>842</v>
      </c>
    </row>
    <row r="258" spans="1:7" x14ac:dyDescent="0.25">
      <c r="C258" s="3">
        <v>4134</v>
      </c>
      <c r="D258" s="72">
        <v>43025</v>
      </c>
      <c r="E258" s="3" t="s">
        <v>993</v>
      </c>
    </row>
    <row r="259" spans="1:7" x14ac:dyDescent="0.25">
      <c r="C259" s="3">
        <v>8700</v>
      </c>
      <c r="D259" s="72">
        <v>43029</v>
      </c>
      <c r="E259" s="3" t="s">
        <v>994</v>
      </c>
    </row>
    <row r="260" spans="1:7" x14ac:dyDescent="0.25">
      <c r="C260" s="3">
        <v>20615</v>
      </c>
      <c r="D260" s="72">
        <v>43033</v>
      </c>
    </row>
    <row r="261" spans="1:7" x14ac:dyDescent="0.25">
      <c r="B261" s="3">
        <f>SUM(B253:B260)</f>
        <v>403340</v>
      </c>
      <c r="C261" s="3">
        <f>SUM(C253:C260)</f>
        <v>403340.2</v>
      </c>
      <c r="E261" s="3">
        <f>C261-B261</f>
        <v>0.20000000001164153</v>
      </c>
      <c r="F261" s="72">
        <v>43032</v>
      </c>
      <c r="G261" s="72">
        <v>43033</v>
      </c>
    </row>
    <row r="263" spans="1:7" x14ac:dyDescent="0.25">
      <c r="A263" t="s">
        <v>995</v>
      </c>
      <c r="B263" s="3">
        <v>214762</v>
      </c>
      <c r="C263" s="3">
        <v>12729</v>
      </c>
      <c r="D263" s="72">
        <v>43034</v>
      </c>
    </row>
    <row r="264" spans="1:7" x14ac:dyDescent="0.25">
      <c r="C264" s="3">
        <v>40000</v>
      </c>
      <c r="D264" s="72">
        <v>43033</v>
      </c>
    </row>
    <row r="265" spans="1:7" x14ac:dyDescent="0.25">
      <c r="C265" s="3">
        <v>12033</v>
      </c>
      <c r="D265" s="72">
        <v>43032</v>
      </c>
      <c r="E265" s="3" t="s">
        <v>996</v>
      </c>
    </row>
    <row r="266" spans="1:7" x14ac:dyDescent="0.25">
      <c r="C266" s="3">
        <v>150000</v>
      </c>
      <c r="D266" s="72">
        <v>43033</v>
      </c>
      <c r="E266" s="3" t="s">
        <v>846</v>
      </c>
    </row>
    <row r="267" spans="1:7" x14ac:dyDescent="0.25">
      <c r="B267" s="3">
        <f>SUM(B263:B266)</f>
        <v>214762</v>
      </c>
      <c r="C267" s="3">
        <f>SUM(C263:C266)</f>
        <v>214762</v>
      </c>
      <c r="E267" s="3">
        <f>C267-B267</f>
        <v>0</v>
      </c>
      <c r="F267" s="72">
        <v>43033</v>
      </c>
      <c r="G267" s="72">
        <v>43034</v>
      </c>
    </row>
    <row r="269" spans="1:7" x14ac:dyDescent="0.25">
      <c r="A269" t="s">
        <v>997</v>
      </c>
      <c r="B269" s="3">
        <v>221778</v>
      </c>
      <c r="C269" s="3">
        <v>13952</v>
      </c>
      <c r="D269" s="72">
        <v>43034</v>
      </c>
      <c r="E269" s="3" t="s">
        <v>998</v>
      </c>
    </row>
    <row r="270" spans="1:7" x14ac:dyDescent="0.25">
      <c r="A270" t="s">
        <v>999</v>
      </c>
      <c r="B270" s="3">
        <v>212454</v>
      </c>
      <c r="C270" s="3">
        <v>3489</v>
      </c>
      <c r="D270" s="72">
        <v>43033</v>
      </c>
      <c r="E270" s="3" t="s">
        <v>1000</v>
      </c>
    </row>
    <row r="271" spans="1:7" x14ac:dyDescent="0.25">
      <c r="C271" s="3">
        <v>998</v>
      </c>
      <c r="D271" s="72">
        <v>43035</v>
      </c>
      <c r="E271" s="3" t="s">
        <v>1001</v>
      </c>
    </row>
    <row r="272" spans="1:7" x14ac:dyDescent="0.25">
      <c r="C272" s="3">
        <v>499000</v>
      </c>
      <c r="D272" s="72">
        <v>43035</v>
      </c>
      <c r="E272" s="3" t="s">
        <v>846</v>
      </c>
    </row>
    <row r="273" spans="1:7" x14ac:dyDescent="0.25">
      <c r="B273" s="3">
        <f>SUM(B269:B272)</f>
        <v>434232</v>
      </c>
      <c r="C273" s="3">
        <f>SUM(C269:C272)</f>
        <v>517439</v>
      </c>
      <c r="E273" s="83">
        <f>C273-B273</f>
        <v>83207</v>
      </c>
      <c r="F273" s="72">
        <v>43035</v>
      </c>
      <c r="G273" s="72">
        <v>43035</v>
      </c>
    </row>
    <row r="275" spans="1:7" x14ac:dyDescent="0.25">
      <c r="A275" t="s">
        <v>1002</v>
      </c>
      <c r="B275" s="3">
        <v>365904</v>
      </c>
      <c r="C275" s="3">
        <v>340000</v>
      </c>
      <c r="D275" s="72">
        <v>43036</v>
      </c>
      <c r="E275" s="3" t="s">
        <v>846</v>
      </c>
    </row>
    <row r="276" spans="1:7" x14ac:dyDescent="0.25">
      <c r="C276" s="3">
        <v>25904</v>
      </c>
      <c r="D276" s="72">
        <v>43036</v>
      </c>
      <c r="E276" s="3" t="s">
        <v>849</v>
      </c>
    </row>
    <row r="277" spans="1:7" x14ac:dyDescent="0.25">
      <c r="B277" s="3">
        <f>SUM(B275:B276)</f>
        <v>365904</v>
      </c>
      <c r="C277" s="3">
        <f>SUM(C275:C276)</f>
        <v>365904</v>
      </c>
      <c r="E277" s="3">
        <f>C277-B277</f>
        <v>0</v>
      </c>
      <c r="F277" s="72">
        <v>43036</v>
      </c>
      <c r="G277" s="72">
        <v>43036</v>
      </c>
    </row>
    <row r="279" spans="1:7" x14ac:dyDescent="0.25">
      <c r="A279" t="s">
        <v>1003</v>
      </c>
      <c r="B279" s="3">
        <v>412920</v>
      </c>
      <c r="C279" s="3">
        <v>368000</v>
      </c>
      <c r="D279" s="72">
        <v>43038</v>
      </c>
      <c r="E279" s="3" t="s">
        <v>846</v>
      </c>
    </row>
    <row r="280" spans="1:7" x14ac:dyDescent="0.25">
      <c r="C280" s="3">
        <v>50000</v>
      </c>
      <c r="D280" s="72">
        <v>43036</v>
      </c>
    </row>
    <row r="281" spans="1:7" x14ac:dyDescent="0.25">
      <c r="B281" s="3">
        <f>SUM(B279:B280)</f>
        <v>412920</v>
      </c>
      <c r="C281" s="3">
        <f>SUM(C279:C280)</f>
        <v>418000</v>
      </c>
      <c r="E281" s="54">
        <f>C281-B281</f>
        <v>5080</v>
      </c>
      <c r="F281" s="72">
        <v>43039</v>
      </c>
      <c r="G281" s="72">
        <v>43039</v>
      </c>
    </row>
    <row r="283" spans="1:7" x14ac:dyDescent="0.25">
      <c r="A283" t="s">
        <v>1004</v>
      </c>
      <c r="B283" s="3">
        <v>374576</v>
      </c>
      <c r="C283" s="3">
        <v>399000</v>
      </c>
      <c r="D283" s="72">
        <v>43039</v>
      </c>
      <c r="E283" s="3" t="s">
        <v>846</v>
      </c>
    </row>
    <row r="284" spans="1:7" x14ac:dyDescent="0.25">
      <c r="B284" s="3">
        <f>SUM(B283)</f>
        <v>374576</v>
      </c>
      <c r="C284" s="3">
        <f>SUM(C283)</f>
        <v>399000</v>
      </c>
      <c r="E284" s="75">
        <f>C284-B284</f>
        <v>24424</v>
      </c>
      <c r="F284" s="72">
        <v>43039</v>
      </c>
      <c r="G284" s="72">
        <v>43040</v>
      </c>
    </row>
    <row r="286" spans="1:7" x14ac:dyDescent="0.25">
      <c r="A286" t="s">
        <v>1005</v>
      </c>
      <c r="B286" s="3">
        <v>211560</v>
      </c>
      <c r="C286" s="3">
        <v>360000</v>
      </c>
      <c r="D286" s="72">
        <v>43040</v>
      </c>
    </row>
    <row r="287" spans="1:7" x14ac:dyDescent="0.25">
      <c r="B287" s="3">
        <f>SUM(B286)</f>
        <v>211560</v>
      </c>
      <c r="C287" s="3">
        <f>SUM(C286)</f>
        <v>360000</v>
      </c>
      <c r="E287" s="79">
        <f>C287-B287</f>
        <v>148440</v>
      </c>
      <c r="F287" s="72">
        <v>43040</v>
      </c>
      <c r="G287" s="72">
        <v>43040</v>
      </c>
    </row>
    <row r="289" spans="1:7" x14ac:dyDescent="0.25">
      <c r="A289" t="s">
        <v>1006</v>
      </c>
      <c r="B289" s="3">
        <v>187002.5</v>
      </c>
      <c r="C289" s="83">
        <v>83207</v>
      </c>
      <c r="D289" s="72">
        <v>43035</v>
      </c>
      <c r="E289" s="3" t="s">
        <v>842</v>
      </c>
    </row>
    <row r="290" spans="1:7" x14ac:dyDescent="0.25">
      <c r="C290" s="54">
        <v>5080</v>
      </c>
      <c r="D290" s="72">
        <v>43039</v>
      </c>
      <c r="E290" s="3" t="s">
        <v>842</v>
      </c>
    </row>
    <row r="291" spans="1:7" x14ac:dyDescent="0.25">
      <c r="C291" s="75">
        <v>24424</v>
      </c>
      <c r="D291" s="72">
        <v>43039</v>
      </c>
      <c r="E291" s="3" t="s">
        <v>842</v>
      </c>
    </row>
    <row r="292" spans="1:7" x14ac:dyDescent="0.25">
      <c r="C292" s="3">
        <v>3156</v>
      </c>
      <c r="D292" s="72">
        <v>43037</v>
      </c>
      <c r="E292" s="3" t="s">
        <v>1007</v>
      </c>
    </row>
    <row r="293" spans="1:7" x14ac:dyDescent="0.25">
      <c r="C293" s="3">
        <v>4595</v>
      </c>
      <c r="D293" s="72">
        <v>43039</v>
      </c>
      <c r="E293" s="3" t="s">
        <v>1008</v>
      </c>
    </row>
    <row r="294" spans="1:7" x14ac:dyDescent="0.25">
      <c r="C294" s="3">
        <v>4334</v>
      </c>
      <c r="D294" s="72">
        <v>43040</v>
      </c>
      <c r="E294" s="3" t="s">
        <v>1009</v>
      </c>
    </row>
    <row r="295" spans="1:7" x14ac:dyDescent="0.25">
      <c r="C295" s="3">
        <v>11726</v>
      </c>
      <c r="D295" s="72">
        <v>43039</v>
      </c>
      <c r="E295" s="3" t="s">
        <v>1010</v>
      </c>
    </row>
    <row r="296" spans="1:7" x14ac:dyDescent="0.25">
      <c r="C296" s="3">
        <v>39100</v>
      </c>
      <c r="D296" s="72">
        <v>43042</v>
      </c>
    </row>
    <row r="297" spans="1:7" x14ac:dyDescent="0.25">
      <c r="C297" s="3">
        <v>11370</v>
      </c>
      <c r="D297" s="72">
        <v>43042</v>
      </c>
    </row>
    <row r="298" spans="1:7" x14ac:dyDescent="0.25">
      <c r="C298" s="3">
        <v>10.5</v>
      </c>
      <c r="D298" s="72">
        <v>43041</v>
      </c>
      <c r="E298" s="3" t="s">
        <v>849</v>
      </c>
    </row>
    <row r="299" spans="1:7" x14ac:dyDescent="0.25">
      <c r="B299" s="3">
        <f>SUM(B289:B298)</f>
        <v>187002.5</v>
      </c>
      <c r="C299" s="3">
        <f>SUM(C289:C298)</f>
        <v>187002.5</v>
      </c>
      <c r="E299" s="3">
        <f>C299-B299</f>
        <v>0</v>
      </c>
      <c r="F299" s="72">
        <v>43041</v>
      </c>
      <c r="G299" s="72">
        <v>43043</v>
      </c>
    </row>
    <row r="301" spans="1:7" x14ac:dyDescent="0.25">
      <c r="A301" t="s">
        <v>1011</v>
      </c>
      <c r="B301" s="3">
        <v>400654</v>
      </c>
      <c r="C301" s="3">
        <v>474000</v>
      </c>
      <c r="D301" s="72">
        <v>43042</v>
      </c>
      <c r="E301" s="3" t="s">
        <v>846</v>
      </c>
    </row>
    <row r="302" spans="1:7" x14ac:dyDescent="0.25">
      <c r="B302" s="3">
        <f>SUM(B301)</f>
        <v>400654</v>
      </c>
      <c r="C302" s="3">
        <f>SUM(C301)</f>
        <v>474000</v>
      </c>
      <c r="E302" s="86">
        <f>C302-B302</f>
        <v>73346</v>
      </c>
      <c r="F302" s="72">
        <v>43042</v>
      </c>
      <c r="G302" s="72">
        <v>43043</v>
      </c>
    </row>
    <row r="304" spans="1:7" x14ac:dyDescent="0.25">
      <c r="A304" t="s">
        <v>1012</v>
      </c>
      <c r="B304" s="3">
        <v>399267</v>
      </c>
      <c r="C304" s="3">
        <v>404000</v>
      </c>
      <c r="D304" s="72">
        <v>43043</v>
      </c>
      <c r="E304" s="3" t="s">
        <v>846</v>
      </c>
      <c r="F304" s="72">
        <v>43043</v>
      </c>
    </row>
    <row r="305" spans="1:7" x14ac:dyDescent="0.25">
      <c r="A305" t="s">
        <v>1013</v>
      </c>
      <c r="B305" s="3">
        <v>27738</v>
      </c>
      <c r="D305" s="72"/>
    </row>
    <row r="306" spans="1:7" x14ac:dyDescent="0.25">
      <c r="A306" t="s">
        <v>1014</v>
      </c>
      <c r="B306" s="3">
        <v>362992.5</v>
      </c>
      <c r="C306" s="86">
        <v>73346</v>
      </c>
      <c r="D306" s="72">
        <v>43042</v>
      </c>
      <c r="E306" s="3" t="s">
        <v>842</v>
      </c>
    </row>
    <row r="307" spans="1:7" x14ac:dyDescent="0.25">
      <c r="A307" t="s">
        <v>1015</v>
      </c>
      <c r="B307" s="3">
        <v>34465.5</v>
      </c>
      <c r="C307" s="3">
        <v>7117</v>
      </c>
      <c r="D307" s="72">
        <v>43047</v>
      </c>
    </row>
    <row r="308" spans="1:7" x14ac:dyDescent="0.25">
      <c r="C308" s="3">
        <v>37000</v>
      </c>
      <c r="D308" s="72">
        <v>42767</v>
      </c>
    </row>
    <row r="309" spans="1:7" x14ac:dyDescent="0.25">
      <c r="C309" s="3">
        <v>303000</v>
      </c>
      <c r="D309" s="72">
        <v>43045</v>
      </c>
      <c r="E309" s="3" t="s">
        <v>846</v>
      </c>
    </row>
    <row r="310" spans="1:7" x14ac:dyDescent="0.25">
      <c r="B310" s="3">
        <f>SUM(B304:B309)</f>
        <v>824463</v>
      </c>
      <c r="C310" s="3">
        <f>SUM(C304:C309)</f>
        <v>824463</v>
      </c>
      <c r="E310" s="3">
        <f>C310-B310</f>
        <v>0</v>
      </c>
      <c r="F310" s="72">
        <v>43045</v>
      </c>
      <c r="G310" s="72">
        <v>43047</v>
      </c>
    </row>
    <row r="312" spans="1:7" x14ac:dyDescent="0.25">
      <c r="A312" t="s">
        <v>1016</v>
      </c>
      <c r="B312" s="3">
        <v>342818</v>
      </c>
      <c r="C312" s="3">
        <v>543000</v>
      </c>
      <c r="D312" s="72">
        <v>43046</v>
      </c>
      <c r="E312" s="3" t="s">
        <v>846</v>
      </c>
    </row>
    <row r="313" spans="1:7" x14ac:dyDescent="0.25">
      <c r="A313" t="s">
        <v>1017</v>
      </c>
      <c r="B313" s="3">
        <v>227919</v>
      </c>
      <c r="C313" s="3">
        <v>27737</v>
      </c>
      <c r="D313" s="72">
        <v>43047</v>
      </c>
    </row>
    <row r="314" spans="1:7" x14ac:dyDescent="0.25">
      <c r="B314" s="3">
        <f>SUM(B312:B313)</f>
        <v>570737</v>
      </c>
      <c r="C314" s="3">
        <f>SUM(C312:C313)</f>
        <v>570737</v>
      </c>
      <c r="E314" s="3">
        <f>C314-B314</f>
        <v>0</v>
      </c>
      <c r="F314" s="72">
        <v>43046</v>
      </c>
      <c r="G314" s="72">
        <v>43047</v>
      </c>
    </row>
    <row r="316" spans="1:7" x14ac:dyDescent="0.25">
      <c r="A316" t="s">
        <v>1018</v>
      </c>
      <c r="B316" s="3">
        <v>222006</v>
      </c>
      <c r="C316" s="3">
        <v>200000</v>
      </c>
      <c r="D316" s="72">
        <v>43047</v>
      </c>
      <c r="E316" s="3" t="s">
        <v>846</v>
      </c>
    </row>
    <row r="317" spans="1:7" x14ac:dyDescent="0.25">
      <c r="C317" s="3">
        <v>21348.6</v>
      </c>
      <c r="D317" s="72">
        <v>43046</v>
      </c>
      <c r="E317" s="3" t="s">
        <v>1019</v>
      </c>
    </row>
    <row r="318" spans="1:7" x14ac:dyDescent="0.25">
      <c r="C318" s="3">
        <v>657</v>
      </c>
      <c r="D318" s="72">
        <v>43047</v>
      </c>
      <c r="E318" s="3" t="s">
        <v>849</v>
      </c>
    </row>
    <row r="319" spans="1:7" x14ac:dyDescent="0.25">
      <c r="B319" s="3">
        <f>SUM(B316:B318)</f>
        <v>222006</v>
      </c>
      <c r="C319" s="3">
        <f>SUM(C316:C318)</f>
        <v>222005.6</v>
      </c>
      <c r="E319" s="3">
        <f>C319-B319</f>
        <v>-0.39999999999417923</v>
      </c>
      <c r="F319" s="72">
        <v>43047</v>
      </c>
      <c r="G319" s="72">
        <v>43047</v>
      </c>
    </row>
    <row r="321" spans="1:9" x14ac:dyDescent="0.25">
      <c r="A321" t="s">
        <v>1020</v>
      </c>
      <c r="B321" s="3">
        <v>209944</v>
      </c>
      <c r="C321" s="3">
        <v>190000</v>
      </c>
      <c r="D321" s="72">
        <v>43048</v>
      </c>
      <c r="E321" s="3" t="s">
        <v>846</v>
      </c>
    </row>
    <row r="322" spans="1:9" x14ac:dyDescent="0.25">
      <c r="C322" s="3">
        <v>19944</v>
      </c>
      <c r="D322" s="72">
        <v>43049</v>
      </c>
    </row>
    <row r="323" spans="1:9" x14ac:dyDescent="0.25">
      <c r="B323" s="3">
        <f>SUM(B321:B322)</f>
        <v>209944</v>
      </c>
      <c r="C323" s="3">
        <f>SUM(C321:C322)</f>
        <v>209944</v>
      </c>
      <c r="E323" s="3">
        <f>C323-B323</f>
        <v>0</v>
      </c>
      <c r="F323" s="72">
        <v>43048</v>
      </c>
      <c r="G323" s="72">
        <v>43049</v>
      </c>
    </row>
    <row r="325" spans="1:9" x14ac:dyDescent="0.25">
      <c r="A325" t="s">
        <v>1021</v>
      </c>
      <c r="B325" s="3">
        <v>2737</v>
      </c>
      <c r="C325" s="3">
        <v>340000</v>
      </c>
      <c r="D325" s="72">
        <v>43049</v>
      </c>
      <c r="E325" s="3" t="s">
        <v>846</v>
      </c>
    </row>
    <row r="326" spans="1:9" x14ac:dyDescent="0.25">
      <c r="A326" t="s">
        <v>1022</v>
      </c>
      <c r="B326" s="3">
        <v>373833</v>
      </c>
      <c r="C326" s="3">
        <v>36570</v>
      </c>
      <c r="D326" s="72">
        <v>43049</v>
      </c>
      <c r="E326" s="3" t="s">
        <v>849</v>
      </c>
    </row>
    <row r="327" spans="1:9" x14ac:dyDescent="0.25">
      <c r="B327" s="3">
        <f>SUM(B325:B326)</f>
        <v>376570</v>
      </c>
      <c r="C327" s="3">
        <f>SUM(C325:C326)</f>
        <v>376570</v>
      </c>
      <c r="E327" s="3">
        <f>C327-B327</f>
        <v>0</v>
      </c>
      <c r="F327" s="72">
        <v>43049</v>
      </c>
      <c r="G327" s="72">
        <v>43049</v>
      </c>
    </row>
    <row r="329" spans="1:9" x14ac:dyDescent="0.25">
      <c r="A329" t="s">
        <v>1023</v>
      </c>
      <c r="B329" s="3">
        <v>29159.3</v>
      </c>
      <c r="C329" s="3">
        <v>673000</v>
      </c>
      <c r="D329" s="72">
        <v>43052</v>
      </c>
      <c r="E329" s="3" t="s">
        <v>846</v>
      </c>
    </row>
    <row r="330" spans="1:9" x14ac:dyDescent="0.25">
      <c r="A330" t="s">
        <v>1024</v>
      </c>
      <c r="B330" s="3">
        <v>584435</v>
      </c>
    </row>
    <row r="331" spans="1:9" x14ac:dyDescent="0.25">
      <c r="B331" s="3">
        <f>SUM(B329:B330)</f>
        <v>613594.30000000005</v>
      </c>
      <c r="C331" s="3">
        <f>SUM(C329:C330)</f>
        <v>673000</v>
      </c>
      <c r="E331" s="75">
        <f>C331-B331</f>
        <v>59405.699999999953</v>
      </c>
      <c r="F331" s="72">
        <v>43052</v>
      </c>
      <c r="G331" s="72">
        <v>43054</v>
      </c>
      <c r="I331" t="s">
        <v>1025</v>
      </c>
    </row>
    <row r="333" spans="1:9" x14ac:dyDescent="0.25">
      <c r="A333" t="s">
        <v>1026</v>
      </c>
      <c r="B333" s="3">
        <v>229504</v>
      </c>
      <c r="C333" s="3">
        <v>440000</v>
      </c>
      <c r="D333" s="72">
        <v>43054</v>
      </c>
      <c r="E333" s="3" t="s">
        <v>846</v>
      </c>
    </row>
    <row r="334" spans="1:9" x14ac:dyDescent="0.25">
      <c r="A334" t="s">
        <v>1027</v>
      </c>
      <c r="B334" s="3">
        <v>27418.95</v>
      </c>
      <c r="C334" s="3">
        <v>161820</v>
      </c>
      <c r="D334" s="72">
        <v>43054</v>
      </c>
    </row>
    <row r="335" spans="1:9" x14ac:dyDescent="0.25">
      <c r="A335" t="s">
        <v>1028</v>
      </c>
      <c r="B335" s="3">
        <v>359904</v>
      </c>
      <c r="C335" s="3">
        <v>15007</v>
      </c>
      <c r="D335" s="72">
        <v>43054</v>
      </c>
      <c r="E335" s="3" t="s">
        <v>849</v>
      </c>
    </row>
    <row r="336" spans="1:9" x14ac:dyDescent="0.25">
      <c r="B336" s="3">
        <f>SUM(B333:B335)</f>
        <v>616826.94999999995</v>
      </c>
      <c r="C336" s="3">
        <f>SUM(C333:C335)</f>
        <v>616827</v>
      </c>
      <c r="E336" s="3">
        <f>C336-B336</f>
        <v>5.0000000046566129E-2</v>
      </c>
      <c r="F336" s="72">
        <v>43054</v>
      </c>
      <c r="G336" s="72">
        <v>43054</v>
      </c>
    </row>
    <row r="337" spans="1:7" x14ac:dyDescent="0.25">
      <c r="G337" t="s">
        <v>891</v>
      </c>
    </row>
    <row r="338" spans="1:7" x14ac:dyDescent="0.25">
      <c r="A338" t="s">
        <v>1029</v>
      </c>
      <c r="B338" s="3">
        <v>67462.3</v>
      </c>
      <c r="C338" s="3">
        <v>311000</v>
      </c>
      <c r="D338" s="72">
        <v>43056</v>
      </c>
      <c r="E338" s="3" t="s">
        <v>846</v>
      </c>
    </row>
    <row r="339" spans="1:7" x14ac:dyDescent="0.25">
      <c r="A339" t="s">
        <v>1030</v>
      </c>
      <c r="B339" s="3">
        <v>221430</v>
      </c>
    </row>
    <row r="340" spans="1:7" x14ac:dyDescent="0.25">
      <c r="B340" s="3">
        <f>SUM(B338:B339)</f>
        <v>288892.3</v>
      </c>
      <c r="C340" s="3">
        <f>SUM(C338:C339)</f>
        <v>311000</v>
      </c>
      <c r="E340" s="90">
        <f>C340-B340</f>
        <v>22107.700000000012</v>
      </c>
      <c r="F340" s="72">
        <v>43057</v>
      </c>
      <c r="G340" s="72">
        <v>43060</v>
      </c>
    </row>
    <row r="342" spans="1:7" x14ac:dyDescent="0.25">
      <c r="A342" t="s">
        <v>1031</v>
      </c>
      <c r="B342" s="3">
        <v>360720</v>
      </c>
      <c r="C342" s="3">
        <v>631000</v>
      </c>
      <c r="D342" s="72">
        <v>43060</v>
      </c>
      <c r="E342" s="3" t="s">
        <v>846</v>
      </c>
    </row>
    <row r="343" spans="1:7" x14ac:dyDescent="0.25">
      <c r="A343" t="s">
        <v>1032</v>
      </c>
      <c r="B343" s="3">
        <v>786236</v>
      </c>
      <c r="C343" s="3">
        <v>500000</v>
      </c>
      <c r="D343" s="72">
        <v>43060</v>
      </c>
      <c r="E343" s="3" t="s">
        <v>846</v>
      </c>
    </row>
    <row r="344" spans="1:7" x14ac:dyDescent="0.25">
      <c r="C344" s="3">
        <v>15956</v>
      </c>
      <c r="D344" s="72">
        <v>43061</v>
      </c>
    </row>
    <row r="345" spans="1:7" x14ac:dyDescent="0.25">
      <c r="B345" s="3">
        <f>SUM(B342:B344)</f>
        <v>1146956</v>
      </c>
      <c r="C345" s="3">
        <f>SUM(C342:C344)</f>
        <v>1146956</v>
      </c>
      <c r="E345" s="3">
        <f>C345-B345</f>
        <v>0</v>
      </c>
      <c r="F345" s="72">
        <v>43061</v>
      </c>
      <c r="G345" s="72">
        <v>43061</v>
      </c>
    </row>
    <row r="347" spans="1:7" x14ac:dyDescent="0.25">
      <c r="A347" t="s">
        <v>1033</v>
      </c>
      <c r="B347" s="3">
        <v>236175</v>
      </c>
      <c r="C347" s="3">
        <v>214000</v>
      </c>
      <c r="D347" s="72">
        <v>43062</v>
      </c>
      <c r="E347" s="3" t="s">
        <v>846</v>
      </c>
    </row>
    <row r="348" spans="1:7" x14ac:dyDescent="0.25">
      <c r="C348" s="3">
        <v>15011</v>
      </c>
      <c r="D348" s="72">
        <v>43059</v>
      </c>
      <c r="E348" s="3" t="s">
        <v>1034</v>
      </c>
    </row>
    <row r="349" spans="1:7" x14ac:dyDescent="0.25">
      <c r="C349" s="3">
        <v>1102</v>
      </c>
      <c r="D349" s="72">
        <v>43062</v>
      </c>
      <c r="E349" s="3" t="s">
        <v>1035</v>
      </c>
    </row>
    <row r="350" spans="1:7" x14ac:dyDescent="0.25">
      <c r="C350" s="3">
        <v>4174</v>
      </c>
      <c r="D350" s="72">
        <v>43056</v>
      </c>
      <c r="E350" s="3" t="s">
        <v>1036</v>
      </c>
    </row>
    <row r="351" spans="1:7" x14ac:dyDescent="0.25">
      <c r="C351" s="3">
        <v>1888</v>
      </c>
      <c r="D351" s="72">
        <v>43062</v>
      </c>
      <c r="E351" s="3" t="s">
        <v>849</v>
      </c>
    </row>
    <row r="352" spans="1:7" x14ac:dyDescent="0.25">
      <c r="B352" s="3">
        <f>SUM(B347:B351)</f>
        <v>236175</v>
      </c>
      <c r="C352" s="3">
        <f>SUM(C347:C351)</f>
        <v>236175</v>
      </c>
      <c r="E352" s="3">
        <f>C352-B352</f>
        <v>0</v>
      </c>
      <c r="F352" s="72">
        <v>43062</v>
      </c>
      <c r="G352" s="72">
        <v>43063</v>
      </c>
    </row>
    <row r="354" spans="1:8" x14ac:dyDescent="0.25">
      <c r="A354" t="s">
        <v>1037</v>
      </c>
      <c r="B354" s="3">
        <v>248496</v>
      </c>
      <c r="C354" s="3">
        <v>147000</v>
      </c>
      <c r="D354" s="72">
        <v>43063</v>
      </c>
      <c r="E354" s="3" t="s">
        <v>846</v>
      </c>
      <c r="F354" t="s">
        <v>1038</v>
      </c>
    </row>
    <row r="355" spans="1:8" x14ac:dyDescent="0.25">
      <c r="C355" s="3">
        <v>4350</v>
      </c>
      <c r="D355" s="72">
        <v>43061</v>
      </c>
      <c r="E355" s="3" t="s">
        <v>1039</v>
      </c>
    </row>
    <row r="356" spans="1:8" x14ac:dyDescent="0.25">
      <c r="C356" s="3">
        <v>7602</v>
      </c>
      <c r="D356" s="72">
        <v>43046</v>
      </c>
      <c r="E356" s="3" t="s">
        <v>1040</v>
      </c>
    </row>
    <row r="357" spans="1:8" x14ac:dyDescent="0.25">
      <c r="C357" s="3">
        <v>35018</v>
      </c>
      <c r="D357" s="72">
        <v>43057</v>
      </c>
      <c r="E357" s="3" t="s">
        <v>1041</v>
      </c>
    </row>
    <row r="358" spans="1:8" x14ac:dyDescent="0.25">
      <c r="C358" s="3">
        <v>9142</v>
      </c>
      <c r="D358" s="72">
        <v>43049</v>
      </c>
      <c r="E358" s="3" t="s">
        <v>1042</v>
      </c>
    </row>
    <row r="359" spans="1:8" x14ac:dyDescent="0.25">
      <c r="C359" s="3">
        <v>18725</v>
      </c>
      <c r="D359" s="72">
        <v>43048</v>
      </c>
      <c r="E359" s="3" t="s">
        <v>1043</v>
      </c>
    </row>
    <row r="360" spans="1:8" x14ac:dyDescent="0.25">
      <c r="C360" s="3">
        <v>19851</v>
      </c>
      <c r="D360" s="72">
        <v>43047</v>
      </c>
      <c r="E360" s="3" t="s">
        <v>1044</v>
      </c>
    </row>
    <row r="361" spans="1:8" x14ac:dyDescent="0.25">
      <c r="C361" s="3">
        <v>59832</v>
      </c>
      <c r="D361" s="72">
        <v>43054</v>
      </c>
      <c r="E361" s="3" t="s">
        <v>1045</v>
      </c>
    </row>
    <row r="362" spans="1:8" x14ac:dyDescent="0.25">
      <c r="B362" s="3">
        <f>SUM(B354:B361)</f>
        <v>248496</v>
      </c>
      <c r="C362" s="3">
        <f>SUM(C354:C361)</f>
        <v>301520</v>
      </c>
      <c r="E362" s="50">
        <f>C362-B362</f>
        <v>53024</v>
      </c>
      <c r="F362" s="72">
        <v>43063</v>
      </c>
      <c r="G362" s="72">
        <v>43064</v>
      </c>
      <c r="H362" t="s">
        <v>1046</v>
      </c>
    </row>
    <row r="364" spans="1:8" x14ac:dyDescent="0.25">
      <c r="A364" t="s">
        <v>1047</v>
      </c>
      <c r="B364" s="3">
        <v>254508</v>
      </c>
      <c r="C364" s="3">
        <v>300000</v>
      </c>
      <c r="D364" s="72">
        <v>43064</v>
      </c>
      <c r="E364" s="3" t="s">
        <v>846</v>
      </c>
    </row>
    <row r="365" spans="1:8" x14ac:dyDescent="0.25">
      <c r="C365" s="3">
        <v>1000</v>
      </c>
      <c r="D365" s="72">
        <v>43063</v>
      </c>
      <c r="E365" s="3" t="s">
        <v>1048</v>
      </c>
    </row>
    <row r="366" spans="1:8" x14ac:dyDescent="0.25">
      <c r="B366" s="3">
        <f>SUM(B364:B365)</f>
        <v>254508</v>
      </c>
      <c r="C366" s="3">
        <f>SUM(C364:C365)</f>
        <v>301000</v>
      </c>
      <c r="E366" s="54">
        <f>C366-B366</f>
        <v>46492</v>
      </c>
      <c r="F366" s="72">
        <v>43064</v>
      </c>
      <c r="G366" s="72">
        <v>43064</v>
      </c>
      <c r="H366" t="s">
        <v>1049</v>
      </c>
    </row>
    <row r="368" spans="1:8" x14ac:dyDescent="0.25">
      <c r="A368" t="s">
        <v>1050</v>
      </c>
      <c r="B368" s="3">
        <v>428670</v>
      </c>
      <c r="C368" s="3">
        <v>150000</v>
      </c>
      <c r="D368" s="72">
        <v>43066</v>
      </c>
      <c r="E368" s="3" t="s">
        <v>846</v>
      </c>
    </row>
    <row r="369" spans="1:7" x14ac:dyDescent="0.25">
      <c r="A369" t="s">
        <v>1051</v>
      </c>
      <c r="B369" s="3">
        <v>362920</v>
      </c>
      <c r="C369" s="54">
        <v>46492</v>
      </c>
      <c r="D369" s="72">
        <v>43064</v>
      </c>
      <c r="E369" s="3" t="s">
        <v>842</v>
      </c>
    </row>
    <row r="370" spans="1:7" x14ac:dyDescent="0.25">
      <c r="C370" s="79">
        <v>148440</v>
      </c>
      <c r="D370" s="72">
        <v>43040</v>
      </c>
      <c r="E370" s="3" t="s">
        <v>842</v>
      </c>
    </row>
    <row r="371" spans="1:7" x14ac:dyDescent="0.25">
      <c r="C371" s="75">
        <v>59105.7</v>
      </c>
      <c r="D371" s="72">
        <v>43052</v>
      </c>
      <c r="E371" s="3" t="s">
        <v>842</v>
      </c>
    </row>
    <row r="372" spans="1:7" x14ac:dyDescent="0.25">
      <c r="C372" s="90">
        <v>22107.7</v>
      </c>
      <c r="D372" s="72">
        <v>43056</v>
      </c>
      <c r="E372" s="3" t="s">
        <v>842</v>
      </c>
    </row>
    <row r="373" spans="1:7" x14ac:dyDescent="0.25">
      <c r="C373" s="3">
        <v>37047.199999999997</v>
      </c>
      <c r="D373" s="72">
        <v>43055</v>
      </c>
      <c r="E373" s="3" t="s">
        <v>842</v>
      </c>
    </row>
    <row r="374" spans="1:7" x14ac:dyDescent="0.25">
      <c r="C374" s="50">
        <v>53024</v>
      </c>
      <c r="D374" s="72">
        <v>43063</v>
      </c>
      <c r="E374" s="3" t="s">
        <v>842</v>
      </c>
    </row>
    <row r="375" spans="1:7" x14ac:dyDescent="0.25">
      <c r="C375" s="3">
        <v>46170</v>
      </c>
      <c r="D375" s="72">
        <v>43056</v>
      </c>
    </row>
    <row r="376" spans="1:7" x14ac:dyDescent="0.25">
      <c r="C376" s="3">
        <v>100</v>
      </c>
      <c r="D376" s="72">
        <v>43056</v>
      </c>
      <c r="E376" s="3" t="s">
        <v>849</v>
      </c>
    </row>
    <row r="377" spans="1:7" x14ac:dyDescent="0.25">
      <c r="C377" s="3">
        <v>30300</v>
      </c>
      <c r="D377" s="72">
        <v>43055</v>
      </c>
    </row>
    <row r="378" spans="1:7" x14ac:dyDescent="0.25">
      <c r="C378" s="3">
        <v>39900</v>
      </c>
      <c r="D378" s="72">
        <v>43060</v>
      </c>
    </row>
    <row r="379" spans="1:7" x14ac:dyDescent="0.25">
      <c r="C379" s="3">
        <v>97950</v>
      </c>
      <c r="D379" s="72">
        <v>43061</v>
      </c>
    </row>
    <row r="380" spans="1:7" x14ac:dyDescent="0.25">
      <c r="C380" s="3">
        <v>81106</v>
      </c>
      <c r="D380" s="72">
        <v>43053</v>
      </c>
    </row>
    <row r="381" spans="1:7" x14ac:dyDescent="0.25">
      <c r="B381" s="3">
        <f>SUM(B368:B380)</f>
        <v>791590</v>
      </c>
      <c r="C381" s="3">
        <f>SUM(C368:C380)</f>
        <v>811742.60000000009</v>
      </c>
      <c r="E381" s="92">
        <f>C381-B381</f>
        <v>20152.600000000093</v>
      </c>
      <c r="F381" s="72">
        <v>43066</v>
      </c>
      <c r="G381" s="72">
        <v>43066</v>
      </c>
    </row>
    <row r="383" spans="1:7" x14ac:dyDescent="0.25">
      <c r="A383" t="s">
        <v>1052</v>
      </c>
      <c r="B383" s="3">
        <v>2056.6</v>
      </c>
      <c r="C383" s="3">
        <v>550000</v>
      </c>
      <c r="D383" s="72">
        <v>43068</v>
      </c>
    </row>
    <row r="384" spans="1:7" x14ac:dyDescent="0.25">
      <c r="A384" t="s">
        <v>1053</v>
      </c>
      <c r="B384" s="3">
        <v>404700</v>
      </c>
    </row>
    <row r="385" spans="1:15" x14ac:dyDescent="0.25">
      <c r="B385" s="3">
        <f>SUM(B383:B384)</f>
        <v>406756.6</v>
      </c>
      <c r="C385" s="3">
        <f>SUM(C383:C384)</f>
        <v>550000</v>
      </c>
      <c r="E385" s="93">
        <f>C385-B385</f>
        <v>143243.40000000002</v>
      </c>
      <c r="F385" s="72">
        <v>43068</v>
      </c>
      <c r="G385" s="72">
        <v>43069</v>
      </c>
      <c r="H385" s="48" t="s">
        <v>1054</v>
      </c>
      <c r="I385" s="48"/>
      <c r="J385" s="48"/>
      <c r="K385" s="48"/>
      <c r="L385" s="48" t="s">
        <v>1055</v>
      </c>
      <c r="M385" s="48"/>
      <c r="N385" s="48"/>
      <c r="O385" s="48"/>
    </row>
    <row r="387" spans="1:15" x14ac:dyDescent="0.25">
      <c r="A387" t="s">
        <v>1056</v>
      </c>
      <c r="B387" s="3">
        <v>287936</v>
      </c>
      <c r="C387" s="3">
        <v>13903</v>
      </c>
      <c r="D387" s="72">
        <v>43069</v>
      </c>
      <c r="E387" s="3" t="s">
        <v>1057</v>
      </c>
    </row>
    <row r="388" spans="1:15" x14ac:dyDescent="0.25">
      <c r="A388" t="s">
        <v>1058</v>
      </c>
      <c r="B388" s="3">
        <v>250600</v>
      </c>
      <c r="C388" s="3">
        <v>13151</v>
      </c>
      <c r="D388" s="72">
        <v>43067</v>
      </c>
      <c r="E388" s="3" t="s">
        <v>1059</v>
      </c>
    </row>
    <row r="389" spans="1:15" x14ac:dyDescent="0.25">
      <c r="A389" t="s">
        <v>1060</v>
      </c>
      <c r="B389" s="3">
        <v>18312.599999999999</v>
      </c>
      <c r="C389" s="3">
        <v>52460</v>
      </c>
      <c r="D389" s="72">
        <v>43066</v>
      </c>
      <c r="E389" s="3" t="s">
        <v>1061</v>
      </c>
    </row>
    <row r="390" spans="1:15" x14ac:dyDescent="0.25">
      <c r="A390" t="s">
        <v>1062</v>
      </c>
      <c r="B390" s="3">
        <v>10224.200000000001</v>
      </c>
      <c r="C390" s="92">
        <v>20152.599999999999</v>
      </c>
      <c r="D390" s="72">
        <v>43066</v>
      </c>
      <c r="E390" s="3" t="s">
        <v>842</v>
      </c>
    </row>
    <row r="391" spans="1:15" x14ac:dyDescent="0.25">
      <c r="C391" s="93">
        <v>143143.4</v>
      </c>
      <c r="D391" s="72">
        <v>43068</v>
      </c>
      <c r="E391" s="3" t="s">
        <v>842</v>
      </c>
    </row>
    <row r="392" spans="1:15" x14ac:dyDescent="0.25">
      <c r="C392" s="79">
        <v>400</v>
      </c>
      <c r="D392" s="72">
        <v>43070</v>
      </c>
      <c r="E392" s="3" t="s">
        <v>842</v>
      </c>
    </row>
    <row r="393" spans="1:15" x14ac:dyDescent="0.25">
      <c r="C393" s="3">
        <v>27862</v>
      </c>
      <c r="D393" s="72">
        <v>43070</v>
      </c>
      <c r="E393" s="3" t="s">
        <v>849</v>
      </c>
    </row>
    <row r="394" spans="1:15" x14ac:dyDescent="0.25">
      <c r="C394" s="3">
        <v>296000</v>
      </c>
      <c r="D394" s="72">
        <v>43069</v>
      </c>
      <c r="E394" s="3" t="s">
        <v>846</v>
      </c>
    </row>
    <row r="395" spans="1:15" x14ac:dyDescent="0.25">
      <c r="B395" s="3">
        <f>SUM(B387:B393)</f>
        <v>567072.79999999993</v>
      </c>
      <c r="C395" s="3">
        <f>SUM(C387:C394)</f>
        <v>567072</v>
      </c>
      <c r="E395" s="3">
        <f>C395-B395</f>
        <v>-0.79999999993015081</v>
      </c>
      <c r="F395" s="72">
        <v>43070</v>
      </c>
      <c r="G395" s="72">
        <v>43071</v>
      </c>
    </row>
    <row r="397" spans="1:15" x14ac:dyDescent="0.25">
      <c r="A397" t="s">
        <v>1063</v>
      </c>
      <c r="B397" s="3">
        <v>695100</v>
      </c>
      <c r="C397" s="3">
        <v>650000</v>
      </c>
      <c r="D397" s="72">
        <v>43071</v>
      </c>
      <c r="E397" s="3" t="s">
        <v>846</v>
      </c>
    </row>
    <row r="398" spans="1:15" x14ac:dyDescent="0.25">
      <c r="C398" s="3">
        <v>64650</v>
      </c>
      <c r="D398" s="72">
        <v>43073</v>
      </c>
    </row>
    <row r="399" spans="1:15" x14ac:dyDescent="0.25">
      <c r="B399" s="3">
        <f>SUM(B397:B398)</f>
        <v>695100</v>
      </c>
      <c r="C399" s="3">
        <f>SUM(C397:C398)</f>
        <v>714650</v>
      </c>
      <c r="E399" s="94">
        <f>C399-B399</f>
        <v>19550</v>
      </c>
      <c r="F399" s="72">
        <v>43071</v>
      </c>
      <c r="G399" s="72">
        <v>43075</v>
      </c>
    </row>
    <row r="401" spans="1:7" x14ac:dyDescent="0.25">
      <c r="A401" t="s">
        <v>1064</v>
      </c>
      <c r="B401" s="3">
        <v>25480</v>
      </c>
      <c r="C401" s="3">
        <v>80000</v>
      </c>
      <c r="D401" s="72">
        <v>43074</v>
      </c>
    </row>
    <row r="402" spans="1:7" x14ac:dyDescent="0.25">
      <c r="A402" t="s">
        <v>1065</v>
      </c>
      <c r="B402" s="3">
        <v>433313</v>
      </c>
      <c r="C402" s="3">
        <v>33062</v>
      </c>
      <c r="D402" s="72">
        <v>43072</v>
      </c>
      <c r="E402" s="3" t="s">
        <v>1066</v>
      </c>
    </row>
    <row r="403" spans="1:7" x14ac:dyDescent="0.25">
      <c r="C403" s="3">
        <v>353000</v>
      </c>
      <c r="D403" s="72">
        <v>43074</v>
      </c>
      <c r="E403" s="3" t="s">
        <v>846</v>
      </c>
    </row>
    <row r="404" spans="1:7" x14ac:dyDescent="0.25">
      <c r="B404" s="3">
        <f>SUM(B401:B403)</f>
        <v>458793</v>
      </c>
      <c r="C404" s="3">
        <f>SUM(C401:C403)</f>
        <v>466062</v>
      </c>
      <c r="E404" s="79">
        <f>C404-B404</f>
        <v>7269</v>
      </c>
      <c r="F404" s="72">
        <v>43074</v>
      </c>
      <c r="G404" s="72">
        <v>43075</v>
      </c>
    </row>
    <row r="406" spans="1:7" x14ac:dyDescent="0.25">
      <c r="A406" t="s">
        <v>1067</v>
      </c>
      <c r="B406" s="3">
        <v>439367.5</v>
      </c>
      <c r="C406" s="3">
        <v>9911</v>
      </c>
      <c r="D406" s="72">
        <v>43073</v>
      </c>
      <c r="E406" s="3" t="s">
        <v>1068</v>
      </c>
    </row>
    <row r="407" spans="1:7" x14ac:dyDescent="0.25">
      <c r="C407" s="3">
        <v>3078</v>
      </c>
      <c r="D407" s="72">
        <v>43071</v>
      </c>
      <c r="E407" s="3" t="s">
        <v>1069</v>
      </c>
    </row>
    <row r="408" spans="1:7" x14ac:dyDescent="0.25">
      <c r="C408" s="3">
        <v>6179</v>
      </c>
      <c r="D408" s="72">
        <v>43071</v>
      </c>
      <c r="E408" s="3" t="s">
        <v>1070</v>
      </c>
    </row>
    <row r="409" spans="1:7" x14ac:dyDescent="0.25">
      <c r="C409" s="3">
        <v>3812</v>
      </c>
      <c r="D409" s="72">
        <v>43070</v>
      </c>
      <c r="E409" s="3" t="s">
        <v>1071</v>
      </c>
    </row>
    <row r="410" spans="1:7" x14ac:dyDescent="0.25">
      <c r="C410" s="3">
        <v>6600</v>
      </c>
      <c r="D410" s="72">
        <v>43071</v>
      </c>
      <c r="E410" s="3" t="s">
        <v>1072</v>
      </c>
    </row>
    <row r="411" spans="1:7" x14ac:dyDescent="0.25">
      <c r="C411" s="3">
        <v>409000</v>
      </c>
      <c r="D411" s="72">
        <v>43073</v>
      </c>
      <c r="E411" s="3" t="s">
        <v>846</v>
      </c>
    </row>
    <row r="412" spans="1:7" x14ac:dyDescent="0.25">
      <c r="C412" s="3">
        <v>788</v>
      </c>
      <c r="D412" s="72">
        <v>43073</v>
      </c>
      <c r="E412" s="3" t="s">
        <v>849</v>
      </c>
    </row>
    <row r="413" spans="1:7" x14ac:dyDescent="0.25">
      <c r="B413" s="3">
        <f>SUM(B406:B411)</f>
        <v>439367.5</v>
      </c>
      <c r="C413" s="3">
        <f>SUM(C406:C412)</f>
        <v>439368</v>
      </c>
      <c r="E413" s="3">
        <f>C413-B413</f>
        <v>0.5</v>
      </c>
      <c r="F413" s="72">
        <v>43073</v>
      </c>
      <c r="G413" s="72">
        <v>43075</v>
      </c>
    </row>
    <row r="415" spans="1:7" x14ac:dyDescent="0.25">
      <c r="A415" t="s">
        <v>1073</v>
      </c>
      <c r="B415" s="3">
        <v>423696</v>
      </c>
      <c r="C415" s="3">
        <v>471000</v>
      </c>
      <c r="D415" s="72">
        <v>43076</v>
      </c>
      <c r="E415" s="3" t="s">
        <v>846</v>
      </c>
    </row>
    <row r="416" spans="1:7" x14ac:dyDescent="0.25">
      <c r="B416" s="3">
        <f>SUM(B415)</f>
        <v>423696</v>
      </c>
      <c r="C416" s="3">
        <f>SUM(C415)</f>
        <v>471000</v>
      </c>
      <c r="E416" s="90">
        <f>C416-B416</f>
        <v>47304</v>
      </c>
      <c r="F416" s="72">
        <v>43076</v>
      </c>
      <c r="G416" s="72">
        <v>43077</v>
      </c>
    </row>
    <row r="418" spans="1:7" x14ac:dyDescent="0.25">
      <c r="A418" t="s">
        <v>1074</v>
      </c>
      <c r="B418" s="3">
        <v>22038.6</v>
      </c>
      <c r="C418" s="3">
        <v>300000</v>
      </c>
      <c r="D418" s="72">
        <v>43077</v>
      </c>
      <c r="E418" s="3" t="s">
        <v>846</v>
      </c>
    </row>
    <row r="419" spans="1:7" x14ac:dyDescent="0.25">
      <c r="A419" t="s">
        <v>1075</v>
      </c>
      <c r="B419" s="3">
        <v>424424</v>
      </c>
      <c r="C419" s="90">
        <v>47304</v>
      </c>
      <c r="D419" s="72">
        <v>43076</v>
      </c>
      <c r="E419" s="3" t="s">
        <v>842</v>
      </c>
    </row>
    <row r="420" spans="1:7" x14ac:dyDescent="0.25">
      <c r="C420" s="79">
        <v>7269</v>
      </c>
      <c r="D420" s="72">
        <v>43074</v>
      </c>
      <c r="E420" s="3" t="s">
        <v>842</v>
      </c>
    </row>
    <row r="421" spans="1:7" x14ac:dyDescent="0.25">
      <c r="C421" s="94">
        <v>19550</v>
      </c>
      <c r="D421" s="72">
        <v>43071</v>
      </c>
      <c r="E421" s="3" t="s">
        <v>842</v>
      </c>
    </row>
    <row r="422" spans="1:7" x14ac:dyDescent="0.25">
      <c r="C422" s="3">
        <v>8299</v>
      </c>
      <c r="D422" s="72">
        <v>43074</v>
      </c>
      <c r="E422" s="3" t="s">
        <v>1076</v>
      </c>
    </row>
    <row r="423" spans="1:7" x14ac:dyDescent="0.25">
      <c r="C423" s="3">
        <v>4505</v>
      </c>
      <c r="D423" s="72">
        <v>43075</v>
      </c>
      <c r="E423" s="3" t="s">
        <v>1077</v>
      </c>
    </row>
    <row r="424" spans="1:7" x14ac:dyDescent="0.25">
      <c r="C424" s="3">
        <v>2105</v>
      </c>
      <c r="D424" s="72">
        <v>43074</v>
      </c>
      <c r="E424" s="3" t="s">
        <v>1078</v>
      </c>
    </row>
    <row r="425" spans="1:7" x14ac:dyDescent="0.25">
      <c r="C425" s="3">
        <v>51060</v>
      </c>
      <c r="D425" s="72">
        <v>43077</v>
      </c>
    </row>
    <row r="426" spans="1:7" x14ac:dyDescent="0.25">
      <c r="C426" s="3">
        <v>6370</v>
      </c>
      <c r="D426" s="72">
        <v>43077</v>
      </c>
      <c r="E426" s="3" t="s">
        <v>849</v>
      </c>
    </row>
    <row r="427" spans="1:7" x14ac:dyDescent="0.25">
      <c r="B427" s="3">
        <f>SUM(B418:B426)</f>
        <v>446462.6</v>
      </c>
      <c r="C427" s="3">
        <f>SUM(C418:C426)</f>
        <v>446462</v>
      </c>
      <c r="E427" s="3">
        <f>C427-B427</f>
        <v>-0.59999999997671694</v>
      </c>
      <c r="F427" s="72">
        <v>43077</v>
      </c>
      <c r="G427" s="72">
        <v>43078</v>
      </c>
    </row>
    <row r="429" spans="1:7" x14ac:dyDescent="0.25">
      <c r="A429" t="s">
        <v>1079</v>
      </c>
      <c r="B429" s="3">
        <v>424619</v>
      </c>
      <c r="C429" s="3">
        <v>14795</v>
      </c>
      <c r="D429" s="72">
        <v>43078</v>
      </c>
      <c r="E429" s="3" t="s">
        <v>1080</v>
      </c>
    </row>
    <row r="430" spans="1:7" x14ac:dyDescent="0.25">
      <c r="C430" s="3">
        <v>42000</v>
      </c>
      <c r="D430" s="72">
        <v>43075</v>
      </c>
    </row>
    <row r="431" spans="1:7" x14ac:dyDescent="0.25">
      <c r="C431" s="3">
        <v>371000</v>
      </c>
      <c r="D431" s="72">
        <v>43078</v>
      </c>
      <c r="E431" s="3" t="s">
        <v>846</v>
      </c>
    </row>
    <row r="432" spans="1:7" x14ac:dyDescent="0.25">
      <c r="B432" s="3">
        <f>SUM(B429:B431)</f>
        <v>424619</v>
      </c>
      <c r="C432" s="3">
        <f>SUM(C429:C431)</f>
        <v>427795</v>
      </c>
      <c r="E432" s="54">
        <f>C432-B432</f>
        <v>3176</v>
      </c>
      <c r="F432" s="72">
        <v>43078</v>
      </c>
      <c r="G432" s="72">
        <v>43078</v>
      </c>
    </row>
    <row r="434" spans="1:7" x14ac:dyDescent="0.25">
      <c r="A434" t="s">
        <v>1081</v>
      </c>
      <c r="B434" s="3">
        <v>20313.599999999999</v>
      </c>
      <c r="C434" s="3">
        <v>484000</v>
      </c>
      <c r="D434" s="72">
        <v>43080</v>
      </c>
      <c r="E434" s="3" t="s">
        <v>846</v>
      </c>
    </row>
    <row r="435" spans="1:7" x14ac:dyDescent="0.25">
      <c r="A435" t="s">
        <v>1082</v>
      </c>
      <c r="B435" s="3">
        <v>476694</v>
      </c>
      <c r="C435" s="54">
        <v>3176</v>
      </c>
      <c r="D435" s="72">
        <v>43078</v>
      </c>
      <c r="E435" s="3" t="s">
        <v>842</v>
      </c>
    </row>
    <row r="436" spans="1:7" x14ac:dyDescent="0.25">
      <c r="C436" s="3">
        <v>58223</v>
      </c>
      <c r="D436" s="72">
        <v>43079</v>
      </c>
      <c r="E436" s="3" t="s">
        <v>1083</v>
      </c>
    </row>
    <row r="437" spans="1:7" x14ac:dyDescent="0.25">
      <c r="B437" s="3">
        <f>SUM(B434:B436)</f>
        <v>497007.6</v>
      </c>
      <c r="C437" s="3">
        <f>SUM(C434:C436)</f>
        <v>545399</v>
      </c>
      <c r="E437" s="83">
        <f>C437-B437</f>
        <v>48391.400000000023</v>
      </c>
      <c r="F437" s="72">
        <v>43080</v>
      </c>
      <c r="G437" s="72">
        <v>43081</v>
      </c>
    </row>
    <row r="439" spans="1:7" x14ac:dyDescent="0.25">
      <c r="A439" t="s">
        <v>1084</v>
      </c>
      <c r="B439" s="3">
        <v>13788.6</v>
      </c>
      <c r="C439" s="3">
        <v>59500</v>
      </c>
      <c r="D439" s="72">
        <v>43082</v>
      </c>
      <c r="E439" s="3" t="s">
        <v>1085</v>
      </c>
    </row>
    <row r="440" spans="1:7" x14ac:dyDescent="0.25">
      <c r="A440" t="s">
        <v>1086</v>
      </c>
      <c r="B440" s="3">
        <v>1152.4000000000001</v>
      </c>
      <c r="C440" s="3">
        <v>504000</v>
      </c>
      <c r="D440" s="72">
        <v>43082</v>
      </c>
      <c r="E440" s="3" t="s">
        <v>846</v>
      </c>
    </row>
    <row r="441" spans="1:7" x14ac:dyDescent="0.25">
      <c r="A441" t="s">
        <v>1087</v>
      </c>
      <c r="B441" s="3">
        <v>424795</v>
      </c>
      <c r="C441" s="83">
        <v>48391.4</v>
      </c>
      <c r="D441" s="72">
        <v>43080</v>
      </c>
      <c r="E441" s="3" t="s">
        <v>842</v>
      </c>
    </row>
    <row r="442" spans="1:7" x14ac:dyDescent="0.25">
      <c r="A442" t="s">
        <v>1088</v>
      </c>
      <c r="B442" s="3">
        <v>28598.2</v>
      </c>
      <c r="C442" s="3">
        <v>11575</v>
      </c>
      <c r="D442" s="72">
        <v>43080</v>
      </c>
      <c r="E442" s="73" t="s">
        <v>1089</v>
      </c>
    </row>
    <row r="443" spans="1:7" x14ac:dyDescent="0.25">
      <c r="C443" s="3">
        <v>6363</v>
      </c>
      <c r="D443" s="72">
        <v>43081</v>
      </c>
      <c r="E443" s="3" t="s">
        <v>1090</v>
      </c>
    </row>
    <row r="444" spans="1:7" x14ac:dyDescent="0.25">
      <c r="B444" s="3">
        <f>SUM(B439:B443)</f>
        <v>468334.2</v>
      </c>
      <c r="C444" s="3">
        <f>SUM(C439:C443)</f>
        <v>629829.4</v>
      </c>
      <c r="E444" s="51">
        <f>C444-B444</f>
        <v>161495.20000000001</v>
      </c>
      <c r="F444" s="72">
        <v>43082</v>
      </c>
      <c r="G444" s="72">
        <v>43082</v>
      </c>
    </row>
    <row r="446" spans="1:7" x14ac:dyDescent="0.25">
      <c r="A446" t="s">
        <v>1091</v>
      </c>
      <c r="B446" s="3">
        <v>507744</v>
      </c>
      <c r="C446" s="3">
        <v>253000</v>
      </c>
      <c r="D446" s="72">
        <v>43083</v>
      </c>
      <c r="E446" s="3" t="s">
        <v>846</v>
      </c>
    </row>
    <row r="447" spans="1:7" x14ac:dyDescent="0.25">
      <c r="C447" s="3">
        <v>26274</v>
      </c>
      <c r="D447" s="72">
        <v>43084</v>
      </c>
    </row>
    <row r="448" spans="1:7" x14ac:dyDescent="0.25">
      <c r="C448" s="3">
        <v>5975</v>
      </c>
      <c r="D448" s="72">
        <v>43082</v>
      </c>
      <c r="E448" s="3" t="s">
        <v>1092</v>
      </c>
    </row>
    <row r="449" spans="1:7" x14ac:dyDescent="0.25">
      <c r="C449" s="3">
        <v>61000</v>
      </c>
      <c r="D449" s="72">
        <v>43083</v>
      </c>
    </row>
    <row r="450" spans="1:7" x14ac:dyDescent="0.25">
      <c r="C450" s="51">
        <v>161495.20000000001</v>
      </c>
      <c r="D450" s="72">
        <v>43082</v>
      </c>
      <c r="E450" s="3" t="s">
        <v>842</v>
      </c>
    </row>
    <row r="451" spans="1:7" x14ac:dyDescent="0.25">
      <c r="B451" s="3">
        <f>SUM(B446:B450)</f>
        <v>507744</v>
      </c>
      <c r="C451" s="3">
        <f>SUM(C446:C450)</f>
        <v>507744.2</v>
      </c>
      <c r="E451" s="3">
        <f>C451-B451</f>
        <v>0.20000000001164153</v>
      </c>
      <c r="F451" s="72">
        <v>43083</v>
      </c>
      <c r="G451" s="72">
        <v>43084</v>
      </c>
    </row>
    <row r="453" spans="1:7" x14ac:dyDescent="0.25">
      <c r="A453" t="s">
        <v>1093</v>
      </c>
      <c r="B453" s="3">
        <v>392958</v>
      </c>
      <c r="C453" s="3">
        <v>402000</v>
      </c>
      <c r="D453" s="72">
        <v>43084</v>
      </c>
      <c r="E453" s="3" t="s">
        <v>846</v>
      </c>
    </row>
    <row r="454" spans="1:7" x14ac:dyDescent="0.25">
      <c r="B454" s="3">
        <f>SUM(B453)</f>
        <v>392958</v>
      </c>
      <c r="C454" s="3">
        <f>SUM(C453)</f>
        <v>402000</v>
      </c>
      <c r="E454" s="90">
        <f>C454-B454</f>
        <v>9042</v>
      </c>
      <c r="F454" s="72">
        <v>43084</v>
      </c>
      <c r="G454" s="72">
        <v>43084</v>
      </c>
    </row>
    <row r="456" spans="1:7" x14ac:dyDescent="0.25">
      <c r="A456" t="s">
        <v>1094</v>
      </c>
      <c r="B456" s="3">
        <v>427458</v>
      </c>
      <c r="C456" s="3">
        <v>457000</v>
      </c>
      <c r="D456" s="72">
        <v>43085</v>
      </c>
      <c r="E456" s="3" t="s">
        <v>846</v>
      </c>
    </row>
    <row r="457" spans="1:7" x14ac:dyDescent="0.25">
      <c r="A457" t="s">
        <v>1095</v>
      </c>
      <c r="B457" s="3">
        <v>33872.300000000003</v>
      </c>
      <c r="C457" s="3">
        <v>10814</v>
      </c>
      <c r="D457" s="72">
        <v>43084</v>
      </c>
      <c r="E457" s="3" t="s">
        <v>1096</v>
      </c>
    </row>
    <row r="458" spans="1:7" x14ac:dyDescent="0.25">
      <c r="B458" s="3">
        <f>SUM(B456:B457)</f>
        <v>461330.3</v>
      </c>
      <c r="C458" s="3">
        <f>SUM(C456:C457)</f>
        <v>467814</v>
      </c>
      <c r="E458" s="95">
        <f>C458-B458</f>
        <v>6483.7000000000116</v>
      </c>
      <c r="F458" s="72">
        <v>43087</v>
      </c>
      <c r="G458" s="72">
        <v>43084</v>
      </c>
    </row>
    <row r="459" spans="1:7" x14ac:dyDescent="0.25">
      <c r="F459" s="72"/>
      <c r="G459" s="72"/>
    </row>
    <row r="460" spans="1:7" x14ac:dyDescent="0.25">
      <c r="A460" t="s">
        <v>1097</v>
      </c>
      <c r="B460" s="3">
        <v>44084.1</v>
      </c>
      <c r="C460" s="3">
        <v>500000</v>
      </c>
      <c r="D460" s="72">
        <v>43089</v>
      </c>
      <c r="E460" s="3" t="s">
        <v>846</v>
      </c>
    </row>
    <row r="461" spans="1:7" x14ac:dyDescent="0.25">
      <c r="A461" t="s">
        <v>1098</v>
      </c>
      <c r="B461" s="3">
        <v>37456.800000000003</v>
      </c>
      <c r="C461" s="3">
        <v>437000</v>
      </c>
      <c r="D461" s="72">
        <v>43089</v>
      </c>
      <c r="E461" s="3" t="s">
        <v>846</v>
      </c>
    </row>
    <row r="462" spans="1:7" x14ac:dyDescent="0.25">
      <c r="A462" t="s">
        <v>1099</v>
      </c>
      <c r="B462" s="3">
        <v>450378</v>
      </c>
      <c r="C462" s="3">
        <v>4676</v>
      </c>
      <c r="D462" s="72">
        <v>43087</v>
      </c>
      <c r="E462" s="3" t="s">
        <v>1100</v>
      </c>
    </row>
    <row r="463" spans="1:7" x14ac:dyDescent="0.25">
      <c r="A463" t="s">
        <v>1101</v>
      </c>
      <c r="B463" s="3">
        <v>410496</v>
      </c>
      <c r="C463" s="3">
        <v>739</v>
      </c>
      <c r="D463" s="72">
        <v>43089</v>
      </c>
      <c r="E463" s="3" t="s">
        <v>849</v>
      </c>
    </row>
    <row r="464" spans="1:7" x14ac:dyDescent="0.25">
      <c r="B464" s="3">
        <f>SUM(B460:B463)</f>
        <v>942414.9</v>
      </c>
      <c r="C464" s="3">
        <f>SUM(C460:C463)</f>
        <v>942415</v>
      </c>
      <c r="E464" s="3">
        <f>C464-B464</f>
        <v>9.9999999976716936E-2</v>
      </c>
      <c r="F464" s="72">
        <v>43089</v>
      </c>
      <c r="G464" s="72">
        <v>43090</v>
      </c>
    </row>
    <row r="466" spans="1:7" x14ac:dyDescent="0.25">
      <c r="A466" t="s">
        <v>1102</v>
      </c>
      <c r="B466" s="3">
        <v>386304</v>
      </c>
      <c r="C466" s="3">
        <v>451000</v>
      </c>
      <c r="D466" s="72">
        <v>43090</v>
      </c>
      <c r="E466" s="3" t="s">
        <v>846</v>
      </c>
    </row>
    <row r="467" spans="1:7" x14ac:dyDescent="0.25">
      <c r="B467" s="3">
        <f>SUM(B466)</f>
        <v>386304</v>
      </c>
      <c r="C467" s="3">
        <f>SUM(C466)</f>
        <v>451000</v>
      </c>
      <c r="E467" s="75">
        <f>C467-B467</f>
        <v>64696</v>
      </c>
      <c r="F467" s="72">
        <v>43090</v>
      </c>
      <c r="G467" s="72">
        <v>43091</v>
      </c>
    </row>
    <row r="469" spans="1:7" x14ac:dyDescent="0.25">
      <c r="A469" t="s">
        <v>1103</v>
      </c>
      <c r="B469" s="3">
        <v>437016</v>
      </c>
      <c r="C469" s="3">
        <v>8921</v>
      </c>
      <c r="D469" s="72">
        <v>43089</v>
      </c>
      <c r="E469" s="3" t="s">
        <v>1104</v>
      </c>
    </row>
    <row r="470" spans="1:7" x14ac:dyDescent="0.25">
      <c r="C470" s="3">
        <v>11934</v>
      </c>
      <c r="D470" s="72">
        <v>43091</v>
      </c>
      <c r="E470" s="3" t="s">
        <v>1105</v>
      </c>
    </row>
    <row r="471" spans="1:7" x14ac:dyDescent="0.25">
      <c r="C471" s="3">
        <v>24853</v>
      </c>
      <c r="D471" s="72">
        <v>43090</v>
      </c>
      <c r="E471" s="3" t="s">
        <v>1106</v>
      </c>
    </row>
    <row r="472" spans="1:7" x14ac:dyDescent="0.25">
      <c r="C472" s="3">
        <v>100088</v>
      </c>
      <c r="D472" s="72">
        <v>43090</v>
      </c>
      <c r="E472" s="3" t="s">
        <v>1107</v>
      </c>
    </row>
    <row r="473" spans="1:7" x14ac:dyDescent="0.25">
      <c r="C473" s="3">
        <v>93510</v>
      </c>
      <c r="E473" s="3" t="s">
        <v>1108</v>
      </c>
    </row>
    <row r="474" spans="1:7" x14ac:dyDescent="0.25">
      <c r="C474" s="3">
        <v>31360</v>
      </c>
      <c r="D474" s="72">
        <v>43091</v>
      </c>
      <c r="E474" s="3" t="s">
        <v>1109</v>
      </c>
    </row>
    <row r="475" spans="1:7" x14ac:dyDescent="0.25">
      <c r="C475" s="3">
        <v>11357</v>
      </c>
      <c r="D475" s="72">
        <v>43088</v>
      </c>
      <c r="E475" s="3" t="s">
        <v>1110</v>
      </c>
    </row>
    <row r="476" spans="1:7" x14ac:dyDescent="0.25">
      <c r="C476" s="3">
        <v>4738</v>
      </c>
      <c r="D476" s="72">
        <v>43085</v>
      </c>
      <c r="E476" s="3" t="s">
        <v>1111</v>
      </c>
    </row>
    <row r="477" spans="1:7" x14ac:dyDescent="0.25">
      <c r="C477" s="3">
        <v>8064</v>
      </c>
      <c r="D477" s="72">
        <v>43090</v>
      </c>
      <c r="E477" s="3" t="s">
        <v>1112</v>
      </c>
    </row>
    <row r="478" spans="1:7" x14ac:dyDescent="0.25">
      <c r="C478" s="3">
        <v>42020</v>
      </c>
      <c r="D478" s="72">
        <v>43090</v>
      </c>
      <c r="E478" s="3" t="s">
        <v>842</v>
      </c>
    </row>
    <row r="479" spans="1:7" x14ac:dyDescent="0.25">
      <c r="C479" s="95">
        <v>6483.7</v>
      </c>
      <c r="D479" s="72">
        <v>43084</v>
      </c>
      <c r="E479" s="3" t="s">
        <v>842</v>
      </c>
    </row>
    <row r="480" spans="1:7" x14ac:dyDescent="0.25">
      <c r="C480" s="75">
        <v>64696</v>
      </c>
      <c r="D480" s="72">
        <v>43090</v>
      </c>
      <c r="E480" s="3" t="s">
        <v>842</v>
      </c>
    </row>
    <row r="481" spans="1:7" x14ac:dyDescent="0.25">
      <c r="C481" s="90">
        <v>9042</v>
      </c>
      <c r="D481" s="72">
        <v>43084</v>
      </c>
      <c r="E481" s="3" t="s">
        <v>842</v>
      </c>
    </row>
    <row r="482" spans="1:7" x14ac:dyDescent="0.25">
      <c r="C482" s="3">
        <v>46000</v>
      </c>
      <c r="D482" s="72">
        <v>43090</v>
      </c>
    </row>
    <row r="483" spans="1:7" x14ac:dyDescent="0.25">
      <c r="C483" s="3">
        <v>28250</v>
      </c>
      <c r="D483" s="72">
        <v>43090</v>
      </c>
    </row>
    <row r="484" spans="1:7" x14ac:dyDescent="0.25">
      <c r="B484" s="3">
        <f>SUM(B469:B483)</f>
        <v>437016</v>
      </c>
      <c r="C484" s="3">
        <f>SUM(C469:C483)</f>
        <v>491316.7</v>
      </c>
      <c r="E484" s="54">
        <f>C484-B484</f>
        <v>54300.700000000012</v>
      </c>
      <c r="F484" s="72">
        <v>43092</v>
      </c>
      <c r="G484" s="72">
        <v>43092</v>
      </c>
    </row>
    <row r="486" spans="1:7" x14ac:dyDescent="0.25">
      <c r="A486" t="s">
        <v>1113</v>
      </c>
      <c r="B486" s="3">
        <v>61694.5</v>
      </c>
      <c r="C486" s="3">
        <v>500000</v>
      </c>
      <c r="D486" s="72">
        <v>43095</v>
      </c>
      <c r="E486" s="3" t="s">
        <v>846</v>
      </c>
    </row>
    <row r="487" spans="1:7" x14ac:dyDescent="0.25">
      <c r="A487" t="s">
        <v>1114</v>
      </c>
      <c r="B487" s="3">
        <v>423844</v>
      </c>
      <c r="C487" s="3">
        <v>460000</v>
      </c>
      <c r="D487" s="72">
        <v>43095</v>
      </c>
      <c r="E487" s="3" t="s">
        <v>846</v>
      </c>
    </row>
    <row r="488" spans="1:7" x14ac:dyDescent="0.25">
      <c r="A488" t="s">
        <v>1115</v>
      </c>
      <c r="B488" s="3">
        <v>750329</v>
      </c>
      <c r="C488" s="54">
        <v>384352</v>
      </c>
      <c r="D488" s="72">
        <v>43092</v>
      </c>
      <c r="E488" s="3" t="s">
        <v>842</v>
      </c>
      <c r="F488" t="s">
        <v>1116</v>
      </c>
    </row>
    <row r="489" spans="1:7" x14ac:dyDescent="0.25">
      <c r="C489" s="54">
        <v>54300.7</v>
      </c>
      <c r="D489" s="72">
        <v>43092</v>
      </c>
      <c r="E489" s="3" t="s">
        <v>842</v>
      </c>
    </row>
    <row r="490" spans="1:7" x14ac:dyDescent="0.25">
      <c r="C490" s="3">
        <v>6435</v>
      </c>
      <c r="D490" s="72">
        <v>43095</v>
      </c>
      <c r="E490" s="3" t="s">
        <v>1117</v>
      </c>
    </row>
    <row r="491" spans="1:7" x14ac:dyDescent="0.25">
      <c r="C491" s="3">
        <v>7647</v>
      </c>
      <c r="D491" s="72">
        <v>43095</v>
      </c>
      <c r="E491" s="3" t="s">
        <v>1118</v>
      </c>
    </row>
    <row r="492" spans="1:7" x14ac:dyDescent="0.25">
      <c r="C492" s="3">
        <v>9341</v>
      </c>
      <c r="D492" s="72">
        <v>43092</v>
      </c>
      <c r="E492" s="3" t="s">
        <v>1119</v>
      </c>
    </row>
    <row r="493" spans="1:7" x14ac:dyDescent="0.25">
      <c r="B493" s="3">
        <f>SUM(B486:B490)</f>
        <v>1235867.5</v>
      </c>
      <c r="C493" s="3">
        <f>SUM(C486:C492)</f>
        <v>1422075.7</v>
      </c>
      <c r="E493" s="51">
        <f>C493-B493</f>
        <v>186208.19999999995</v>
      </c>
      <c r="F493" s="72">
        <v>43095</v>
      </c>
      <c r="G493" s="72">
        <v>43096</v>
      </c>
    </row>
    <row r="495" spans="1:7" x14ac:dyDescent="0.25">
      <c r="A495" t="s">
        <v>1120</v>
      </c>
      <c r="B495" s="3">
        <v>7361.2</v>
      </c>
      <c r="C495" s="3">
        <v>663000</v>
      </c>
      <c r="D495" s="72">
        <v>43097</v>
      </c>
      <c r="E495" s="3" t="s">
        <v>846</v>
      </c>
    </row>
    <row r="496" spans="1:7" x14ac:dyDescent="0.25">
      <c r="A496" t="s">
        <v>1121</v>
      </c>
      <c r="B496" s="3">
        <v>715139</v>
      </c>
      <c r="C496" s="51">
        <v>186208.2</v>
      </c>
      <c r="D496" s="72">
        <v>43095</v>
      </c>
      <c r="E496" s="3" t="s">
        <v>842</v>
      </c>
    </row>
    <row r="497" spans="1:7" x14ac:dyDescent="0.25">
      <c r="C497" s="3">
        <v>13832</v>
      </c>
      <c r="D497" s="72">
        <v>43093</v>
      </c>
      <c r="E497" s="3" t="s">
        <v>1122</v>
      </c>
    </row>
    <row r="498" spans="1:7" x14ac:dyDescent="0.25">
      <c r="C498" s="3">
        <v>12878</v>
      </c>
      <c r="D498" s="72">
        <v>43096</v>
      </c>
      <c r="E498" s="3" t="s">
        <v>1123</v>
      </c>
    </row>
    <row r="499" spans="1:7" x14ac:dyDescent="0.25">
      <c r="C499" s="3">
        <v>8714</v>
      </c>
      <c r="D499" s="72">
        <v>43096</v>
      </c>
      <c r="E499" s="3" t="s">
        <v>1124</v>
      </c>
    </row>
    <row r="500" spans="1:7" x14ac:dyDescent="0.25">
      <c r="C500" s="3">
        <v>21112</v>
      </c>
      <c r="D500" s="72">
        <v>43097</v>
      </c>
      <c r="E500" s="3" t="s">
        <v>1125</v>
      </c>
    </row>
    <row r="501" spans="1:7" x14ac:dyDescent="0.25">
      <c r="B501" s="3">
        <f>SUM(B495:B500)</f>
        <v>722500.2</v>
      </c>
      <c r="C501" s="3">
        <f>SUM(C495:C500)</f>
        <v>905744.2</v>
      </c>
      <c r="E501" s="50">
        <f>C501-B501</f>
        <v>183244</v>
      </c>
      <c r="F501" s="72">
        <v>43097</v>
      </c>
      <c r="G501" s="72">
        <v>43098</v>
      </c>
    </row>
    <row r="503" spans="1:7" x14ac:dyDescent="0.25">
      <c r="C503" s="3">
        <v>611000</v>
      </c>
      <c r="D503" s="72">
        <v>43463</v>
      </c>
      <c r="E503" s="3" t="s">
        <v>846</v>
      </c>
    </row>
    <row r="504" spans="1:7" x14ac:dyDescent="0.25">
      <c r="B504" s="3">
        <v>809884</v>
      </c>
      <c r="C504" s="50">
        <v>183244</v>
      </c>
      <c r="D504" s="72">
        <v>43097</v>
      </c>
      <c r="E504" s="3" t="s">
        <v>842</v>
      </c>
    </row>
    <row r="505" spans="1:7" x14ac:dyDescent="0.25">
      <c r="C505" s="3">
        <v>14300.3</v>
      </c>
    </row>
    <row r="506" spans="1:7" x14ac:dyDescent="0.25">
      <c r="C506" s="3">
        <v>1339.4</v>
      </c>
    </row>
    <row r="507" spans="1:7" x14ac:dyDescent="0.25">
      <c r="B507" s="3">
        <f>SUM(B503:B506)</f>
        <v>809884</v>
      </c>
      <c r="C507" s="3">
        <f>SUM(C503:C506)</f>
        <v>809883.70000000007</v>
      </c>
      <c r="E507" s="50">
        <f>C507-B507</f>
        <v>-0.29999999993015081</v>
      </c>
      <c r="F507" s="72">
        <v>43098</v>
      </c>
      <c r="G507" s="72">
        <v>43464</v>
      </c>
    </row>
    <row r="511" spans="1:7" x14ac:dyDescent="0.25">
      <c r="A511" t="s">
        <v>1126</v>
      </c>
      <c r="B511" s="3">
        <v>31646.19</v>
      </c>
      <c r="C511" s="3">
        <v>489000</v>
      </c>
      <c r="D511" s="72">
        <v>43099</v>
      </c>
      <c r="E511" s="3" t="s">
        <v>846</v>
      </c>
    </row>
    <row r="512" spans="1:7" x14ac:dyDescent="0.25">
      <c r="A512" t="s">
        <v>1127</v>
      </c>
      <c r="B512" s="3">
        <v>62073.8</v>
      </c>
    </row>
    <row r="513" spans="1:7" x14ac:dyDescent="0.25">
      <c r="B513" s="3">
        <f>SUM(B511:B512)</f>
        <v>93719.99</v>
      </c>
      <c r="C513" s="3">
        <f>SUM(C511:C512)</f>
        <v>489000</v>
      </c>
      <c r="E513" s="83">
        <f>C513-B513</f>
        <v>395280.01</v>
      </c>
      <c r="F513" s="72">
        <v>43099</v>
      </c>
      <c r="G513" s="72">
        <v>43103</v>
      </c>
    </row>
    <row r="515" spans="1:7" x14ac:dyDescent="0.25">
      <c r="A515" t="s">
        <v>1128</v>
      </c>
      <c r="B515" s="3">
        <v>22052.400000000001</v>
      </c>
      <c r="C515" s="3">
        <v>400000</v>
      </c>
      <c r="D515" s="72">
        <v>43103</v>
      </c>
      <c r="E515" s="3" t="s">
        <v>846</v>
      </c>
    </row>
    <row r="516" spans="1:7" x14ac:dyDescent="0.25">
      <c r="A516" t="s">
        <v>1129</v>
      </c>
      <c r="B516" s="3">
        <v>17796.63</v>
      </c>
      <c r="C516" s="3">
        <v>450000</v>
      </c>
      <c r="D516" s="72">
        <v>43103</v>
      </c>
      <c r="E516" s="3" t="s">
        <v>846</v>
      </c>
    </row>
    <row r="517" spans="1:7" x14ac:dyDescent="0.25">
      <c r="A517" t="s">
        <v>1130</v>
      </c>
      <c r="B517" s="3">
        <v>779864.5</v>
      </c>
      <c r="C517" s="3">
        <v>455000</v>
      </c>
      <c r="D517" s="72">
        <v>43103</v>
      </c>
      <c r="E517" s="3" t="s">
        <v>846</v>
      </c>
    </row>
    <row r="518" spans="1:7" x14ac:dyDescent="0.25">
      <c r="A518" t="s">
        <v>1131</v>
      </c>
      <c r="B518" s="3">
        <v>667527</v>
      </c>
      <c r="C518" s="83">
        <v>395280</v>
      </c>
      <c r="D518" s="72">
        <v>43099</v>
      </c>
      <c r="E518" s="3" t="s">
        <v>842</v>
      </c>
    </row>
    <row r="519" spans="1:7" x14ac:dyDescent="0.25">
      <c r="A519" t="s">
        <v>1132</v>
      </c>
      <c r="B519" s="3">
        <v>346800</v>
      </c>
      <c r="C519" s="3">
        <v>167951</v>
      </c>
      <c r="D519" s="72">
        <v>43098</v>
      </c>
      <c r="E519" s="3" t="s">
        <v>1133</v>
      </c>
    </row>
    <row r="520" spans="1:7" x14ac:dyDescent="0.25">
      <c r="C520" s="3">
        <v>13038</v>
      </c>
      <c r="D520" s="72">
        <v>43099</v>
      </c>
      <c r="E520" s="3" t="s">
        <v>1134</v>
      </c>
    </row>
    <row r="521" spans="1:7" x14ac:dyDescent="0.25">
      <c r="C521" s="3">
        <v>2073</v>
      </c>
      <c r="D521" s="72">
        <v>43099</v>
      </c>
      <c r="E521" s="3" t="s">
        <v>1135</v>
      </c>
    </row>
    <row r="522" spans="1:7" x14ac:dyDescent="0.25">
      <c r="B522" s="3">
        <f>SUM(B515:B521)</f>
        <v>1834040.53</v>
      </c>
      <c r="C522" s="3">
        <f>SUM(C515:C521)</f>
        <v>1883342</v>
      </c>
      <c r="E522" s="96">
        <f>C522-B522</f>
        <v>49301.469999999972</v>
      </c>
      <c r="F522" s="72">
        <v>43103</v>
      </c>
      <c r="G522" s="72">
        <v>43105</v>
      </c>
    </row>
    <row r="524" spans="1:7" x14ac:dyDescent="0.25">
      <c r="A524" t="s">
        <v>1136</v>
      </c>
      <c r="B524" s="3">
        <v>407924</v>
      </c>
      <c r="C524" s="3">
        <v>500000</v>
      </c>
      <c r="D524" s="72">
        <v>43106</v>
      </c>
      <c r="E524" s="3" t="s">
        <v>941</v>
      </c>
    </row>
    <row r="525" spans="1:7" x14ac:dyDescent="0.25">
      <c r="A525" t="s">
        <v>1137</v>
      </c>
      <c r="B525" s="3">
        <v>444800</v>
      </c>
      <c r="C525" s="3">
        <v>534000</v>
      </c>
      <c r="D525" s="72">
        <v>43106</v>
      </c>
      <c r="E525" s="3" t="s">
        <v>941</v>
      </c>
    </row>
    <row r="526" spans="1:7" x14ac:dyDescent="0.25">
      <c r="B526" s="3">
        <f>SUM(B524:B525)</f>
        <v>852724</v>
      </c>
      <c r="C526" s="3">
        <f>SUM(C524:C525)</f>
        <v>1034000</v>
      </c>
      <c r="E526" s="92">
        <f>C526-B526</f>
        <v>181276</v>
      </c>
      <c r="F526" s="72">
        <v>43106</v>
      </c>
      <c r="G526" s="72">
        <v>43106</v>
      </c>
    </row>
    <row r="528" spans="1:7" x14ac:dyDescent="0.25">
      <c r="A528" t="s">
        <v>1138</v>
      </c>
      <c r="B528" s="3">
        <v>420800</v>
      </c>
      <c r="C528" s="3">
        <v>89000</v>
      </c>
      <c r="D528" s="72">
        <v>43102</v>
      </c>
    </row>
    <row r="529" spans="1:16" x14ac:dyDescent="0.25">
      <c r="C529" s="92">
        <v>181276</v>
      </c>
      <c r="D529" s="72">
        <v>43106</v>
      </c>
      <c r="E529" s="3" t="s">
        <v>842</v>
      </c>
    </row>
    <row r="530" spans="1:16" x14ac:dyDescent="0.25">
      <c r="C530" s="3">
        <v>5734</v>
      </c>
      <c r="D530" s="72">
        <v>43102</v>
      </c>
      <c r="E530" s="3" t="s">
        <v>1139</v>
      </c>
    </row>
    <row r="531" spans="1:16" x14ac:dyDescent="0.25">
      <c r="C531" s="3">
        <v>24940</v>
      </c>
      <c r="D531" s="72">
        <v>43106</v>
      </c>
      <c r="E531" s="3" t="s">
        <v>1140</v>
      </c>
    </row>
    <row r="532" spans="1:16" x14ac:dyDescent="0.25">
      <c r="C532" s="3">
        <v>28080</v>
      </c>
      <c r="D532" t="s">
        <v>1141</v>
      </c>
      <c r="E532" s="3" t="s">
        <v>1142</v>
      </c>
    </row>
    <row r="533" spans="1:16" x14ac:dyDescent="0.25">
      <c r="C533" s="3">
        <v>54559</v>
      </c>
      <c r="D533" s="72">
        <v>43106</v>
      </c>
      <c r="E533" s="3" t="s">
        <v>1143</v>
      </c>
    </row>
    <row r="534" spans="1:16" x14ac:dyDescent="0.25">
      <c r="C534" s="3">
        <v>28366</v>
      </c>
      <c r="D534" s="72">
        <v>43104</v>
      </c>
      <c r="E534" s="3" t="s">
        <v>1144</v>
      </c>
    </row>
    <row r="535" spans="1:16" x14ac:dyDescent="0.25">
      <c r="C535" s="3">
        <v>45888</v>
      </c>
      <c r="D535" s="72">
        <v>43106</v>
      </c>
      <c r="E535" s="3" t="s">
        <v>1145</v>
      </c>
    </row>
    <row r="536" spans="1:16" x14ac:dyDescent="0.25">
      <c r="C536" s="3">
        <v>6384</v>
      </c>
      <c r="D536" s="72">
        <v>43105</v>
      </c>
      <c r="E536" s="3" t="s">
        <v>1146</v>
      </c>
    </row>
    <row r="537" spans="1:16" x14ac:dyDescent="0.25">
      <c r="B537" s="3">
        <f>SUM(B528:B536)</f>
        <v>420800</v>
      </c>
      <c r="C537" s="3">
        <f>SUM(C528:C536)</f>
        <v>464227</v>
      </c>
      <c r="E537" s="86">
        <f>C537-B537</f>
        <v>43427</v>
      </c>
      <c r="F537" s="72">
        <v>43106</v>
      </c>
      <c r="G537" s="72">
        <v>43106</v>
      </c>
    </row>
    <row r="539" spans="1:16" x14ac:dyDescent="0.25">
      <c r="A539" t="s">
        <v>1147</v>
      </c>
      <c r="B539" s="3">
        <v>247845</v>
      </c>
      <c r="C539" s="3">
        <v>458000</v>
      </c>
      <c r="D539" s="72">
        <v>43109</v>
      </c>
      <c r="E539" s="3" t="s">
        <v>846</v>
      </c>
    </row>
    <row r="540" spans="1:16" x14ac:dyDescent="0.25">
      <c r="A540" t="s">
        <v>1148</v>
      </c>
      <c r="B540" s="3">
        <v>495200</v>
      </c>
      <c r="C540" s="3">
        <v>500000</v>
      </c>
      <c r="D540" s="72">
        <v>43109</v>
      </c>
      <c r="E540" s="3" t="s">
        <v>846</v>
      </c>
    </row>
    <row r="541" spans="1:16" x14ac:dyDescent="0.25">
      <c r="A541" t="s">
        <v>1149</v>
      </c>
      <c r="B541" s="3">
        <v>25734.400000000001</v>
      </c>
    </row>
    <row r="542" spans="1:16" x14ac:dyDescent="0.25">
      <c r="A542" t="s">
        <v>1150</v>
      </c>
      <c r="B542" s="3">
        <v>20927.7</v>
      </c>
    </row>
    <row r="543" spans="1:16" x14ac:dyDescent="0.25">
      <c r="B543" s="3">
        <f>SUM(B539:B542)</f>
        <v>789707.1</v>
      </c>
      <c r="C543" s="3">
        <f>SUM(C539:C542)</f>
        <v>958000</v>
      </c>
      <c r="E543" s="51">
        <f>C543-B543</f>
        <v>168292.90000000002</v>
      </c>
      <c r="F543" s="72">
        <v>43109</v>
      </c>
      <c r="G543" s="72">
        <v>43110</v>
      </c>
      <c r="I543" s="3">
        <v>168292.9</v>
      </c>
      <c r="J543" s="72">
        <v>43109</v>
      </c>
      <c r="K543" s="72">
        <v>43110</v>
      </c>
      <c r="L543" s="54">
        <v>72050</v>
      </c>
      <c r="M543" s="72">
        <v>43150</v>
      </c>
      <c r="N543" s="72">
        <v>43152</v>
      </c>
      <c r="O543" s="97">
        <f>I543-L543</f>
        <v>96242.9</v>
      </c>
      <c r="P543" s="72">
        <v>43271</v>
      </c>
    </row>
    <row r="545" spans="1:9" x14ac:dyDescent="0.25">
      <c r="A545" t="s">
        <v>1151</v>
      </c>
      <c r="B545" s="3">
        <v>44520</v>
      </c>
      <c r="C545" s="3">
        <v>253000</v>
      </c>
      <c r="D545" s="72">
        <v>43111</v>
      </c>
      <c r="E545" s="3" t="s">
        <v>846</v>
      </c>
    </row>
    <row r="546" spans="1:9" x14ac:dyDescent="0.25">
      <c r="A546" t="s">
        <v>1152</v>
      </c>
      <c r="B546" s="3">
        <v>9696.7999999999993</v>
      </c>
      <c r="C546" s="3">
        <v>460000</v>
      </c>
      <c r="D546" s="72">
        <v>43111</v>
      </c>
      <c r="E546" s="3" t="s">
        <v>846</v>
      </c>
    </row>
    <row r="547" spans="1:9" x14ac:dyDescent="0.25">
      <c r="A547" t="s">
        <v>1153</v>
      </c>
      <c r="B547" s="3">
        <v>34371.199999999997</v>
      </c>
    </row>
    <row r="548" spans="1:9" x14ac:dyDescent="0.25">
      <c r="A548" t="s">
        <v>1154</v>
      </c>
      <c r="B548" s="3">
        <v>274113</v>
      </c>
    </row>
    <row r="549" spans="1:9" x14ac:dyDescent="0.25">
      <c r="A549" t="s">
        <v>1155</v>
      </c>
      <c r="B549" s="3">
        <v>249148</v>
      </c>
    </row>
    <row r="550" spans="1:9" x14ac:dyDescent="0.25">
      <c r="B550" s="3">
        <f>SUM(B545:B549)</f>
        <v>611849</v>
      </c>
      <c r="C550" s="3">
        <f>SUM(C545:C549)</f>
        <v>713000</v>
      </c>
      <c r="E550" s="63">
        <f>C550-B550</f>
        <v>101151</v>
      </c>
      <c r="F550" s="72">
        <v>43112</v>
      </c>
      <c r="G550" s="72">
        <v>43112</v>
      </c>
    </row>
    <row r="551" spans="1:9" x14ac:dyDescent="0.25">
      <c r="H551" s="98" t="s">
        <v>1156</v>
      </c>
      <c r="I551" s="98"/>
    </row>
    <row r="552" spans="1:9" x14ac:dyDescent="0.25">
      <c r="A552" t="s">
        <v>1157</v>
      </c>
      <c r="B552" s="3">
        <v>461643</v>
      </c>
      <c r="C552" s="3">
        <v>500000</v>
      </c>
      <c r="D552" s="72">
        <v>43117</v>
      </c>
      <c r="E552" s="3" t="s">
        <v>846</v>
      </c>
    </row>
    <row r="553" spans="1:9" x14ac:dyDescent="0.25">
      <c r="A553" t="s">
        <v>1158</v>
      </c>
      <c r="B553" s="3">
        <v>331600</v>
      </c>
      <c r="C553" s="3">
        <v>437000</v>
      </c>
      <c r="D553" s="72">
        <v>43117</v>
      </c>
      <c r="E553" s="3" t="s">
        <v>846</v>
      </c>
    </row>
    <row r="554" spans="1:9" x14ac:dyDescent="0.25">
      <c r="B554" s="3">
        <f>SUM(B552:B553)</f>
        <v>793243</v>
      </c>
      <c r="C554" s="3">
        <f>SUM(C552:C553)</f>
        <v>937000</v>
      </c>
      <c r="E554" s="50">
        <f>C554-B554</f>
        <v>143757</v>
      </c>
      <c r="F554" s="72">
        <v>43117</v>
      </c>
      <c r="G554" s="72">
        <v>43117</v>
      </c>
    </row>
    <row r="556" spans="1:9" x14ac:dyDescent="0.25">
      <c r="A556" t="s">
        <v>1159</v>
      </c>
      <c r="B556" s="3">
        <v>251138</v>
      </c>
      <c r="C556" s="3">
        <v>235000</v>
      </c>
      <c r="D556" s="72">
        <v>43118</v>
      </c>
      <c r="E556" s="3" t="s">
        <v>846</v>
      </c>
    </row>
    <row r="557" spans="1:9" x14ac:dyDescent="0.25">
      <c r="C557" s="3">
        <v>16138</v>
      </c>
      <c r="D557" s="72">
        <v>43119</v>
      </c>
    </row>
    <row r="558" spans="1:9" x14ac:dyDescent="0.25">
      <c r="B558" s="3">
        <f>SUM(B556:B557)</f>
        <v>251138</v>
      </c>
      <c r="C558" s="3">
        <f>SUM(C556:C557)</f>
        <v>251138</v>
      </c>
      <c r="E558" s="3">
        <f>C558-B558</f>
        <v>0</v>
      </c>
      <c r="F558" s="72">
        <v>43118</v>
      </c>
      <c r="G558" s="72">
        <v>43120</v>
      </c>
    </row>
    <row r="560" spans="1:9" x14ac:dyDescent="0.25">
      <c r="A560" t="s">
        <v>1160</v>
      </c>
      <c r="B560" s="3">
        <v>8085</v>
      </c>
      <c r="C560" s="3">
        <v>720000</v>
      </c>
      <c r="D560" s="72">
        <v>43120</v>
      </c>
      <c r="E560" s="3" t="s">
        <v>846</v>
      </c>
    </row>
    <row r="561" spans="1:9" x14ac:dyDescent="0.25">
      <c r="A561" t="s">
        <v>1161</v>
      </c>
      <c r="B561" s="3">
        <v>513718</v>
      </c>
    </row>
    <row r="562" spans="1:9" x14ac:dyDescent="0.25">
      <c r="B562" s="3">
        <f>SUM(B560:B561)</f>
        <v>521803</v>
      </c>
      <c r="C562" s="3">
        <f>SUM(C560:C561)</f>
        <v>720000</v>
      </c>
      <c r="E562" s="50">
        <f>C562-B562</f>
        <v>198197</v>
      </c>
      <c r="F562" s="72">
        <v>43120</v>
      </c>
      <c r="G562" s="72">
        <v>43122</v>
      </c>
      <c r="I562" s="37" t="s">
        <v>1162</v>
      </c>
    </row>
    <row r="564" spans="1:9" x14ac:dyDescent="0.25">
      <c r="A564" t="s">
        <v>1163</v>
      </c>
      <c r="B564" s="3">
        <v>272630</v>
      </c>
      <c r="C564" s="3">
        <v>9335</v>
      </c>
      <c r="D564" s="72">
        <v>43122</v>
      </c>
      <c r="E564" s="3" t="s">
        <v>1164</v>
      </c>
    </row>
    <row r="565" spans="1:9" x14ac:dyDescent="0.25">
      <c r="A565" t="s">
        <v>1165</v>
      </c>
      <c r="B565" s="3">
        <v>482565</v>
      </c>
      <c r="C565" s="3">
        <v>5247</v>
      </c>
      <c r="D565" s="72">
        <v>43109</v>
      </c>
      <c r="E565" s="3" t="s">
        <v>1166</v>
      </c>
    </row>
    <row r="566" spans="1:9" x14ac:dyDescent="0.25">
      <c r="A566" t="s">
        <v>1167</v>
      </c>
      <c r="B566" s="3">
        <v>12654.6</v>
      </c>
      <c r="C566" s="3">
        <v>16288</v>
      </c>
      <c r="D566" s="72">
        <v>43108</v>
      </c>
      <c r="E566" s="3" t="s">
        <v>1168</v>
      </c>
    </row>
    <row r="567" spans="1:9" x14ac:dyDescent="0.25">
      <c r="C567" s="3">
        <v>8606</v>
      </c>
      <c r="D567" s="72">
        <v>43111</v>
      </c>
      <c r="E567" s="3" t="s">
        <v>1169</v>
      </c>
    </row>
    <row r="568" spans="1:9" x14ac:dyDescent="0.25">
      <c r="C568" s="3">
        <v>18163</v>
      </c>
      <c r="D568" s="72">
        <v>43109</v>
      </c>
      <c r="E568" s="3" t="s">
        <v>1170</v>
      </c>
    </row>
    <row r="569" spans="1:9" x14ac:dyDescent="0.25">
      <c r="C569" s="3">
        <v>4533</v>
      </c>
      <c r="D569" s="72">
        <v>43115</v>
      </c>
      <c r="E569" s="3" t="s">
        <v>1171</v>
      </c>
    </row>
    <row r="570" spans="1:9" x14ac:dyDescent="0.25">
      <c r="C570" s="3">
        <v>12068</v>
      </c>
      <c r="D570" s="72">
        <v>43113</v>
      </c>
      <c r="E570" s="3" t="s">
        <v>1172</v>
      </c>
    </row>
    <row r="571" spans="1:9" x14ac:dyDescent="0.25">
      <c r="C571" s="3">
        <v>5348</v>
      </c>
      <c r="D571" s="72">
        <v>43118</v>
      </c>
      <c r="E571" s="3" t="s">
        <v>1173</v>
      </c>
    </row>
    <row r="572" spans="1:9" x14ac:dyDescent="0.25">
      <c r="C572" s="3">
        <v>685000</v>
      </c>
      <c r="D572" s="72">
        <v>43123</v>
      </c>
      <c r="E572" s="3" t="s">
        <v>846</v>
      </c>
    </row>
    <row r="573" spans="1:9" x14ac:dyDescent="0.25">
      <c r="C573" s="3">
        <v>3262</v>
      </c>
      <c r="D573" s="72">
        <v>43123</v>
      </c>
      <c r="E573" s="3" t="s">
        <v>849</v>
      </c>
    </row>
    <row r="574" spans="1:9" x14ac:dyDescent="0.25">
      <c r="B574" s="3">
        <f>SUM(B564:B572)</f>
        <v>767849.6</v>
      </c>
      <c r="C574" s="3">
        <f>SUM(C564:C573)</f>
        <v>767850</v>
      </c>
      <c r="E574" s="3">
        <f>C574-B574</f>
        <v>0.40000000002328306</v>
      </c>
      <c r="F574" s="72">
        <v>43123</v>
      </c>
      <c r="G574" s="72">
        <v>43124</v>
      </c>
    </row>
    <row r="576" spans="1:9" x14ac:dyDescent="0.25">
      <c r="A576" t="s">
        <v>1174</v>
      </c>
      <c r="B576" s="3">
        <v>500286</v>
      </c>
      <c r="C576" s="3">
        <v>349000</v>
      </c>
      <c r="D576" s="72">
        <v>43127</v>
      </c>
      <c r="E576" s="3" t="s">
        <v>846</v>
      </c>
    </row>
    <row r="577" spans="1:7" x14ac:dyDescent="0.25">
      <c r="A577" t="s">
        <v>1175</v>
      </c>
      <c r="B577" s="3">
        <v>288152</v>
      </c>
      <c r="C577" s="3">
        <v>300000</v>
      </c>
      <c r="D577" s="72">
        <v>43127</v>
      </c>
      <c r="E577" s="3" t="s">
        <v>846</v>
      </c>
    </row>
    <row r="578" spans="1:7" x14ac:dyDescent="0.25">
      <c r="A578" t="s">
        <v>1176</v>
      </c>
      <c r="B578" s="3">
        <v>513022</v>
      </c>
      <c r="C578" s="3">
        <v>609000</v>
      </c>
      <c r="D578" s="72">
        <v>43125</v>
      </c>
      <c r="E578" s="3" t="s">
        <v>846</v>
      </c>
    </row>
    <row r="579" spans="1:7" x14ac:dyDescent="0.25">
      <c r="A579" t="s">
        <v>1177</v>
      </c>
      <c r="B579" s="3">
        <v>470436</v>
      </c>
      <c r="C579" s="3">
        <v>167000</v>
      </c>
      <c r="D579" s="72">
        <v>43125</v>
      </c>
      <c r="E579" s="3" t="s">
        <v>846</v>
      </c>
    </row>
    <row r="580" spans="1:7" x14ac:dyDescent="0.25">
      <c r="C580" s="3">
        <v>4114</v>
      </c>
      <c r="D580" s="72">
        <v>43126</v>
      </c>
      <c r="E580" s="3" t="s">
        <v>1178</v>
      </c>
    </row>
    <row r="581" spans="1:7" x14ac:dyDescent="0.25">
      <c r="C581" s="96">
        <v>49301.47</v>
      </c>
      <c r="D581" s="72">
        <v>43103</v>
      </c>
      <c r="E581" s="3" t="s">
        <v>842</v>
      </c>
    </row>
    <row r="582" spans="1:7" x14ac:dyDescent="0.25">
      <c r="C582" s="63">
        <v>101151</v>
      </c>
      <c r="D582" s="72">
        <v>43112</v>
      </c>
      <c r="E582" s="3" t="s">
        <v>842</v>
      </c>
    </row>
    <row r="583" spans="1:7" x14ac:dyDescent="0.25">
      <c r="C583" s="94">
        <v>42694</v>
      </c>
      <c r="D583" s="72">
        <v>43115</v>
      </c>
      <c r="E583" s="3" t="s">
        <v>842</v>
      </c>
    </row>
    <row r="584" spans="1:7" x14ac:dyDescent="0.25">
      <c r="C584" s="50">
        <v>143757</v>
      </c>
      <c r="D584" s="72">
        <v>43117</v>
      </c>
      <c r="E584" s="3" t="s">
        <v>842</v>
      </c>
    </row>
    <row r="585" spans="1:7" x14ac:dyDescent="0.25">
      <c r="C585" s="3">
        <v>11500</v>
      </c>
      <c r="D585" s="72">
        <v>43127</v>
      </c>
      <c r="E585" s="83" t="s">
        <v>849</v>
      </c>
    </row>
    <row r="586" spans="1:7" x14ac:dyDescent="0.25">
      <c r="B586" s="3">
        <f>SUM(B576:B585)</f>
        <v>1771896</v>
      </c>
      <c r="C586" s="3">
        <f>SUM(C576:C585)</f>
        <v>1777517.47</v>
      </c>
      <c r="E586" s="83">
        <f>C586-B586</f>
        <v>5621.4699999999721</v>
      </c>
      <c r="F586" s="72">
        <v>43127</v>
      </c>
      <c r="G586" s="72">
        <v>43131</v>
      </c>
    </row>
    <row r="588" spans="1:7" x14ac:dyDescent="0.25">
      <c r="A588" t="s">
        <v>1179</v>
      </c>
      <c r="B588" s="3">
        <v>484058</v>
      </c>
      <c r="C588" s="3">
        <v>661000</v>
      </c>
      <c r="D588" s="72">
        <v>43131</v>
      </c>
      <c r="E588" s="3" t="s">
        <v>846</v>
      </c>
    </row>
    <row r="589" spans="1:7" x14ac:dyDescent="0.25">
      <c r="A589" t="s">
        <v>1180</v>
      </c>
      <c r="B589" s="3">
        <v>240688</v>
      </c>
      <c r="C589" s="3">
        <v>50400</v>
      </c>
      <c r="D589" s="72">
        <v>43132</v>
      </c>
    </row>
    <row r="590" spans="1:7" x14ac:dyDescent="0.25">
      <c r="C590" s="3">
        <v>12958</v>
      </c>
      <c r="D590" s="72">
        <v>43130</v>
      </c>
      <c r="E590" s="3" t="s">
        <v>1181</v>
      </c>
    </row>
    <row r="591" spans="1:7" x14ac:dyDescent="0.25">
      <c r="C591" s="83">
        <v>5621.47</v>
      </c>
      <c r="D591" s="72">
        <v>43127</v>
      </c>
      <c r="E591" s="3" t="s">
        <v>842</v>
      </c>
    </row>
    <row r="592" spans="1:7" x14ac:dyDescent="0.25">
      <c r="B592" s="3">
        <f>SUM(B588:B591)</f>
        <v>724746</v>
      </c>
      <c r="C592" s="3">
        <f>SUM(C588:C591)</f>
        <v>729979.47</v>
      </c>
      <c r="E592" s="86">
        <f>C592-B592</f>
        <v>5233.4699999999721</v>
      </c>
      <c r="F592" s="72">
        <v>43132</v>
      </c>
      <c r="G592" s="72">
        <v>43132</v>
      </c>
    </row>
    <row r="594" spans="1:7" x14ac:dyDescent="0.25">
      <c r="A594" t="s">
        <v>1182</v>
      </c>
      <c r="B594" s="3">
        <v>13358.4</v>
      </c>
      <c r="C594" s="3">
        <v>649000</v>
      </c>
      <c r="D594" s="72">
        <v>43133</v>
      </c>
      <c r="E594" s="3" t="s">
        <v>846</v>
      </c>
      <c r="F594" t="s">
        <v>1183</v>
      </c>
    </row>
    <row r="595" spans="1:7" x14ac:dyDescent="0.25">
      <c r="A595" t="s">
        <v>1184</v>
      </c>
      <c r="B595" s="3">
        <v>17922.7</v>
      </c>
      <c r="C595" s="3">
        <v>462000</v>
      </c>
      <c r="D595" s="72">
        <v>43134</v>
      </c>
      <c r="E595" s="3" t="s">
        <v>846</v>
      </c>
    </row>
    <row r="596" spans="1:7" x14ac:dyDescent="0.25">
      <c r="A596" t="s">
        <v>1185</v>
      </c>
      <c r="B596" s="3">
        <v>468356</v>
      </c>
    </row>
    <row r="597" spans="1:7" x14ac:dyDescent="0.25">
      <c r="A597" t="s">
        <v>1186</v>
      </c>
      <c r="B597" s="3">
        <v>9525.6</v>
      </c>
    </row>
    <row r="598" spans="1:7" x14ac:dyDescent="0.25">
      <c r="A598" t="s">
        <v>1187</v>
      </c>
      <c r="B598" s="3">
        <v>441562.5</v>
      </c>
    </row>
    <row r="599" spans="1:7" x14ac:dyDescent="0.25">
      <c r="B599" s="3">
        <f>SUM(B594:B598)</f>
        <v>950725.2</v>
      </c>
      <c r="C599" s="3">
        <f>SUM(C594:C598)</f>
        <v>1111000</v>
      </c>
      <c r="E599" s="91">
        <f>C599-B599-E600</f>
        <v>144407.70000000004</v>
      </c>
      <c r="F599" s="72">
        <v>43133</v>
      </c>
      <c r="G599" s="72">
        <v>43134</v>
      </c>
    </row>
    <row r="600" spans="1:7" x14ac:dyDescent="0.25">
      <c r="E600" s="99">
        <v>15867.1</v>
      </c>
      <c r="F600" s="72">
        <v>43134</v>
      </c>
      <c r="G600" s="72">
        <v>43134</v>
      </c>
    </row>
    <row r="602" spans="1:7" x14ac:dyDescent="0.25">
      <c r="A602" t="s">
        <v>1188</v>
      </c>
      <c r="B602" s="3">
        <v>243202</v>
      </c>
      <c r="C602" s="91">
        <v>144407.70000000001</v>
      </c>
      <c r="D602" s="72">
        <v>43133</v>
      </c>
      <c r="E602" s="3" t="s">
        <v>842</v>
      </c>
    </row>
    <row r="603" spans="1:7" x14ac:dyDescent="0.25">
      <c r="A603" t="s">
        <v>1189</v>
      </c>
      <c r="B603" s="3">
        <v>48592.800000000003</v>
      </c>
      <c r="C603" s="86">
        <v>5233.47</v>
      </c>
      <c r="D603" s="72">
        <v>43132</v>
      </c>
      <c r="E603" s="3" t="s">
        <v>842</v>
      </c>
    </row>
    <row r="604" spans="1:7" x14ac:dyDescent="0.25">
      <c r="C604" s="99">
        <v>15867.1</v>
      </c>
      <c r="D604" s="72">
        <v>43134</v>
      </c>
      <c r="E604" s="3" t="s">
        <v>842</v>
      </c>
    </row>
    <row r="605" spans="1:7" x14ac:dyDescent="0.25">
      <c r="C605" s="3">
        <v>60924</v>
      </c>
      <c r="D605" s="72">
        <v>43137</v>
      </c>
    </row>
    <row r="606" spans="1:7" x14ac:dyDescent="0.25">
      <c r="C606" s="3">
        <v>31000</v>
      </c>
      <c r="D606" s="72">
        <v>43137</v>
      </c>
    </row>
    <row r="607" spans="1:7" x14ac:dyDescent="0.25">
      <c r="C607" s="3">
        <v>25605</v>
      </c>
      <c r="D607" s="72">
        <v>43134</v>
      </c>
      <c r="E607" s="3" t="s">
        <v>1190</v>
      </c>
    </row>
    <row r="608" spans="1:7" x14ac:dyDescent="0.25">
      <c r="C608" s="3">
        <v>8758</v>
      </c>
      <c r="D608" s="72">
        <v>43134</v>
      </c>
      <c r="E608" s="3" t="s">
        <v>1191</v>
      </c>
    </row>
    <row r="609" spans="1:7" x14ac:dyDescent="0.25">
      <c r="B609" s="3">
        <f>SUM(B602:B608)</f>
        <v>291794.8</v>
      </c>
      <c r="C609" s="3">
        <f>SUM(C602:C608)</f>
        <v>291795.27</v>
      </c>
      <c r="E609" s="3">
        <f>C609-B609</f>
        <v>0.47000000003026798</v>
      </c>
      <c r="F609" s="72">
        <v>43137</v>
      </c>
      <c r="G609" s="72">
        <v>43138</v>
      </c>
    </row>
    <row r="611" spans="1:7" x14ac:dyDescent="0.25">
      <c r="A611" t="s">
        <v>1192</v>
      </c>
      <c r="B611" s="3">
        <v>40078.800000000003</v>
      </c>
      <c r="C611" s="3">
        <v>530000</v>
      </c>
      <c r="D611" s="72">
        <v>43137</v>
      </c>
      <c r="E611" s="3" t="s">
        <v>846</v>
      </c>
    </row>
    <row r="612" spans="1:7" x14ac:dyDescent="0.25">
      <c r="A612" t="s">
        <v>1193</v>
      </c>
      <c r="B612" s="3">
        <v>443304</v>
      </c>
    </row>
    <row r="613" spans="1:7" x14ac:dyDescent="0.25">
      <c r="B613" s="3">
        <f>SUM(B611:B612)</f>
        <v>483382.8</v>
      </c>
      <c r="C613" s="3">
        <f>SUM(C611:C612)</f>
        <v>530000</v>
      </c>
      <c r="E613" s="50">
        <f>C613-B613</f>
        <v>46617.200000000012</v>
      </c>
      <c r="F613" s="72">
        <v>43137</v>
      </c>
      <c r="G613" s="72">
        <v>43138</v>
      </c>
    </row>
    <row r="615" spans="1:7" x14ac:dyDescent="0.25">
      <c r="A615" t="s">
        <v>1194</v>
      </c>
      <c r="B615" s="3">
        <v>70382.5</v>
      </c>
      <c r="C615" s="50">
        <v>46617.2</v>
      </c>
      <c r="D615" s="72">
        <v>43137</v>
      </c>
      <c r="E615" s="3" t="s">
        <v>842</v>
      </c>
    </row>
    <row r="616" spans="1:7" x14ac:dyDescent="0.25">
      <c r="C616" s="3">
        <v>5902</v>
      </c>
      <c r="D616" s="72">
        <v>43136</v>
      </c>
      <c r="E616" s="3" t="s">
        <v>1195</v>
      </c>
    </row>
    <row r="617" spans="1:7" x14ac:dyDescent="0.25">
      <c r="C617" s="3">
        <v>6854.4</v>
      </c>
      <c r="D617" s="72">
        <v>43137</v>
      </c>
      <c r="E617" s="3" t="s">
        <v>1196</v>
      </c>
    </row>
    <row r="618" spans="1:7" x14ac:dyDescent="0.25">
      <c r="C618" s="3">
        <v>11009</v>
      </c>
      <c r="D618" s="72">
        <v>43139</v>
      </c>
      <c r="E618" s="3" t="s">
        <v>849</v>
      </c>
    </row>
    <row r="619" spans="1:7" x14ac:dyDescent="0.25">
      <c r="B619" s="3">
        <f>SUM(B615:B618)</f>
        <v>70382.5</v>
      </c>
      <c r="C619" s="3">
        <f>SUM(C615:C618)</f>
        <v>70382.600000000006</v>
      </c>
      <c r="E619" s="3">
        <f>C619-B619</f>
        <v>0.10000000000582077</v>
      </c>
      <c r="F619" s="72">
        <v>43139</v>
      </c>
      <c r="G619" s="72">
        <v>43139</v>
      </c>
    </row>
    <row r="621" spans="1:7" x14ac:dyDescent="0.25">
      <c r="A621" t="s">
        <v>1197</v>
      </c>
      <c r="B621" s="3">
        <v>415638</v>
      </c>
      <c r="C621" s="3">
        <v>550000</v>
      </c>
      <c r="D621" s="72">
        <v>43139</v>
      </c>
      <c r="E621" s="3" t="s">
        <v>846</v>
      </c>
    </row>
    <row r="622" spans="1:7" x14ac:dyDescent="0.25">
      <c r="B622" s="3">
        <f>SUM(B621)</f>
        <v>415638</v>
      </c>
      <c r="C622" s="3">
        <f>SUM(C621)</f>
        <v>550000</v>
      </c>
      <c r="E622" s="100">
        <f>C622-B622</f>
        <v>134362</v>
      </c>
      <c r="F622" s="72">
        <v>43139</v>
      </c>
      <c r="G622" s="72">
        <v>43139</v>
      </c>
    </row>
    <row r="624" spans="1:7" x14ac:dyDescent="0.25">
      <c r="A624" t="s">
        <v>1198</v>
      </c>
      <c r="B624" s="3">
        <v>251550</v>
      </c>
      <c r="C624" s="3">
        <v>400000</v>
      </c>
      <c r="D624" s="72">
        <v>43140</v>
      </c>
      <c r="E624" s="3" t="s">
        <v>846</v>
      </c>
    </row>
    <row r="625" spans="1:17" x14ac:dyDescent="0.25">
      <c r="A625" t="s">
        <v>1199</v>
      </c>
      <c r="B625" s="3">
        <v>232673</v>
      </c>
      <c r="C625" s="100">
        <v>134362</v>
      </c>
      <c r="D625" s="72">
        <v>43139</v>
      </c>
      <c r="E625" s="3" t="s">
        <v>842</v>
      </c>
    </row>
    <row r="626" spans="1:17" x14ac:dyDescent="0.25">
      <c r="B626" s="3">
        <f>SUM(B624:B625)</f>
        <v>484223</v>
      </c>
      <c r="C626" s="3">
        <f>SUM(C624:C625)</f>
        <v>534362</v>
      </c>
      <c r="E626" s="83">
        <f>C626-B626</f>
        <v>50139</v>
      </c>
      <c r="F626" s="72">
        <v>43140</v>
      </c>
      <c r="G626" s="72">
        <v>43141</v>
      </c>
    </row>
    <row r="628" spans="1:17" x14ac:dyDescent="0.25">
      <c r="A628" t="s">
        <v>1200</v>
      </c>
      <c r="B628" s="3">
        <v>469044</v>
      </c>
      <c r="C628" s="3">
        <v>350000</v>
      </c>
      <c r="D628" s="72">
        <v>43141</v>
      </c>
      <c r="E628" s="3" t="s">
        <v>846</v>
      </c>
    </row>
    <row r="629" spans="1:17" x14ac:dyDescent="0.25">
      <c r="A629" t="s">
        <v>1201</v>
      </c>
      <c r="B629" s="3">
        <v>17852.400000000001</v>
      </c>
      <c r="C629" s="3">
        <v>47464</v>
      </c>
      <c r="D629" s="72">
        <v>43139</v>
      </c>
      <c r="E629" s="3" t="s">
        <v>1202</v>
      </c>
    </row>
    <row r="630" spans="1:17" x14ac:dyDescent="0.25">
      <c r="C630" s="83">
        <v>50139</v>
      </c>
      <c r="D630" s="72">
        <v>43140</v>
      </c>
      <c r="E630" s="3" t="s">
        <v>842</v>
      </c>
    </row>
    <row r="631" spans="1:17" x14ac:dyDescent="0.25">
      <c r="C631" s="3">
        <v>39293</v>
      </c>
      <c r="D631" s="72">
        <v>43141</v>
      </c>
      <c r="E631" s="3" t="s">
        <v>849</v>
      </c>
      <c r="L631" s="3"/>
      <c r="M631" s="72"/>
      <c r="N631" s="72"/>
      <c r="O631" s="3"/>
      <c r="P631" s="72"/>
      <c r="Q631" s="72"/>
    </row>
    <row r="632" spans="1:17" x14ac:dyDescent="0.25">
      <c r="B632" s="3">
        <f>SUM(B628:B629)</f>
        <v>486896.4</v>
      </c>
      <c r="C632" s="3">
        <f>SUM(C628:C631)</f>
        <v>486896</v>
      </c>
      <c r="E632" s="3">
        <f>C632-B632</f>
        <v>-0.40000000002328306</v>
      </c>
      <c r="F632" s="72">
        <v>43141</v>
      </c>
      <c r="G632" s="72">
        <v>43141</v>
      </c>
      <c r="L632" s="3"/>
      <c r="M632" s="72"/>
      <c r="N632" s="72"/>
    </row>
    <row r="633" spans="1:17" x14ac:dyDescent="0.25">
      <c r="L633" s="3"/>
      <c r="M633" s="72"/>
      <c r="N633" s="72"/>
    </row>
    <row r="634" spans="1:17" x14ac:dyDescent="0.25">
      <c r="A634" t="s">
        <v>1203</v>
      </c>
      <c r="B634" s="3">
        <v>73170.100000000006</v>
      </c>
      <c r="C634" s="3">
        <v>2086</v>
      </c>
      <c r="D634" s="72">
        <v>43143</v>
      </c>
      <c r="E634" s="3" t="s">
        <v>1204</v>
      </c>
      <c r="L634" s="3"/>
      <c r="M634" s="72"/>
      <c r="N634" s="72"/>
    </row>
    <row r="635" spans="1:17" x14ac:dyDescent="0.25">
      <c r="A635" t="s">
        <v>1205</v>
      </c>
      <c r="B635" s="3">
        <v>813302</v>
      </c>
      <c r="C635" s="3">
        <v>873000</v>
      </c>
      <c r="D635" s="72">
        <v>43144</v>
      </c>
      <c r="E635" s="3" t="s">
        <v>846</v>
      </c>
      <c r="L635" s="62"/>
    </row>
    <row r="636" spans="1:17" x14ac:dyDescent="0.25">
      <c r="C636" s="3">
        <v>1000</v>
      </c>
      <c r="D636" s="72">
        <v>43144</v>
      </c>
      <c r="E636" s="3" t="s">
        <v>846</v>
      </c>
    </row>
    <row r="637" spans="1:17" x14ac:dyDescent="0.25">
      <c r="C637" s="3">
        <v>10386</v>
      </c>
      <c r="D637" s="72">
        <v>43144</v>
      </c>
      <c r="E637" s="3" t="s">
        <v>849</v>
      </c>
    </row>
    <row r="638" spans="1:17" x14ac:dyDescent="0.25">
      <c r="B638" s="3">
        <f>SUM(B634:B637)</f>
        <v>886472.1</v>
      </c>
      <c r="C638" s="3">
        <f>SUM(C634:C637)</f>
        <v>886472</v>
      </c>
      <c r="E638" s="3">
        <f>C638-B638</f>
        <v>-9.9999999976716936E-2</v>
      </c>
      <c r="F638" s="72">
        <v>43144</v>
      </c>
      <c r="G638" s="72">
        <v>43145</v>
      </c>
    </row>
    <row r="640" spans="1:17" x14ac:dyDescent="0.25">
      <c r="A640" t="s">
        <v>1206</v>
      </c>
      <c r="B640" s="3">
        <v>250514</v>
      </c>
      <c r="C640" s="3">
        <v>110000</v>
      </c>
      <c r="D640" s="72">
        <v>43150</v>
      </c>
      <c r="E640" s="3" t="s">
        <v>846</v>
      </c>
    </row>
    <row r="641" spans="1:7" x14ac:dyDescent="0.25">
      <c r="A641" t="s">
        <v>1207</v>
      </c>
      <c r="B641" s="3">
        <v>467928</v>
      </c>
      <c r="C641" s="3">
        <v>296000</v>
      </c>
      <c r="D641" s="72">
        <v>43150</v>
      </c>
      <c r="E641" s="3" t="s">
        <v>846</v>
      </c>
    </row>
    <row r="642" spans="1:7" x14ac:dyDescent="0.25">
      <c r="A642" t="s">
        <v>1208</v>
      </c>
      <c r="B642" s="3">
        <v>494852</v>
      </c>
      <c r="C642" s="3">
        <v>500000</v>
      </c>
      <c r="D642" s="72">
        <v>43150</v>
      </c>
      <c r="E642" s="3" t="s">
        <v>846</v>
      </c>
    </row>
    <row r="643" spans="1:7" x14ac:dyDescent="0.25">
      <c r="C643" s="3">
        <v>500000</v>
      </c>
      <c r="D643" s="72">
        <v>43150</v>
      </c>
      <c r="E643" s="3" t="s">
        <v>846</v>
      </c>
    </row>
    <row r="644" spans="1:7" x14ac:dyDescent="0.25">
      <c r="B644" s="3">
        <f>SUM(B640:B643)</f>
        <v>1213294</v>
      </c>
      <c r="C644" s="3">
        <f>SUM(C640:C643)</f>
        <v>1406000</v>
      </c>
      <c r="E644" s="50">
        <f>C644-B644</f>
        <v>192706</v>
      </c>
      <c r="F644" s="72">
        <v>43150</v>
      </c>
      <c r="G644" s="72">
        <v>43150</v>
      </c>
    </row>
    <row r="646" spans="1:7" x14ac:dyDescent="0.25">
      <c r="A646" t="s">
        <v>1209</v>
      </c>
      <c r="B646" s="3">
        <v>267112</v>
      </c>
      <c r="C646" s="3">
        <v>3638</v>
      </c>
      <c r="D646" s="72">
        <v>43150</v>
      </c>
      <c r="E646" s="3" t="s">
        <v>1210</v>
      </c>
    </row>
    <row r="647" spans="1:7" x14ac:dyDescent="0.25">
      <c r="C647" s="3">
        <v>44396</v>
      </c>
      <c r="D647" s="72">
        <v>43147</v>
      </c>
      <c r="E647" s="3" t="s">
        <v>1211</v>
      </c>
    </row>
    <row r="648" spans="1:7" x14ac:dyDescent="0.25">
      <c r="C648" s="50">
        <v>192706</v>
      </c>
      <c r="D648" s="72">
        <v>43150</v>
      </c>
      <c r="E648" s="3" t="s">
        <v>842</v>
      </c>
    </row>
    <row r="649" spans="1:7" x14ac:dyDescent="0.25">
      <c r="C649" s="54">
        <v>72050</v>
      </c>
      <c r="D649" s="72">
        <v>43097</v>
      </c>
      <c r="E649" s="3" t="s">
        <v>842</v>
      </c>
      <c r="G649" s="55"/>
    </row>
    <row r="650" spans="1:7" x14ac:dyDescent="0.25">
      <c r="B650" s="3">
        <f>SUM(B646:B649)</f>
        <v>267112</v>
      </c>
      <c r="C650" s="3">
        <f>SUM(C646:C649)</f>
        <v>312790</v>
      </c>
      <c r="E650" s="51">
        <f>C650-B650</f>
        <v>45678</v>
      </c>
      <c r="F650" s="72">
        <v>43150</v>
      </c>
      <c r="G650" s="72">
        <v>43152</v>
      </c>
    </row>
    <row r="652" spans="1:7" x14ac:dyDescent="0.25">
      <c r="A652" t="s">
        <v>1212</v>
      </c>
      <c r="B652" s="3">
        <v>243881.5</v>
      </c>
      <c r="C652" s="3">
        <v>500000</v>
      </c>
      <c r="D652" s="72">
        <v>43151</v>
      </c>
      <c r="E652" s="3" t="s">
        <v>846</v>
      </c>
    </row>
    <row r="653" spans="1:7" x14ac:dyDescent="0.25">
      <c r="A653" t="s">
        <v>1213</v>
      </c>
      <c r="B653" s="3">
        <v>58003.199999999997</v>
      </c>
      <c r="C653" s="51">
        <v>45678</v>
      </c>
      <c r="D653" s="72">
        <v>43150</v>
      </c>
      <c r="E653" s="3" t="s">
        <v>842</v>
      </c>
    </row>
    <row r="654" spans="1:7" x14ac:dyDescent="0.25">
      <c r="A654" t="s">
        <v>1214</v>
      </c>
      <c r="B654" s="3">
        <v>259801.5</v>
      </c>
      <c r="C654" s="3">
        <v>16008</v>
      </c>
      <c r="D654" s="72">
        <v>43152</v>
      </c>
      <c r="E654" s="3" t="s">
        <v>849</v>
      </c>
    </row>
    <row r="655" spans="1:7" x14ac:dyDescent="0.25">
      <c r="B655" s="3">
        <f>SUM(B652:B654)</f>
        <v>561686.19999999995</v>
      </c>
      <c r="C655" s="3">
        <f>SUM(C652:C654)</f>
        <v>561686</v>
      </c>
      <c r="E655" s="3">
        <f>C655-B655</f>
        <v>-0.19999999995343387</v>
      </c>
      <c r="F655" s="72">
        <v>43152</v>
      </c>
      <c r="G655" s="72">
        <v>43152</v>
      </c>
    </row>
    <row r="657" spans="1:18" x14ac:dyDescent="0.25">
      <c r="A657" t="s">
        <v>1215</v>
      </c>
      <c r="B657" s="3">
        <v>257175</v>
      </c>
      <c r="C657" s="3">
        <v>99000</v>
      </c>
      <c r="D657" s="72">
        <v>43152</v>
      </c>
      <c r="E657" s="3" t="s">
        <v>1216</v>
      </c>
    </row>
    <row r="658" spans="1:18" x14ac:dyDescent="0.25">
      <c r="C658" s="3">
        <v>154000</v>
      </c>
      <c r="D658" s="72">
        <v>43152</v>
      </c>
      <c r="E658" s="3" t="s">
        <v>1216</v>
      </c>
    </row>
    <row r="659" spans="1:18" x14ac:dyDescent="0.25">
      <c r="C659" s="3">
        <v>4175</v>
      </c>
      <c r="D659" s="72">
        <v>43152</v>
      </c>
      <c r="E659" s="3" t="s">
        <v>849</v>
      </c>
    </row>
    <row r="660" spans="1:18" x14ac:dyDescent="0.25">
      <c r="B660" s="3">
        <f>SUM(B657:B659)</f>
        <v>257175</v>
      </c>
      <c r="C660" s="3">
        <f>SUM(C657:C659)</f>
        <v>257175</v>
      </c>
      <c r="E660" s="3">
        <f>C660-B660</f>
        <v>0</v>
      </c>
      <c r="F660" s="72">
        <v>43152</v>
      </c>
      <c r="G660" s="72">
        <v>43153</v>
      </c>
    </row>
    <row r="662" spans="1:18" x14ac:dyDescent="0.25">
      <c r="A662" t="s">
        <v>1217</v>
      </c>
      <c r="B662" s="3">
        <v>250420</v>
      </c>
      <c r="C662" s="3">
        <v>389000</v>
      </c>
      <c r="D662" s="72">
        <v>43153</v>
      </c>
      <c r="E662" s="3" t="s">
        <v>846</v>
      </c>
    </row>
    <row r="663" spans="1:18" x14ac:dyDescent="0.25">
      <c r="B663" s="3">
        <f>SUM(B662)</f>
        <v>250420</v>
      </c>
      <c r="C663" s="3">
        <f>SUM(C662)</f>
        <v>389000</v>
      </c>
      <c r="E663" s="63">
        <f>C663-B663</f>
        <v>138580</v>
      </c>
      <c r="F663" s="72">
        <v>43153</v>
      </c>
      <c r="G663" s="72">
        <v>43154</v>
      </c>
    </row>
    <row r="665" spans="1:18" x14ac:dyDescent="0.25">
      <c r="A665" t="s">
        <v>1218</v>
      </c>
      <c r="B665" s="3">
        <v>261060</v>
      </c>
      <c r="C665" s="3">
        <v>611000</v>
      </c>
      <c r="D665" s="72">
        <v>43155</v>
      </c>
      <c r="E665" s="3" t="s">
        <v>846</v>
      </c>
    </row>
    <row r="666" spans="1:18" x14ac:dyDescent="0.25">
      <c r="A666" t="s">
        <v>1219</v>
      </c>
      <c r="B666" s="3">
        <v>494868</v>
      </c>
      <c r="C666" s="63">
        <v>138580</v>
      </c>
      <c r="D666" s="72">
        <v>43153</v>
      </c>
      <c r="E666" s="3" t="s">
        <v>842</v>
      </c>
    </row>
    <row r="667" spans="1:18" x14ac:dyDescent="0.25">
      <c r="C667" s="3">
        <v>6348</v>
      </c>
      <c r="D667" s="72">
        <v>43155</v>
      </c>
      <c r="E667" s="3" t="s">
        <v>849</v>
      </c>
    </row>
    <row r="668" spans="1:18" x14ac:dyDescent="0.25">
      <c r="B668" s="3">
        <f>SUM(B665:B667)</f>
        <v>755928</v>
      </c>
      <c r="C668" s="3">
        <f>SUM(C665:C667)</f>
        <v>755928</v>
      </c>
      <c r="E668" s="3">
        <f>C668-B668</f>
        <v>0</v>
      </c>
      <c r="F668" s="72">
        <v>43155</v>
      </c>
      <c r="G668" s="72">
        <v>43155</v>
      </c>
    </row>
    <row r="670" spans="1:18" x14ac:dyDescent="0.25">
      <c r="A670" t="s">
        <v>1220</v>
      </c>
      <c r="B670" s="3">
        <v>424434</v>
      </c>
      <c r="C670" s="3">
        <v>391000</v>
      </c>
      <c r="D670" s="72">
        <v>43157</v>
      </c>
      <c r="E670" s="3" t="s">
        <v>846</v>
      </c>
    </row>
    <row r="671" spans="1:18" x14ac:dyDescent="0.25">
      <c r="C671" s="3">
        <v>33434</v>
      </c>
      <c r="D671" s="72">
        <v>43158</v>
      </c>
    </row>
    <row r="672" spans="1:18" x14ac:dyDescent="0.25">
      <c r="B672" s="3">
        <f>SUM(B670:B671)</f>
        <v>424434</v>
      </c>
      <c r="C672" s="3">
        <f>SUM(C670:C671)</f>
        <v>424434</v>
      </c>
      <c r="E672" s="3">
        <f>C672-B672</f>
        <v>0</v>
      </c>
      <c r="F672" s="72">
        <v>43157</v>
      </c>
      <c r="G672" s="72">
        <v>43159</v>
      </c>
      <c r="M672" t="s">
        <v>1221</v>
      </c>
      <c r="N672" t="s">
        <v>1222</v>
      </c>
      <c r="O672" t="s">
        <v>1223</v>
      </c>
      <c r="Q672" t="s">
        <v>1224</v>
      </c>
      <c r="R672" t="s">
        <v>1048</v>
      </c>
    </row>
    <row r="674" spans="1:14" x14ac:dyDescent="0.25">
      <c r="A674" t="s">
        <v>1225</v>
      </c>
      <c r="B674" s="3">
        <v>31452.6</v>
      </c>
      <c r="C674" s="3">
        <v>300000</v>
      </c>
      <c r="D674" s="72">
        <v>43158</v>
      </c>
      <c r="E674" s="3" t="s">
        <v>846</v>
      </c>
    </row>
    <row r="675" spans="1:14" x14ac:dyDescent="0.25">
      <c r="A675" t="s">
        <v>1226</v>
      </c>
      <c r="B675" s="3">
        <v>256794</v>
      </c>
    </row>
    <row r="676" spans="1:14" x14ac:dyDescent="0.25">
      <c r="B676" s="3">
        <f>SUM(B674:B675)</f>
        <v>288246.59999999998</v>
      </c>
      <c r="C676" s="3">
        <f>SUM(C674:C675)</f>
        <v>300000</v>
      </c>
      <c r="E676" s="101">
        <f>C676-B676</f>
        <v>11753.400000000023</v>
      </c>
      <c r="F676" s="72">
        <v>43158</v>
      </c>
      <c r="G676" s="72">
        <v>43159</v>
      </c>
    </row>
    <row r="678" spans="1:14" x14ac:dyDescent="0.25">
      <c r="A678" t="s">
        <v>1227</v>
      </c>
      <c r="B678" s="3">
        <v>261670</v>
      </c>
      <c r="C678" s="3">
        <v>250000</v>
      </c>
      <c r="D678" s="72">
        <v>43159</v>
      </c>
      <c r="E678" s="3" t="s">
        <v>846</v>
      </c>
    </row>
    <row r="679" spans="1:14" x14ac:dyDescent="0.25">
      <c r="C679" s="3">
        <v>11670</v>
      </c>
      <c r="D679" s="72">
        <v>43160</v>
      </c>
    </row>
    <row r="680" spans="1:14" x14ac:dyDescent="0.25">
      <c r="B680" s="3">
        <f>SUM(B678:B679)</f>
        <v>261670</v>
      </c>
      <c r="C680" s="3">
        <f>SUM(C678:C679)</f>
        <v>261670</v>
      </c>
      <c r="E680" s="3">
        <f>C680-B680</f>
        <v>0</v>
      </c>
      <c r="F680" s="72">
        <v>43159</v>
      </c>
      <c r="G680" s="72">
        <v>43161</v>
      </c>
    </row>
    <row r="681" spans="1:14" x14ac:dyDescent="0.25">
      <c r="L681" s="3"/>
      <c r="M681" s="72"/>
      <c r="N681" s="72"/>
    </row>
    <row r="682" spans="1:14" x14ac:dyDescent="0.25">
      <c r="A682" t="s">
        <v>1228</v>
      </c>
      <c r="B682" s="3">
        <v>425220</v>
      </c>
      <c r="C682" s="3">
        <v>547000</v>
      </c>
      <c r="D682" s="72">
        <v>43161</v>
      </c>
      <c r="E682" s="3" t="s">
        <v>846</v>
      </c>
    </row>
    <row r="683" spans="1:14" x14ac:dyDescent="0.25">
      <c r="B683" s="3">
        <f>SUM(B682)</f>
        <v>425220</v>
      </c>
      <c r="C683" s="3">
        <f>SUM(C682)</f>
        <v>547000</v>
      </c>
      <c r="E683" s="54">
        <f>C683-B683</f>
        <v>121780</v>
      </c>
      <c r="F683" s="72">
        <v>43161</v>
      </c>
      <c r="G683" s="72">
        <v>43161</v>
      </c>
    </row>
    <row r="685" spans="1:14" x14ac:dyDescent="0.25">
      <c r="A685" t="s">
        <v>1229</v>
      </c>
      <c r="B685" s="3">
        <v>235694</v>
      </c>
      <c r="C685" s="101">
        <v>11753</v>
      </c>
      <c r="D685" s="72">
        <v>43158</v>
      </c>
      <c r="E685" s="3" t="s">
        <v>842</v>
      </c>
    </row>
    <row r="686" spans="1:14" x14ac:dyDescent="0.25">
      <c r="C686" s="54">
        <v>121780</v>
      </c>
      <c r="D686" s="72">
        <v>43161</v>
      </c>
      <c r="E686" s="3" t="s">
        <v>842</v>
      </c>
    </row>
    <row r="687" spans="1:14" x14ac:dyDescent="0.25">
      <c r="C687" s="3">
        <v>33661</v>
      </c>
      <c r="D687" s="72">
        <v>43164</v>
      </c>
    </row>
    <row r="688" spans="1:14" x14ac:dyDescent="0.25">
      <c r="C688" s="3">
        <v>68500</v>
      </c>
      <c r="D688" s="72">
        <v>43160</v>
      </c>
    </row>
    <row r="689" spans="1:7" x14ac:dyDescent="0.25">
      <c r="B689" s="3">
        <f>SUM(B685:B688)</f>
        <v>235694</v>
      </c>
      <c r="C689" s="3">
        <f>SUM(C685:C688)</f>
        <v>235694</v>
      </c>
      <c r="E689" s="3">
        <f>C689-B689</f>
        <v>0</v>
      </c>
      <c r="F689" s="72">
        <v>43161</v>
      </c>
      <c r="G689" s="72">
        <v>43164</v>
      </c>
    </row>
    <row r="691" spans="1:7" x14ac:dyDescent="0.25">
      <c r="A691" t="s">
        <v>1230</v>
      </c>
      <c r="B691" s="3">
        <v>448876</v>
      </c>
      <c r="C691" s="3">
        <v>350000</v>
      </c>
      <c r="D691" s="72">
        <v>43164</v>
      </c>
      <c r="E691" s="3" t="s">
        <v>846</v>
      </c>
    </row>
    <row r="692" spans="1:7" x14ac:dyDescent="0.25">
      <c r="C692" s="3">
        <v>63000</v>
      </c>
      <c r="D692" s="72">
        <v>43162</v>
      </c>
    </row>
    <row r="693" spans="1:7" x14ac:dyDescent="0.25">
      <c r="C693" s="3">
        <v>24000</v>
      </c>
      <c r="D693" s="72">
        <v>43164</v>
      </c>
    </row>
    <row r="694" spans="1:7" x14ac:dyDescent="0.25">
      <c r="C694" s="3">
        <v>11876</v>
      </c>
      <c r="D694" s="72">
        <v>43164</v>
      </c>
    </row>
    <row r="695" spans="1:7" x14ac:dyDescent="0.25">
      <c r="B695" s="3">
        <f>SUM(B691:B694)</f>
        <v>448876</v>
      </c>
      <c r="C695" s="3">
        <f>SUM(C691:C694)</f>
        <v>448876</v>
      </c>
      <c r="E695" s="3">
        <f>C695-B695</f>
        <v>0</v>
      </c>
      <c r="F695" s="72">
        <v>43161</v>
      </c>
      <c r="G695" s="72">
        <v>43164</v>
      </c>
    </row>
    <row r="697" spans="1:7" x14ac:dyDescent="0.25">
      <c r="A697" t="s">
        <v>1231</v>
      </c>
      <c r="B697" s="3">
        <v>441216</v>
      </c>
      <c r="C697" s="3">
        <v>433000</v>
      </c>
      <c r="D697" s="72">
        <v>43164</v>
      </c>
      <c r="E697" s="3" t="s">
        <v>846</v>
      </c>
    </row>
    <row r="698" spans="1:7" x14ac:dyDescent="0.25">
      <c r="A698" t="s">
        <v>1232</v>
      </c>
      <c r="B698" s="3">
        <v>6911.72</v>
      </c>
      <c r="C698" s="3">
        <v>15161</v>
      </c>
      <c r="D698" s="72">
        <v>43161</v>
      </c>
      <c r="E698" s="3" t="s">
        <v>1233</v>
      </c>
    </row>
    <row r="699" spans="1:7" x14ac:dyDescent="0.25">
      <c r="A699" t="s">
        <v>1234</v>
      </c>
    </row>
    <row r="700" spans="1:7" x14ac:dyDescent="0.25">
      <c r="B700" s="3">
        <f>SUM(B697:B699)</f>
        <v>448127.72</v>
      </c>
      <c r="C700" s="3">
        <f>SUM(C697:C699)</f>
        <v>448161</v>
      </c>
      <c r="E700" s="94">
        <f>C700-B700</f>
        <v>33.28000000002794</v>
      </c>
      <c r="F700" s="72">
        <v>43164</v>
      </c>
      <c r="G700" s="72">
        <v>43164</v>
      </c>
    </row>
    <row r="702" spans="1:7" x14ac:dyDescent="0.25">
      <c r="A702" t="s">
        <v>1235</v>
      </c>
      <c r="B702" s="3">
        <v>223559</v>
      </c>
      <c r="C702" s="3">
        <v>380000</v>
      </c>
      <c r="D702" s="72">
        <v>43165</v>
      </c>
      <c r="E702" s="3" t="s">
        <v>846</v>
      </c>
    </row>
    <row r="703" spans="1:7" x14ac:dyDescent="0.25">
      <c r="B703" s="3">
        <f>SUM(B702)</f>
        <v>223559</v>
      </c>
      <c r="C703" s="3">
        <f>SUM(C702)</f>
        <v>380000</v>
      </c>
      <c r="E703" s="63">
        <f>C703-B703</f>
        <v>156441</v>
      </c>
      <c r="F703" s="72">
        <v>43165</v>
      </c>
    </row>
    <row r="705" spans="1:7" x14ac:dyDescent="0.25">
      <c r="A705" t="s">
        <v>1236</v>
      </c>
      <c r="B705" s="3">
        <v>433960</v>
      </c>
      <c r="C705" s="3">
        <v>270000</v>
      </c>
      <c r="D705" s="72">
        <v>43166</v>
      </c>
      <c r="E705" s="3" t="s">
        <v>846</v>
      </c>
    </row>
    <row r="706" spans="1:7" x14ac:dyDescent="0.25">
      <c r="C706" s="94">
        <v>33.299999999999997</v>
      </c>
      <c r="D706" s="72">
        <v>43164</v>
      </c>
      <c r="E706" s="3" t="s">
        <v>842</v>
      </c>
    </row>
    <row r="707" spans="1:7" x14ac:dyDescent="0.25">
      <c r="C707" s="63">
        <v>156441</v>
      </c>
      <c r="D707" s="72">
        <v>43165</v>
      </c>
      <c r="E707" s="3" t="s">
        <v>842</v>
      </c>
    </row>
    <row r="708" spans="1:7" x14ac:dyDescent="0.25">
      <c r="C708" s="3">
        <v>6022</v>
      </c>
      <c r="D708" s="72">
        <v>43164</v>
      </c>
      <c r="E708" s="3" t="s">
        <v>1237</v>
      </c>
    </row>
    <row r="709" spans="1:7" x14ac:dyDescent="0.25">
      <c r="C709" s="3">
        <v>3841</v>
      </c>
      <c r="D709" s="72">
        <v>43165</v>
      </c>
      <c r="E709" s="3" t="s">
        <v>1238</v>
      </c>
    </row>
    <row r="710" spans="1:7" x14ac:dyDescent="0.25">
      <c r="C710" s="3">
        <v>5848</v>
      </c>
      <c r="D710" s="72">
        <v>43164</v>
      </c>
      <c r="E710" s="3" t="s">
        <v>1239</v>
      </c>
    </row>
    <row r="711" spans="1:7" x14ac:dyDescent="0.25">
      <c r="B711" s="3">
        <f>SUM(B705:B710)</f>
        <v>433960</v>
      </c>
      <c r="C711" s="3">
        <f>SUM(C705:C710)</f>
        <v>442185.3</v>
      </c>
      <c r="E711" s="54">
        <f>C711-B711</f>
        <v>8225.2999999999884</v>
      </c>
      <c r="F711" s="72">
        <v>43166</v>
      </c>
      <c r="G711" s="72">
        <v>43167</v>
      </c>
    </row>
    <row r="713" spans="1:7" x14ac:dyDescent="0.25">
      <c r="A713" t="s">
        <v>1240</v>
      </c>
      <c r="B713" s="3">
        <v>225848</v>
      </c>
      <c r="C713" s="3">
        <v>180000</v>
      </c>
      <c r="D713" s="72">
        <v>43167</v>
      </c>
      <c r="E713" s="3" t="s">
        <v>846</v>
      </c>
    </row>
    <row r="714" spans="1:7" x14ac:dyDescent="0.25">
      <c r="C714" s="54">
        <v>8225.2999999999993</v>
      </c>
      <c r="D714" s="72">
        <v>43166</v>
      </c>
      <c r="E714" s="3" t="s">
        <v>842</v>
      </c>
    </row>
    <row r="715" spans="1:7" x14ac:dyDescent="0.25">
      <c r="C715" s="3">
        <v>5793</v>
      </c>
      <c r="D715" s="72">
        <v>43166</v>
      </c>
      <c r="E715" s="3" t="s">
        <v>1241</v>
      </c>
    </row>
    <row r="716" spans="1:7" x14ac:dyDescent="0.25">
      <c r="C716" s="3">
        <v>31830</v>
      </c>
      <c r="D716" s="72">
        <v>43167</v>
      </c>
    </row>
    <row r="717" spans="1:7" x14ac:dyDescent="0.25">
      <c r="B717" s="3">
        <f>SUM(B713:B716)</f>
        <v>225848</v>
      </c>
      <c r="C717" s="3">
        <f>SUM(C713:C716)</f>
        <v>225848.3</v>
      </c>
      <c r="E717" s="3">
        <f>C717-B717</f>
        <v>0.29999999998835847</v>
      </c>
      <c r="F717" s="72">
        <v>43167</v>
      </c>
      <c r="G717" s="72">
        <v>43167</v>
      </c>
    </row>
    <row r="719" spans="1:7" x14ac:dyDescent="0.25">
      <c r="A719" t="s">
        <v>1242</v>
      </c>
      <c r="B719" s="3">
        <v>447640</v>
      </c>
      <c r="C719" s="3">
        <v>610000</v>
      </c>
      <c r="D719" s="72">
        <v>43169</v>
      </c>
      <c r="E719" s="3" t="s">
        <v>846</v>
      </c>
    </row>
    <row r="720" spans="1:7" x14ac:dyDescent="0.25">
      <c r="B720" s="3">
        <f>SUM(B719)</f>
        <v>447640</v>
      </c>
      <c r="C720" s="3">
        <f>SUM(C719)</f>
        <v>610000</v>
      </c>
      <c r="E720" s="99">
        <f>C720-B720</f>
        <v>162360</v>
      </c>
      <c r="F720" s="72">
        <v>43169</v>
      </c>
      <c r="G720" s="72">
        <v>43171</v>
      </c>
    </row>
    <row r="722" spans="1:10" x14ac:dyDescent="0.25">
      <c r="A722" t="s">
        <v>1243</v>
      </c>
      <c r="B722" s="3">
        <v>456057</v>
      </c>
      <c r="C722" s="3">
        <v>458000</v>
      </c>
      <c r="D722" s="72">
        <v>43171</v>
      </c>
    </row>
    <row r="723" spans="1:10" x14ac:dyDescent="0.25">
      <c r="B723" s="3">
        <f>SUM(B722)</f>
        <v>456057</v>
      </c>
      <c r="C723" s="3">
        <f>SUM(C722)</f>
        <v>458000</v>
      </c>
      <c r="E723" s="102">
        <f>C723-B723</f>
        <v>1943</v>
      </c>
      <c r="F723" s="72">
        <v>43171</v>
      </c>
      <c r="G723" s="72">
        <v>43171</v>
      </c>
    </row>
    <row r="725" spans="1:10" x14ac:dyDescent="0.25">
      <c r="A725" t="s">
        <v>1244</v>
      </c>
      <c r="B725" s="3">
        <v>17236.400000000001</v>
      </c>
      <c r="C725" s="102">
        <v>1943</v>
      </c>
      <c r="D725" s="72">
        <v>43171</v>
      </c>
      <c r="E725" s="3" t="s">
        <v>842</v>
      </c>
    </row>
    <row r="726" spans="1:10" x14ac:dyDescent="0.25">
      <c r="A726" t="s">
        <v>1245</v>
      </c>
      <c r="B726" s="3">
        <v>444980</v>
      </c>
      <c r="C726" s="86">
        <v>43427</v>
      </c>
      <c r="D726" s="72">
        <v>43106</v>
      </c>
      <c r="E726" s="3" t="s">
        <v>842</v>
      </c>
      <c r="H726" s="86">
        <v>43427</v>
      </c>
      <c r="I726" s="72">
        <v>43106</v>
      </c>
      <c r="J726" s="72">
        <v>43106</v>
      </c>
    </row>
    <row r="727" spans="1:10" x14ac:dyDescent="0.25">
      <c r="C727" s="3">
        <v>9861</v>
      </c>
      <c r="D727" s="72">
        <v>43172</v>
      </c>
      <c r="E727" s="3" t="s">
        <v>1246</v>
      </c>
    </row>
    <row r="728" spans="1:10" x14ac:dyDescent="0.25">
      <c r="C728" s="3">
        <v>5663</v>
      </c>
      <c r="D728" s="72">
        <v>43172</v>
      </c>
      <c r="E728" s="3" t="s">
        <v>1247</v>
      </c>
    </row>
    <row r="729" spans="1:10" x14ac:dyDescent="0.25">
      <c r="C729" s="3">
        <v>4203</v>
      </c>
      <c r="D729" s="72">
        <v>43171</v>
      </c>
      <c r="E729" s="3" t="s">
        <v>1248</v>
      </c>
    </row>
    <row r="730" spans="1:10" x14ac:dyDescent="0.25">
      <c r="C730" s="3">
        <v>352000</v>
      </c>
      <c r="D730" s="72">
        <v>43172</v>
      </c>
      <c r="E730" s="3" t="s">
        <v>846</v>
      </c>
    </row>
    <row r="731" spans="1:10" x14ac:dyDescent="0.25">
      <c r="C731" s="3">
        <v>45119</v>
      </c>
      <c r="D731" s="72">
        <v>43173</v>
      </c>
    </row>
    <row r="732" spans="1:10" x14ac:dyDescent="0.25">
      <c r="B732" s="3">
        <f>SUM(B725:B731)</f>
        <v>462216.4</v>
      </c>
      <c r="C732" s="3">
        <f>SUM(C725:C731)</f>
        <v>462216</v>
      </c>
      <c r="E732" s="3">
        <f>C732-B732</f>
        <v>-0.40000000002328306</v>
      </c>
      <c r="F732" s="72">
        <v>43172</v>
      </c>
      <c r="G732" s="72">
        <v>43173</v>
      </c>
    </row>
    <row r="734" spans="1:10" x14ac:dyDescent="0.25">
      <c r="A734" t="s">
        <v>1249</v>
      </c>
      <c r="B734" s="3">
        <v>18721.8</v>
      </c>
      <c r="C734" s="3">
        <v>328000</v>
      </c>
      <c r="D734" s="72">
        <v>43173</v>
      </c>
      <c r="E734" s="3" t="s">
        <v>846</v>
      </c>
    </row>
    <row r="735" spans="1:10" x14ac:dyDescent="0.25">
      <c r="A735" t="s">
        <v>1250</v>
      </c>
      <c r="B735" s="3">
        <v>231189</v>
      </c>
      <c r="C735" s="3">
        <v>190000</v>
      </c>
      <c r="D735" s="72">
        <v>43174</v>
      </c>
      <c r="E735" s="3" t="s">
        <v>846</v>
      </c>
    </row>
    <row r="736" spans="1:10" x14ac:dyDescent="0.25">
      <c r="A736" t="s">
        <v>1251</v>
      </c>
      <c r="B736" s="3">
        <v>247269</v>
      </c>
    </row>
    <row r="737" spans="1:7" x14ac:dyDescent="0.25">
      <c r="B737" s="3">
        <f>SUM(B734:B736)</f>
        <v>497179.8</v>
      </c>
      <c r="C737" s="3">
        <f>SUM(C734:C736)</f>
        <v>518000</v>
      </c>
      <c r="E737" s="51">
        <f>C737-B737</f>
        <v>20820.200000000012</v>
      </c>
      <c r="F737" s="72">
        <v>43174</v>
      </c>
      <c r="G737" s="72">
        <v>43175</v>
      </c>
    </row>
    <row r="739" spans="1:7" x14ac:dyDescent="0.25">
      <c r="A739" t="s">
        <v>1252</v>
      </c>
      <c r="B739" s="3">
        <v>228518.5</v>
      </c>
      <c r="C739" s="3">
        <v>189000</v>
      </c>
      <c r="D739" s="72">
        <v>43175</v>
      </c>
      <c r="E739" s="3" t="s">
        <v>846</v>
      </c>
    </row>
    <row r="740" spans="1:7" x14ac:dyDescent="0.25">
      <c r="C740" s="3">
        <v>6261</v>
      </c>
      <c r="D740" s="72">
        <v>43174</v>
      </c>
      <c r="E740" s="3" t="s">
        <v>1253</v>
      </c>
    </row>
    <row r="741" spans="1:7" x14ac:dyDescent="0.25">
      <c r="C741" s="51">
        <v>20820.2</v>
      </c>
      <c r="D741" s="72">
        <v>43174</v>
      </c>
      <c r="E741" s="3" t="s">
        <v>842</v>
      </c>
    </row>
    <row r="742" spans="1:7" x14ac:dyDescent="0.25">
      <c r="C742" s="3">
        <v>18000</v>
      </c>
      <c r="D742" s="72">
        <v>43173</v>
      </c>
      <c r="E742" s="3" t="s">
        <v>1254</v>
      </c>
    </row>
    <row r="743" spans="1:7" x14ac:dyDescent="0.25">
      <c r="B743" s="3">
        <f>SUM(B739:B742)</f>
        <v>228518.5</v>
      </c>
      <c r="C743" s="3">
        <f>SUM(C739:C742)</f>
        <v>234081.2</v>
      </c>
      <c r="E743" s="83">
        <f>C743-B743</f>
        <v>5562.7000000000116</v>
      </c>
      <c r="F743" s="72">
        <v>43175</v>
      </c>
      <c r="G743" s="72">
        <v>43175</v>
      </c>
    </row>
    <row r="745" spans="1:7" x14ac:dyDescent="0.25">
      <c r="A745" t="s">
        <v>1255</v>
      </c>
      <c r="B745" s="3">
        <v>419436</v>
      </c>
      <c r="C745" s="83">
        <v>5562.5</v>
      </c>
      <c r="D745" s="72">
        <v>43175</v>
      </c>
      <c r="E745" s="3" t="s">
        <v>842</v>
      </c>
    </row>
    <row r="746" spans="1:7" x14ac:dyDescent="0.25">
      <c r="C746" s="3">
        <v>40873</v>
      </c>
      <c r="D746" s="72">
        <v>43176</v>
      </c>
      <c r="E746" s="3" t="s">
        <v>849</v>
      </c>
    </row>
    <row r="747" spans="1:7" x14ac:dyDescent="0.25">
      <c r="C747" s="3">
        <v>373000</v>
      </c>
      <c r="D747" s="72">
        <v>43176</v>
      </c>
      <c r="E747" s="3" t="s">
        <v>846</v>
      </c>
    </row>
    <row r="748" spans="1:7" x14ac:dyDescent="0.25">
      <c r="B748" s="3">
        <f>SUM(B745:B747)</f>
        <v>419436</v>
      </c>
      <c r="C748" s="3">
        <f>SUM(C745:C747)</f>
        <v>419435.5</v>
      </c>
      <c r="E748" s="3">
        <f>C748-B748</f>
        <v>-0.5</v>
      </c>
      <c r="F748" s="72">
        <v>43176</v>
      </c>
      <c r="G748" s="72">
        <v>43176</v>
      </c>
    </row>
    <row r="750" spans="1:7" x14ac:dyDescent="0.25">
      <c r="A750" t="s">
        <v>1256</v>
      </c>
      <c r="B750" s="3">
        <v>448818</v>
      </c>
      <c r="C750" s="3">
        <v>896000</v>
      </c>
      <c r="D750" s="72">
        <v>43179</v>
      </c>
      <c r="E750" s="3" t="s">
        <v>846</v>
      </c>
    </row>
    <row r="751" spans="1:7" x14ac:dyDescent="0.25">
      <c r="A751" t="s">
        <v>1257</v>
      </c>
      <c r="B751" s="3">
        <v>438150</v>
      </c>
    </row>
    <row r="752" spans="1:7" x14ac:dyDescent="0.25">
      <c r="B752" s="3">
        <f>SUM(B750:B751)</f>
        <v>886968</v>
      </c>
      <c r="C752" s="3">
        <f>SUM(C750:C751)</f>
        <v>896000</v>
      </c>
      <c r="E752" s="50">
        <f>C752-B752</f>
        <v>9032</v>
      </c>
      <c r="F752" s="72">
        <v>43179</v>
      </c>
      <c r="G752" s="72">
        <v>43180</v>
      </c>
    </row>
    <row r="754" spans="1:7" x14ac:dyDescent="0.25">
      <c r="A754" t="s">
        <v>1258</v>
      </c>
      <c r="B754" s="3">
        <v>216976</v>
      </c>
      <c r="C754" s="3">
        <v>240000</v>
      </c>
      <c r="D754" s="72">
        <v>43180</v>
      </c>
      <c r="E754" s="3" t="s">
        <v>846</v>
      </c>
    </row>
    <row r="755" spans="1:7" x14ac:dyDescent="0.25">
      <c r="B755" s="3">
        <f>SUM(B754)</f>
        <v>216976</v>
      </c>
      <c r="C755" s="3">
        <f>SUM(C754)</f>
        <v>240000</v>
      </c>
      <c r="E755" s="63">
        <f>C755-B755</f>
        <v>23024</v>
      </c>
      <c r="F755" s="72">
        <v>43180</v>
      </c>
      <c r="G755" s="72">
        <v>43181</v>
      </c>
    </row>
    <row r="757" spans="1:7" x14ac:dyDescent="0.25">
      <c r="A757" t="s">
        <v>1259</v>
      </c>
      <c r="B757" s="3">
        <v>29328.400000000001</v>
      </c>
      <c r="C757" s="3">
        <v>359000</v>
      </c>
      <c r="D757" s="72">
        <v>43181</v>
      </c>
      <c r="E757" s="3" t="s">
        <v>846</v>
      </c>
    </row>
    <row r="758" spans="1:7" x14ac:dyDescent="0.25">
      <c r="A758" t="s">
        <v>1260</v>
      </c>
      <c r="B758" s="3">
        <v>257556</v>
      </c>
    </row>
    <row r="759" spans="1:7" x14ac:dyDescent="0.25">
      <c r="B759" s="3">
        <f>SUM(B757:B758)</f>
        <v>286884.40000000002</v>
      </c>
      <c r="C759" s="3">
        <f>SUM(C757:C758)</f>
        <v>359000</v>
      </c>
      <c r="E759" s="99">
        <f>C759-B759</f>
        <v>72115.599999999977</v>
      </c>
      <c r="F759" s="72">
        <v>43181</v>
      </c>
      <c r="G759" s="72">
        <v>43181</v>
      </c>
    </row>
    <row r="761" spans="1:7" x14ac:dyDescent="0.25">
      <c r="A761" t="s">
        <v>1261</v>
      </c>
      <c r="B761" s="3">
        <v>465963</v>
      </c>
      <c r="C761" s="3">
        <v>580000</v>
      </c>
      <c r="D761" s="72">
        <v>43183</v>
      </c>
      <c r="E761" s="3" t="s">
        <v>846</v>
      </c>
    </row>
    <row r="762" spans="1:7" x14ac:dyDescent="0.25">
      <c r="A762" t="s">
        <v>1262</v>
      </c>
      <c r="B762" s="3">
        <v>238887</v>
      </c>
      <c r="C762" s="99">
        <v>72115.600000000006</v>
      </c>
      <c r="D762" s="72">
        <v>43181</v>
      </c>
      <c r="E762" s="3" t="s">
        <v>842</v>
      </c>
    </row>
    <row r="763" spans="1:7" x14ac:dyDescent="0.25">
      <c r="C763" s="63">
        <v>23024</v>
      </c>
      <c r="D763" s="72">
        <v>43180</v>
      </c>
      <c r="E763" s="3" t="s">
        <v>842</v>
      </c>
    </row>
    <row r="764" spans="1:7" x14ac:dyDescent="0.25">
      <c r="C764" s="50">
        <v>9032</v>
      </c>
      <c r="D764" s="72">
        <v>43180</v>
      </c>
      <c r="E764" s="3" t="s">
        <v>842</v>
      </c>
    </row>
    <row r="765" spans="1:7" x14ac:dyDescent="0.25">
      <c r="C765" s="3">
        <v>24872</v>
      </c>
      <c r="D765" s="72">
        <v>43181</v>
      </c>
      <c r="E765" s="3" t="s">
        <v>1263</v>
      </c>
    </row>
    <row r="766" spans="1:7" x14ac:dyDescent="0.25">
      <c r="B766" s="3">
        <f>SUM(B761:B765)</f>
        <v>704850</v>
      </c>
      <c r="C766" s="3">
        <f>SUM(C761:C765)</f>
        <v>709043.6</v>
      </c>
      <c r="E766" s="91">
        <f>C766-B766</f>
        <v>4193.5999999999767</v>
      </c>
      <c r="F766" s="72">
        <v>43183</v>
      </c>
      <c r="G766" s="72">
        <v>43183</v>
      </c>
    </row>
    <row r="768" spans="1:7" x14ac:dyDescent="0.25">
      <c r="A768" t="s">
        <v>1264</v>
      </c>
      <c r="B768" s="3">
        <v>447118</v>
      </c>
      <c r="C768" s="3">
        <v>179000</v>
      </c>
      <c r="D768" s="72">
        <v>43185</v>
      </c>
      <c r="E768" s="3" t="s">
        <v>846</v>
      </c>
    </row>
    <row r="769" spans="1:14" x14ac:dyDescent="0.25">
      <c r="C769" s="3">
        <v>226000</v>
      </c>
      <c r="D769" s="72">
        <v>43185</v>
      </c>
      <c r="E769" s="3" t="s">
        <v>846</v>
      </c>
    </row>
    <row r="770" spans="1:14" x14ac:dyDescent="0.25">
      <c r="C770" s="3">
        <v>5881</v>
      </c>
      <c r="D770" s="72">
        <v>43181</v>
      </c>
      <c r="E770" s="3" t="s">
        <v>1265</v>
      </c>
    </row>
    <row r="771" spans="1:14" x14ac:dyDescent="0.25">
      <c r="C771" s="3">
        <v>5975</v>
      </c>
      <c r="D771" s="72">
        <v>43175</v>
      </c>
      <c r="E771" s="3" t="s">
        <v>1266</v>
      </c>
    </row>
    <row r="772" spans="1:14" x14ac:dyDescent="0.25">
      <c r="C772" s="3">
        <v>30262</v>
      </c>
      <c r="D772" s="72">
        <v>43158</v>
      </c>
    </row>
    <row r="773" spans="1:14" x14ac:dyDescent="0.25">
      <c r="B773" s="3">
        <f>SUM(B768:B772)</f>
        <v>447118</v>
      </c>
      <c r="C773" s="3">
        <f>SUM(C768:C772)</f>
        <v>447118</v>
      </c>
      <c r="E773" s="3">
        <f>C773-B773</f>
        <v>0</v>
      </c>
      <c r="F773" s="72">
        <v>43185</v>
      </c>
      <c r="G773" s="72">
        <v>43187</v>
      </c>
    </row>
    <row r="775" spans="1:14" x14ac:dyDescent="0.25">
      <c r="A775" t="s">
        <v>1267</v>
      </c>
      <c r="B775" s="3">
        <v>446355</v>
      </c>
      <c r="C775" s="3">
        <v>483000</v>
      </c>
      <c r="D775" s="72">
        <v>43187</v>
      </c>
      <c r="E775" s="3" t="s">
        <v>846</v>
      </c>
    </row>
    <row r="776" spans="1:14" x14ac:dyDescent="0.25">
      <c r="B776" s="3">
        <f>SUM(B775)</f>
        <v>446355</v>
      </c>
      <c r="C776" s="3">
        <f>SUM(C775)</f>
        <v>483000</v>
      </c>
      <c r="E776" s="83">
        <f>C776-B776</f>
        <v>36645</v>
      </c>
      <c r="F776" s="72">
        <v>43187</v>
      </c>
      <c r="G776" s="72">
        <v>43188</v>
      </c>
    </row>
    <row r="778" spans="1:14" x14ac:dyDescent="0.25">
      <c r="A778" t="s">
        <v>1268</v>
      </c>
      <c r="B778" s="3">
        <v>35762.400000000001</v>
      </c>
      <c r="C778" s="91">
        <v>4193.6000000000004</v>
      </c>
      <c r="D778" s="72">
        <v>43183</v>
      </c>
      <c r="E778" s="3" t="s">
        <v>842</v>
      </c>
      <c r="L778" s="62"/>
      <c r="M778" s="72"/>
      <c r="N778" s="72"/>
    </row>
    <row r="779" spans="1:14" x14ac:dyDescent="0.25">
      <c r="C779" s="3">
        <v>7036</v>
      </c>
      <c r="D779" s="72">
        <v>43187</v>
      </c>
      <c r="E779" s="3" t="s">
        <v>1269</v>
      </c>
    </row>
    <row r="780" spans="1:14" x14ac:dyDescent="0.25">
      <c r="C780" s="3">
        <v>8206</v>
      </c>
      <c r="D780" s="72">
        <v>43186</v>
      </c>
      <c r="E780" s="3" t="s">
        <v>1270</v>
      </c>
    </row>
    <row r="781" spans="1:14" x14ac:dyDescent="0.25">
      <c r="C781" s="3">
        <v>16327</v>
      </c>
    </row>
    <row r="782" spans="1:14" x14ac:dyDescent="0.25">
      <c r="B782" s="3">
        <f>SUM(B778:B781)</f>
        <v>35762.400000000001</v>
      </c>
      <c r="C782" s="3">
        <f>SUM(C778:C781)</f>
        <v>35762.6</v>
      </c>
      <c r="E782" s="3">
        <f>C782-B782</f>
        <v>0.19999999999708962</v>
      </c>
      <c r="F782" s="72">
        <v>43188</v>
      </c>
      <c r="G782" s="72">
        <v>43188</v>
      </c>
    </row>
    <row r="784" spans="1:14" x14ac:dyDescent="0.25">
      <c r="A784" t="s">
        <v>1271</v>
      </c>
      <c r="B784" s="3">
        <v>434147</v>
      </c>
      <c r="C784" s="3">
        <v>996000</v>
      </c>
      <c r="D784" s="72">
        <v>43192</v>
      </c>
      <c r="E784" s="3" t="s">
        <v>846</v>
      </c>
    </row>
    <row r="785" spans="1:7" x14ac:dyDescent="0.25">
      <c r="B785" s="3">
        <f>SUM(B784)</f>
        <v>434147</v>
      </c>
      <c r="C785" s="3">
        <f>SUM(C784)</f>
        <v>996000</v>
      </c>
      <c r="E785" s="86">
        <f>C785-B785</f>
        <v>561853</v>
      </c>
      <c r="F785" s="72">
        <v>43192</v>
      </c>
      <c r="G785" s="72">
        <v>43194</v>
      </c>
    </row>
    <row r="787" spans="1:7" x14ac:dyDescent="0.25">
      <c r="A787" t="s">
        <v>1272</v>
      </c>
      <c r="B787" s="3">
        <v>17072.400000000001</v>
      </c>
      <c r="C787" s="3">
        <v>744000</v>
      </c>
      <c r="D787" s="72">
        <v>43193</v>
      </c>
      <c r="E787" s="3" t="s">
        <v>846</v>
      </c>
    </row>
    <row r="788" spans="1:7" x14ac:dyDescent="0.25">
      <c r="A788" t="s">
        <v>1273</v>
      </c>
      <c r="B788" s="3">
        <v>913769</v>
      </c>
      <c r="C788" s="3">
        <v>55000</v>
      </c>
      <c r="D788" s="72">
        <v>43188</v>
      </c>
      <c r="E788" s="3" t="s">
        <v>934</v>
      </c>
    </row>
    <row r="789" spans="1:7" x14ac:dyDescent="0.25">
      <c r="A789" t="s">
        <v>1274</v>
      </c>
      <c r="B789" s="3">
        <v>224438</v>
      </c>
      <c r="C789" s="3">
        <v>101300</v>
      </c>
      <c r="D789" s="72">
        <v>43188</v>
      </c>
      <c r="E789" s="3" t="s">
        <v>934</v>
      </c>
    </row>
    <row r="790" spans="1:7" x14ac:dyDescent="0.25">
      <c r="C790" s="3">
        <v>32170</v>
      </c>
      <c r="D790" s="72">
        <v>43193</v>
      </c>
    </row>
    <row r="791" spans="1:7" x14ac:dyDescent="0.25">
      <c r="C791" s="83">
        <v>36645</v>
      </c>
      <c r="D791" s="72">
        <v>43187</v>
      </c>
      <c r="E791" s="3" t="s">
        <v>842</v>
      </c>
    </row>
    <row r="792" spans="1:7" x14ac:dyDescent="0.25">
      <c r="C792" s="99">
        <v>162360</v>
      </c>
      <c r="D792" s="72">
        <v>43169</v>
      </c>
      <c r="E792" s="3" t="s">
        <v>842</v>
      </c>
    </row>
    <row r="793" spans="1:7" x14ac:dyDescent="0.25">
      <c r="C793" s="3">
        <v>41470</v>
      </c>
      <c r="D793" s="72">
        <v>43194</v>
      </c>
    </row>
    <row r="794" spans="1:7" x14ac:dyDescent="0.25">
      <c r="B794" s="3">
        <f>SUM(B787:B793)</f>
        <v>1155279.3999999999</v>
      </c>
      <c r="C794" s="3">
        <f>SUM(C787:C793)</f>
        <v>1172945</v>
      </c>
      <c r="E794" s="103">
        <f>C794-B794</f>
        <v>17665.600000000093</v>
      </c>
      <c r="F794" s="72">
        <v>43193</v>
      </c>
      <c r="G794" s="72">
        <v>43194</v>
      </c>
    </row>
    <row r="796" spans="1:7" x14ac:dyDescent="0.25">
      <c r="A796" t="s">
        <v>1275</v>
      </c>
      <c r="B796" s="3">
        <v>24985</v>
      </c>
      <c r="C796" s="3">
        <v>322000</v>
      </c>
      <c r="D796" s="72">
        <v>43194</v>
      </c>
      <c r="E796" s="3" t="s">
        <v>846</v>
      </c>
    </row>
    <row r="797" spans="1:7" x14ac:dyDescent="0.25">
      <c r="A797" t="s">
        <v>1276</v>
      </c>
      <c r="B797" s="3">
        <v>228900</v>
      </c>
    </row>
    <row r="798" spans="1:7" x14ac:dyDescent="0.25">
      <c r="B798" s="3">
        <f>SUM(B796:B797)</f>
        <v>253885</v>
      </c>
      <c r="C798" s="3">
        <f>SUM(C796:C797)</f>
        <v>322000</v>
      </c>
      <c r="E798" s="95">
        <f>C798-B798</f>
        <v>68115</v>
      </c>
      <c r="F798" s="72">
        <v>43194</v>
      </c>
      <c r="G798" s="72">
        <v>43195</v>
      </c>
    </row>
    <row r="800" spans="1:7" x14ac:dyDescent="0.25">
      <c r="A800" t="s">
        <v>1277</v>
      </c>
      <c r="B800" s="3">
        <v>416542.5</v>
      </c>
      <c r="C800" s="3">
        <v>304000</v>
      </c>
      <c r="D800" s="72">
        <v>43198</v>
      </c>
      <c r="E800" s="3" t="s">
        <v>846</v>
      </c>
    </row>
    <row r="801" spans="1:7" x14ac:dyDescent="0.25">
      <c r="A801" t="s">
        <v>1278</v>
      </c>
      <c r="B801" s="3">
        <v>12030.4</v>
      </c>
      <c r="C801" s="95">
        <v>68115</v>
      </c>
      <c r="D801" s="72">
        <v>43194</v>
      </c>
      <c r="E801" s="3" t="s">
        <v>842</v>
      </c>
    </row>
    <row r="802" spans="1:7" x14ac:dyDescent="0.25">
      <c r="C802" s="103">
        <v>17665.599999999999</v>
      </c>
      <c r="D802" s="72">
        <v>43193</v>
      </c>
      <c r="E802" s="3" t="s">
        <v>842</v>
      </c>
    </row>
    <row r="803" spans="1:7" x14ac:dyDescent="0.25">
      <c r="C803" s="3">
        <v>42150</v>
      </c>
      <c r="D803" s="72">
        <v>43195</v>
      </c>
    </row>
    <row r="804" spans="1:7" x14ac:dyDescent="0.25">
      <c r="B804" s="3">
        <f>SUM(B800:B803)</f>
        <v>428572.9</v>
      </c>
      <c r="C804" s="3">
        <f>SUM(C800:C803)</f>
        <v>431930.6</v>
      </c>
      <c r="E804" s="104">
        <f>C804-B804</f>
        <v>3357.6999999999534</v>
      </c>
      <c r="F804" s="72">
        <v>43195</v>
      </c>
      <c r="G804" s="72">
        <v>43196</v>
      </c>
    </row>
    <row r="806" spans="1:7" x14ac:dyDescent="0.25">
      <c r="A806" t="s">
        <v>1279</v>
      </c>
      <c r="B806" s="3">
        <v>423828</v>
      </c>
      <c r="C806" s="3">
        <v>463000</v>
      </c>
      <c r="D806" s="72">
        <v>43196</v>
      </c>
      <c r="E806" s="3" t="s">
        <v>846</v>
      </c>
    </row>
    <row r="807" spans="1:7" x14ac:dyDescent="0.25">
      <c r="B807" s="3">
        <f>SUM(B806)</f>
        <v>423828</v>
      </c>
      <c r="C807" s="3">
        <f>SUM(C806)</f>
        <v>463000</v>
      </c>
      <c r="E807" s="54">
        <f>C807-B807</f>
        <v>39172</v>
      </c>
      <c r="F807" s="72">
        <v>43196</v>
      </c>
      <c r="G807" s="72">
        <v>43197</v>
      </c>
    </row>
    <row r="809" spans="1:7" x14ac:dyDescent="0.25">
      <c r="A809" t="s">
        <v>1280</v>
      </c>
      <c r="B809" s="3">
        <v>36403.199999999997</v>
      </c>
      <c r="C809" s="3">
        <v>290000</v>
      </c>
      <c r="D809" s="72">
        <v>43197</v>
      </c>
      <c r="E809" s="3" t="s">
        <v>846</v>
      </c>
    </row>
    <row r="810" spans="1:7" x14ac:dyDescent="0.25">
      <c r="A810" t="s">
        <v>1281</v>
      </c>
      <c r="B810" s="3">
        <v>224840</v>
      </c>
      <c r="C810" s="104">
        <v>3357.7</v>
      </c>
      <c r="D810" s="72">
        <v>43195</v>
      </c>
      <c r="E810" s="3" t="s">
        <v>842</v>
      </c>
    </row>
    <row r="811" spans="1:7" x14ac:dyDescent="0.25">
      <c r="A811" t="s">
        <v>1282</v>
      </c>
      <c r="B811" s="3">
        <v>30852</v>
      </c>
    </row>
    <row r="812" spans="1:7" x14ac:dyDescent="0.25">
      <c r="B812" s="3">
        <f>SUM(B809:B811)</f>
        <v>292095.2</v>
      </c>
      <c r="C812" s="3">
        <f>SUM(C809:C811)</f>
        <v>293357.7</v>
      </c>
      <c r="E812" s="83">
        <f>C812-B812</f>
        <v>1262.5</v>
      </c>
      <c r="F812" s="72">
        <v>43197</v>
      </c>
      <c r="G812" s="72">
        <v>43197</v>
      </c>
    </row>
    <row r="814" spans="1:7" x14ac:dyDescent="0.25">
      <c r="A814" t="s">
        <v>1283</v>
      </c>
      <c r="B814" s="3">
        <v>466877</v>
      </c>
      <c r="C814" s="3">
        <v>548000</v>
      </c>
      <c r="D814" s="72">
        <v>43199</v>
      </c>
      <c r="E814" s="3" t="s">
        <v>846</v>
      </c>
    </row>
    <row r="815" spans="1:7" x14ac:dyDescent="0.25">
      <c r="B815" s="3">
        <f>SUM(B814)</f>
        <v>466877</v>
      </c>
      <c r="C815" s="3">
        <f>SUM(C814)</f>
        <v>548000</v>
      </c>
      <c r="E815" s="99">
        <f>C815-B815</f>
        <v>81123</v>
      </c>
      <c r="F815" s="72">
        <v>43199</v>
      </c>
      <c r="G815" s="72">
        <v>43202</v>
      </c>
    </row>
    <row r="817" spans="1:7" x14ac:dyDescent="0.25">
      <c r="A817" t="s">
        <v>1284</v>
      </c>
      <c r="B817" s="3">
        <v>260442</v>
      </c>
      <c r="C817" s="3">
        <v>348000</v>
      </c>
      <c r="D817" s="72">
        <v>43200</v>
      </c>
      <c r="E817" s="3" t="s">
        <v>846</v>
      </c>
    </row>
    <row r="818" spans="1:7" x14ac:dyDescent="0.25">
      <c r="B818" s="3">
        <f>SUM(B817)</f>
        <v>260442</v>
      </c>
      <c r="C818" s="3">
        <f>SUM(C817)</f>
        <v>348000</v>
      </c>
      <c r="E818" s="86">
        <f>C818-B818</f>
        <v>87558</v>
      </c>
      <c r="F818" s="72">
        <v>43200</v>
      </c>
      <c r="G818" s="72">
        <v>43202</v>
      </c>
    </row>
    <row r="820" spans="1:7" x14ac:dyDescent="0.25">
      <c r="A820" t="s">
        <v>1285</v>
      </c>
      <c r="B820" s="3">
        <v>412352</v>
      </c>
      <c r="C820" s="3">
        <v>295000</v>
      </c>
      <c r="D820" s="72">
        <v>43201</v>
      </c>
      <c r="E820" s="3" t="s">
        <v>846</v>
      </c>
    </row>
    <row r="821" spans="1:7" x14ac:dyDescent="0.25">
      <c r="C821" s="3">
        <v>62500</v>
      </c>
      <c r="D821" s="72">
        <v>43196</v>
      </c>
    </row>
    <row r="822" spans="1:7" x14ac:dyDescent="0.25">
      <c r="C822" s="3">
        <v>16940</v>
      </c>
      <c r="D822" s="72">
        <v>43199</v>
      </c>
    </row>
    <row r="823" spans="1:7" x14ac:dyDescent="0.25">
      <c r="C823" s="54">
        <v>39182</v>
      </c>
      <c r="D823" s="72">
        <v>43196</v>
      </c>
      <c r="E823" s="3" t="s">
        <v>842</v>
      </c>
    </row>
    <row r="824" spans="1:7" x14ac:dyDescent="0.25">
      <c r="C824" s="83">
        <v>1262.5</v>
      </c>
      <c r="D824" s="72">
        <v>43197</v>
      </c>
      <c r="E824" s="3" t="s">
        <v>842</v>
      </c>
    </row>
    <row r="825" spans="1:7" x14ac:dyDescent="0.25">
      <c r="B825" s="3">
        <f>SUM(B820:B824)</f>
        <v>412352</v>
      </c>
      <c r="C825" s="3">
        <f>SUM(C820:C824)</f>
        <v>414884.5</v>
      </c>
      <c r="E825" s="50">
        <f>C825-B825</f>
        <v>2532.5</v>
      </c>
      <c r="F825" s="72">
        <v>43201</v>
      </c>
      <c r="G825" s="72">
        <v>43202</v>
      </c>
    </row>
    <row r="827" spans="1:7" x14ac:dyDescent="0.25">
      <c r="A827" t="s">
        <v>1286</v>
      </c>
      <c r="B827" s="3">
        <v>434322</v>
      </c>
      <c r="C827" s="3">
        <v>413000</v>
      </c>
      <c r="D827" s="72">
        <v>43203</v>
      </c>
    </row>
    <row r="828" spans="1:7" x14ac:dyDescent="0.25">
      <c r="A828" t="s">
        <v>1287</v>
      </c>
      <c r="B828" s="3">
        <v>243697</v>
      </c>
      <c r="C828" s="3">
        <v>265000</v>
      </c>
      <c r="D828" s="72">
        <v>43202</v>
      </c>
    </row>
    <row r="829" spans="1:7" x14ac:dyDescent="0.25">
      <c r="A829" t="s">
        <v>1288</v>
      </c>
      <c r="B829" s="3">
        <v>5047.2</v>
      </c>
      <c r="C829" s="50">
        <v>2522.5</v>
      </c>
      <c r="D829" s="72">
        <v>43201</v>
      </c>
      <c r="E829" s="3" t="s">
        <v>842</v>
      </c>
    </row>
    <row r="830" spans="1:7" x14ac:dyDescent="0.25">
      <c r="C830" s="3">
        <v>2543</v>
      </c>
      <c r="D830" s="72">
        <v>43204</v>
      </c>
      <c r="E830" s="3" t="s">
        <v>849</v>
      </c>
    </row>
    <row r="831" spans="1:7" x14ac:dyDescent="0.25">
      <c r="B831" s="3">
        <f>SUM(B827:B830)</f>
        <v>683066.2</v>
      </c>
      <c r="C831" s="3">
        <f>SUM(C827:C830)</f>
        <v>683065.5</v>
      </c>
      <c r="E831" s="3">
        <f>C831-B831</f>
        <v>-0.69999999995343387</v>
      </c>
      <c r="F831" s="72">
        <v>43204</v>
      </c>
      <c r="G831" s="72">
        <v>43204</v>
      </c>
    </row>
    <row r="833" spans="1:7" x14ac:dyDescent="0.25">
      <c r="A833" t="s">
        <v>1289</v>
      </c>
      <c r="B833" s="3">
        <v>17195</v>
      </c>
      <c r="C833" s="3">
        <v>462000</v>
      </c>
      <c r="D833" s="72">
        <v>43204</v>
      </c>
      <c r="E833" s="3" t="s">
        <v>846</v>
      </c>
    </row>
    <row r="834" spans="1:7" x14ac:dyDescent="0.25">
      <c r="A834" t="s">
        <v>1290</v>
      </c>
      <c r="B834" s="3">
        <v>461305</v>
      </c>
      <c r="C834" s="3">
        <v>43800</v>
      </c>
      <c r="D834" s="72">
        <v>43202</v>
      </c>
    </row>
    <row r="835" spans="1:7" x14ac:dyDescent="0.25">
      <c r="A835" t="s">
        <v>1291</v>
      </c>
      <c r="B835" s="3">
        <v>21390.2</v>
      </c>
    </row>
    <row r="836" spans="1:7" x14ac:dyDescent="0.25">
      <c r="B836" s="3">
        <f>SUM(B833:B835)</f>
        <v>499890.2</v>
      </c>
      <c r="C836" s="3">
        <f>SUM(C833:C835)</f>
        <v>505800</v>
      </c>
      <c r="E836" s="63">
        <f>C836-B836</f>
        <v>5909.7999999999884</v>
      </c>
      <c r="F836" s="72">
        <v>43204</v>
      </c>
      <c r="G836" s="72">
        <v>43204</v>
      </c>
    </row>
    <row r="838" spans="1:7" x14ac:dyDescent="0.25">
      <c r="A838" t="s">
        <v>1292</v>
      </c>
      <c r="B838" s="3">
        <v>444483</v>
      </c>
      <c r="C838" s="3">
        <v>286000</v>
      </c>
      <c r="D838" s="72">
        <v>43206</v>
      </c>
      <c r="E838" s="3" t="s">
        <v>846</v>
      </c>
    </row>
    <row r="839" spans="1:7" x14ac:dyDescent="0.25">
      <c r="C839" s="99">
        <v>81123</v>
      </c>
      <c r="D839" s="72">
        <v>43199</v>
      </c>
      <c r="E839" s="3" t="s">
        <v>842</v>
      </c>
    </row>
    <row r="840" spans="1:7" x14ac:dyDescent="0.25">
      <c r="C840" s="86">
        <v>87558</v>
      </c>
      <c r="D840" s="72">
        <v>43200</v>
      </c>
      <c r="E840" s="3" t="s">
        <v>842</v>
      </c>
    </row>
    <row r="841" spans="1:7" x14ac:dyDescent="0.25">
      <c r="C841" s="63">
        <v>5910</v>
      </c>
      <c r="D841" s="72">
        <v>43204</v>
      </c>
      <c r="E841" s="3" t="s">
        <v>842</v>
      </c>
    </row>
    <row r="842" spans="1:7" x14ac:dyDescent="0.25">
      <c r="B842" s="3">
        <f>SUM(B838:B841)</f>
        <v>444483</v>
      </c>
      <c r="C842" s="3">
        <f>SUM(C838:C841)</f>
        <v>460591</v>
      </c>
      <c r="E842" s="83">
        <f>C842-B842</f>
        <v>16108</v>
      </c>
      <c r="F842" s="72">
        <v>43206</v>
      </c>
      <c r="G842" s="72">
        <v>43208</v>
      </c>
    </row>
    <row r="844" spans="1:7" x14ac:dyDescent="0.25">
      <c r="A844" t="s">
        <v>1293</v>
      </c>
      <c r="B844" s="3">
        <v>465744</v>
      </c>
      <c r="C844" s="3">
        <v>739000</v>
      </c>
      <c r="D844" s="72">
        <v>43208</v>
      </c>
      <c r="E844" s="3" t="s">
        <v>846</v>
      </c>
    </row>
    <row r="845" spans="1:7" x14ac:dyDescent="0.25">
      <c r="A845" t="s">
        <v>1294</v>
      </c>
      <c r="B845" s="3">
        <v>221712</v>
      </c>
    </row>
    <row r="846" spans="1:7" x14ac:dyDescent="0.25">
      <c r="B846" s="3">
        <f>SUM(B844:B845)</f>
        <v>687456</v>
      </c>
      <c r="C846" s="3">
        <f>SUM(C844:C845)</f>
        <v>739000</v>
      </c>
      <c r="E846" s="105">
        <f>C846-B846</f>
        <v>51544</v>
      </c>
      <c r="F846" s="72">
        <v>43208</v>
      </c>
      <c r="G846" s="72">
        <v>43209</v>
      </c>
    </row>
    <row r="848" spans="1:7" x14ac:dyDescent="0.25">
      <c r="A848" t="s">
        <v>1295</v>
      </c>
      <c r="B848" s="3">
        <v>232379</v>
      </c>
      <c r="C848" s="3">
        <v>676000</v>
      </c>
      <c r="D848" s="72">
        <v>43210</v>
      </c>
      <c r="E848" s="3" t="s">
        <v>846</v>
      </c>
    </row>
    <row r="849" spans="1:7" x14ac:dyDescent="0.25">
      <c r="A849" t="s">
        <v>1296</v>
      </c>
      <c r="B849" s="3">
        <v>231756</v>
      </c>
    </row>
    <row r="850" spans="1:7" x14ac:dyDescent="0.25">
      <c r="B850" s="3">
        <f>SUM(B848:B849)</f>
        <v>464135</v>
      </c>
      <c r="C850" s="3">
        <f>SUM(C848:C849)</f>
        <v>676000</v>
      </c>
      <c r="E850" s="92">
        <f>C850-B850</f>
        <v>211865</v>
      </c>
      <c r="F850" s="72">
        <v>43210</v>
      </c>
      <c r="G850" s="72">
        <v>43211</v>
      </c>
    </row>
    <row r="852" spans="1:7" x14ac:dyDescent="0.25">
      <c r="A852" t="s">
        <v>1297</v>
      </c>
      <c r="B852" s="3">
        <v>426650</v>
      </c>
      <c r="C852" s="3">
        <v>272000</v>
      </c>
      <c r="D852" s="72">
        <v>43211</v>
      </c>
      <c r="E852" s="3" t="s">
        <v>846</v>
      </c>
    </row>
    <row r="853" spans="1:7" x14ac:dyDescent="0.25">
      <c r="C853" s="3">
        <v>50000</v>
      </c>
      <c r="D853" s="72">
        <v>43211</v>
      </c>
    </row>
    <row r="854" spans="1:7" x14ac:dyDescent="0.25">
      <c r="C854" s="83">
        <v>16108</v>
      </c>
      <c r="D854" s="72">
        <v>43206</v>
      </c>
      <c r="E854" s="3" t="s">
        <v>842</v>
      </c>
    </row>
    <row r="855" spans="1:7" x14ac:dyDescent="0.25">
      <c r="C855" s="105">
        <v>51544</v>
      </c>
      <c r="D855" s="72">
        <v>43208</v>
      </c>
      <c r="E855" s="3" t="s">
        <v>842</v>
      </c>
    </row>
    <row r="856" spans="1:7" x14ac:dyDescent="0.25">
      <c r="C856" s="3">
        <v>36998</v>
      </c>
      <c r="D856" s="72">
        <v>43211</v>
      </c>
      <c r="E856" s="3" t="s">
        <v>849</v>
      </c>
    </row>
    <row r="857" spans="1:7" x14ac:dyDescent="0.25">
      <c r="B857" s="3">
        <f>SUM(B852:B856)</f>
        <v>426650</v>
      </c>
      <c r="C857" s="3">
        <f>SUM(C852:C856)</f>
        <v>426650</v>
      </c>
      <c r="E857" s="3">
        <f>C857-B857</f>
        <v>0</v>
      </c>
      <c r="F857" s="72">
        <v>43211</v>
      </c>
      <c r="G857" s="72">
        <v>43211</v>
      </c>
    </row>
    <row r="859" spans="1:7" x14ac:dyDescent="0.25">
      <c r="A859" t="s">
        <v>1298</v>
      </c>
      <c r="B859" s="3">
        <v>5112</v>
      </c>
      <c r="C859" s="3">
        <v>1061000</v>
      </c>
      <c r="D859" s="72">
        <v>43215</v>
      </c>
      <c r="E859" s="3" t="s">
        <v>846</v>
      </c>
    </row>
    <row r="860" spans="1:7" x14ac:dyDescent="0.25">
      <c r="A860" t="s">
        <v>1299</v>
      </c>
      <c r="B860" s="3">
        <v>30633.7</v>
      </c>
    </row>
    <row r="861" spans="1:7" x14ac:dyDescent="0.25">
      <c r="A861" t="s">
        <v>1300</v>
      </c>
      <c r="B861" s="3">
        <v>451236</v>
      </c>
    </row>
    <row r="862" spans="1:7" x14ac:dyDescent="0.25">
      <c r="A862" t="s">
        <v>1301</v>
      </c>
      <c r="B862" s="3">
        <v>227424</v>
      </c>
    </row>
    <row r="863" spans="1:7" x14ac:dyDescent="0.25">
      <c r="A863" t="s">
        <v>1302</v>
      </c>
      <c r="B863" s="3">
        <v>242802</v>
      </c>
    </row>
    <row r="864" spans="1:7" x14ac:dyDescent="0.25">
      <c r="B864" s="3">
        <f>SUM(B859:B863)</f>
        <v>957207.7</v>
      </c>
      <c r="C864" s="3">
        <f>SUM(C859:C863)</f>
        <v>1061000</v>
      </c>
      <c r="E864" s="79">
        <f>C864-B864</f>
        <v>103792.30000000005</v>
      </c>
      <c r="F864" s="72">
        <v>43215</v>
      </c>
      <c r="G864" s="72">
        <v>43216</v>
      </c>
    </row>
    <row r="866" spans="1:7" x14ac:dyDescent="0.25">
      <c r="A866" t="s">
        <v>1303</v>
      </c>
      <c r="B866" s="3">
        <v>230422.5</v>
      </c>
      <c r="C866" s="3">
        <v>273000</v>
      </c>
      <c r="D866" s="72">
        <v>43216</v>
      </c>
      <c r="E866" s="3" t="s">
        <v>846</v>
      </c>
    </row>
    <row r="867" spans="1:7" x14ac:dyDescent="0.25">
      <c r="B867" s="3">
        <f>SUM(B866)</f>
        <v>230422.5</v>
      </c>
      <c r="C867" s="3">
        <f>SUM(C866)</f>
        <v>273000</v>
      </c>
      <c r="E867" s="50">
        <f>C867-B867</f>
        <v>42577.5</v>
      </c>
      <c r="F867" s="72">
        <v>43217</v>
      </c>
      <c r="G867" s="72">
        <v>43217</v>
      </c>
    </row>
    <row r="869" spans="1:7" x14ac:dyDescent="0.25">
      <c r="A869" t="s">
        <v>1304</v>
      </c>
      <c r="B869" s="3">
        <v>448474</v>
      </c>
      <c r="C869" s="3">
        <v>421000</v>
      </c>
      <c r="D869" s="72">
        <v>43217</v>
      </c>
      <c r="E869" s="3" t="s">
        <v>846</v>
      </c>
    </row>
    <row r="870" spans="1:7" x14ac:dyDescent="0.25">
      <c r="C870" s="50">
        <v>42577.5</v>
      </c>
      <c r="D870" s="72">
        <v>43217</v>
      </c>
      <c r="E870" s="3" t="s">
        <v>842</v>
      </c>
    </row>
    <row r="871" spans="1:7" x14ac:dyDescent="0.25">
      <c r="B871" s="3">
        <f>SUM(B869:B870)</f>
        <v>448474</v>
      </c>
      <c r="C871" s="3">
        <f>SUM(C869:C870)</f>
        <v>463577.5</v>
      </c>
      <c r="E871" s="86">
        <f>C871-B871</f>
        <v>15103.5</v>
      </c>
      <c r="F871" s="72">
        <v>43217</v>
      </c>
      <c r="G871" s="72">
        <v>43218</v>
      </c>
    </row>
    <row r="873" spans="1:7" x14ac:dyDescent="0.25">
      <c r="A873" t="s">
        <v>1305</v>
      </c>
      <c r="B873" s="3">
        <v>473616</v>
      </c>
      <c r="C873" s="3">
        <v>328000</v>
      </c>
      <c r="D873" s="72">
        <v>43218</v>
      </c>
      <c r="E873" s="3" t="s">
        <v>846</v>
      </c>
    </row>
    <row r="874" spans="1:7" x14ac:dyDescent="0.25">
      <c r="C874" s="3">
        <v>57000</v>
      </c>
      <c r="D874" s="72">
        <v>43216</v>
      </c>
    </row>
    <row r="875" spans="1:7" x14ac:dyDescent="0.25">
      <c r="C875" s="3">
        <v>100000</v>
      </c>
      <c r="D875" s="72">
        <v>43218</v>
      </c>
      <c r="E875" s="3" t="s">
        <v>849</v>
      </c>
    </row>
    <row r="876" spans="1:7" x14ac:dyDescent="0.25">
      <c r="B876" s="3">
        <f>SUM(B873:B875)</f>
        <v>473616</v>
      </c>
      <c r="C876" s="3">
        <f>SUM(C873:C875)</f>
        <v>485000</v>
      </c>
      <c r="E876" s="63">
        <f>C876-B876</f>
        <v>11384</v>
      </c>
      <c r="F876" s="72">
        <v>43218</v>
      </c>
      <c r="G876" s="72">
        <v>43218</v>
      </c>
    </row>
    <row r="878" spans="1:7" x14ac:dyDescent="0.25">
      <c r="A878" t="s">
        <v>1306</v>
      </c>
      <c r="B878" s="3">
        <v>444307.5</v>
      </c>
      <c r="C878" s="3">
        <v>597000</v>
      </c>
      <c r="D878" s="72">
        <v>43225</v>
      </c>
      <c r="E878" s="3" t="s">
        <v>846</v>
      </c>
    </row>
    <row r="879" spans="1:7" x14ac:dyDescent="0.25">
      <c r="A879" t="s">
        <v>1307</v>
      </c>
      <c r="B879" s="3">
        <v>465532</v>
      </c>
      <c r="C879" s="3">
        <v>305000</v>
      </c>
      <c r="D879" s="72">
        <v>43220</v>
      </c>
      <c r="E879" s="3" t="s">
        <v>846</v>
      </c>
    </row>
    <row r="880" spans="1:7" x14ac:dyDescent="0.25">
      <c r="C880" s="3">
        <v>59350</v>
      </c>
      <c r="D880" s="72">
        <v>43223</v>
      </c>
    </row>
    <row r="881" spans="1:7" x14ac:dyDescent="0.25">
      <c r="B881" s="3">
        <f>SUM(B878:B880)</f>
        <v>909839.5</v>
      </c>
      <c r="C881" s="3">
        <f>SUM(C878:C880)</f>
        <v>961350</v>
      </c>
      <c r="E881" s="96">
        <f>C881-B881</f>
        <v>51510.5</v>
      </c>
      <c r="F881" s="72">
        <v>43222</v>
      </c>
      <c r="G881" s="72">
        <v>43224</v>
      </c>
    </row>
    <row r="883" spans="1:7" x14ac:dyDescent="0.25">
      <c r="A883" t="s">
        <v>1308</v>
      </c>
      <c r="B883" s="3">
        <v>217440</v>
      </c>
      <c r="C883" s="3">
        <v>315000</v>
      </c>
      <c r="D883" s="72">
        <v>43223</v>
      </c>
      <c r="E883" s="3" t="s">
        <v>846</v>
      </c>
    </row>
    <row r="884" spans="1:7" x14ac:dyDescent="0.25">
      <c r="B884" s="3">
        <f>SUM(B883)</f>
        <v>217440</v>
      </c>
      <c r="C884" s="3">
        <f>SUM(C883)</f>
        <v>315000</v>
      </c>
      <c r="E884" s="51">
        <f>C884-B884</f>
        <v>97560</v>
      </c>
      <c r="F884" s="72">
        <v>43223</v>
      </c>
      <c r="G884" s="72">
        <v>43224</v>
      </c>
    </row>
    <row r="886" spans="1:7" x14ac:dyDescent="0.25">
      <c r="A886" t="s">
        <v>1309</v>
      </c>
      <c r="B886" s="3">
        <v>12902.4</v>
      </c>
      <c r="C886" s="3">
        <v>305000</v>
      </c>
      <c r="D886" s="72">
        <v>43224</v>
      </c>
      <c r="E886" s="3" t="s">
        <v>1310</v>
      </c>
    </row>
    <row r="887" spans="1:7" x14ac:dyDescent="0.25">
      <c r="A887" t="s">
        <v>1311</v>
      </c>
      <c r="B887" s="3">
        <v>205175</v>
      </c>
    </row>
    <row r="888" spans="1:7" x14ac:dyDescent="0.25">
      <c r="B888" s="3">
        <f>SUM(B886:B887)</f>
        <v>218077.4</v>
      </c>
      <c r="C888" s="3">
        <f>SUM(C886:C887)</f>
        <v>305000</v>
      </c>
      <c r="E888" s="54">
        <f>C888-B888</f>
        <v>86922.6</v>
      </c>
      <c r="F888" s="72">
        <v>43224</v>
      </c>
      <c r="G888" s="72">
        <v>43225</v>
      </c>
    </row>
    <row r="890" spans="1:7" x14ac:dyDescent="0.25">
      <c r="A890" t="s">
        <v>1312</v>
      </c>
      <c r="B890" s="3">
        <v>428608</v>
      </c>
      <c r="C890" s="3">
        <v>600000</v>
      </c>
      <c r="D890" s="72">
        <v>43229</v>
      </c>
      <c r="E890" s="3" t="s">
        <v>1313</v>
      </c>
    </row>
    <row r="891" spans="1:7" x14ac:dyDescent="0.25">
      <c r="A891" t="s">
        <v>1314</v>
      </c>
      <c r="B891" s="3">
        <v>474715</v>
      </c>
      <c r="C891" s="3">
        <v>676000</v>
      </c>
      <c r="D891" s="72">
        <v>43229</v>
      </c>
      <c r="E891" s="3" t="s">
        <v>1313</v>
      </c>
    </row>
    <row r="892" spans="1:7" x14ac:dyDescent="0.25">
      <c r="A892" t="s">
        <v>1315</v>
      </c>
      <c r="B892" s="3">
        <v>243626</v>
      </c>
    </row>
    <row r="893" spans="1:7" x14ac:dyDescent="0.25">
      <c r="B893" s="3">
        <f>SUM(B890:B892)</f>
        <v>1146949</v>
      </c>
      <c r="C893" s="3">
        <f>SUM(C890:C892)</f>
        <v>1276000</v>
      </c>
      <c r="E893" s="83">
        <f>C893-B893</f>
        <v>129051</v>
      </c>
      <c r="F893" s="72">
        <v>43229</v>
      </c>
      <c r="G893" s="72">
        <v>43230</v>
      </c>
    </row>
    <row r="895" spans="1:7" x14ac:dyDescent="0.25">
      <c r="A895" t="s">
        <v>1316</v>
      </c>
      <c r="B895" s="3">
        <v>214312</v>
      </c>
      <c r="C895" s="3">
        <v>4236</v>
      </c>
      <c r="D895" s="72">
        <v>43229</v>
      </c>
      <c r="E895" s="3" t="s">
        <v>1317</v>
      </c>
    </row>
    <row r="896" spans="1:7" x14ac:dyDescent="0.25">
      <c r="A896" t="s">
        <v>1318</v>
      </c>
      <c r="B896" s="3">
        <v>206610</v>
      </c>
      <c r="C896" s="3">
        <v>22308</v>
      </c>
      <c r="D896" s="72">
        <v>43223</v>
      </c>
      <c r="E896" s="3" t="s">
        <v>1319</v>
      </c>
    </row>
    <row r="897" spans="1:7" x14ac:dyDescent="0.25">
      <c r="C897" s="3">
        <v>4300</v>
      </c>
      <c r="D897" s="72">
        <v>43223</v>
      </c>
      <c r="E897" s="3" t="s">
        <v>1320</v>
      </c>
    </row>
    <row r="898" spans="1:7" x14ac:dyDescent="0.25">
      <c r="C898" s="3">
        <v>15250</v>
      </c>
      <c r="D898" s="72">
        <v>43224</v>
      </c>
    </row>
    <row r="899" spans="1:7" x14ac:dyDescent="0.25">
      <c r="C899" s="3">
        <v>17300</v>
      </c>
      <c r="D899" s="72">
        <v>43227</v>
      </c>
    </row>
    <row r="900" spans="1:7" x14ac:dyDescent="0.25">
      <c r="C900" s="86">
        <v>15103.5</v>
      </c>
      <c r="D900" s="72">
        <v>43217</v>
      </c>
      <c r="E900" s="3" t="s">
        <v>842</v>
      </c>
    </row>
    <row r="901" spans="1:7" x14ac:dyDescent="0.25">
      <c r="C901" s="63">
        <v>11384</v>
      </c>
      <c r="D901" s="72">
        <v>43218</v>
      </c>
      <c r="E901" s="3" t="s">
        <v>842</v>
      </c>
    </row>
    <row r="902" spans="1:7" x14ac:dyDescent="0.25">
      <c r="C902" s="54">
        <v>86922.6</v>
      </c>
      <c r="D902" s="72">
        <v>43224</v>
      </c>
      <c r="E902" s="3" t="s">
        <v>842</v>
      </c>
    </row>
    <row r="903" spans="1:7" x14ac:dyDescent="0.25">
      <c r="C903" s="83">
        <v>129051</v>
      </c>
      <c r="D903" s="72">
        <v>43229</v>
      </c>
      <c r="E903" s="3" t="s">
        <v>842</v>
      </c>
    </row>
    <row r="904" spans="1:7" x14ac:dyDescent="0.25">
      <c r="C904" s="106">
        <v>51510.5</v>
      </c>
      <c r="D904" s="72">
        <v>43222</v>
      </c>
      <c r="E904" s="3" t="s">
        <v>842</v>
      </c>
    </row>
    <row r="905" spans="1:7" x14ac:dyDescent="0.25">
      <c r="C905" s="3">
        <v>40000</v>
      </c>
      <c r="D905" s="72">
        <v>43223</v>
      </c>
    </row>
    <row r="906" spans="1:7" x14ac:dyDescent="0.25">
      <c r="C906" s="3">
        <v>38000</v>
      </c>
      <c r="D906" s="72">
        <v>43230</v>
      </c>
    </row>
    <row r="907" spans="1:7" x14ac:dyDescent="0.25">
      <c r="B907" s="3">
        <f>SUM(B895:B906)</f>
        <v>420922</v>
      </c>
      <c r="C907" s="3">
        <f>SUM(C895:C906)</f>
        <v>435365.6</v>
      </c>
      <c r="E907" s="84">
        <f>C907-B907</f>
        <v>14443.599999999977</v>
      </c>
      <c r="F907" s="72">
        <v>43229</v>
      </c>
      <c r="G907" s="72">
        <v>43230</v>
      </c>
    </row>
    <row r="909" spans="1:7" x14ac:dyDescent="0.25">
      <c r="A909" t="s">
        <v>1321</v>
      </c>
      <c r="B909" s="3">
        <v>415452</v>
      </c>
      <c r="C909" s="3">
        <v>644000</v>
      </c>
      <c r="D909" s="72">
        <v>43231</v>
      </c>
      <c r="E909" s="3" t="s">
        <v>846</v>
      </c>
    </row>
    <row r="910" spans="1:7" x14ac:dyDescent="0.25">
      <c r="A910" t="s">
        <v>1322</v>
      </c>
      <c r="B910" s="3">
        <v>242110</v>
      </c>
      <c r="C910" s="3">
        <v>65095</v>
      </c>
      <c r="D910" s="72">
        <v>43229</v>
      </c>
      <c r="E910" s="3" t="s">
        <v>1323</v>
      </c>
    </row>
    <row r="911" spans="1:7" x14ac:dyDescent="0.25">
      <c r="A911" t="s">
        <v>1324</v>
      </c>
      <c r="B911" s="3">
        <v>2329.8000000000002</v>
      </c>
      <c r="C911" s="3">
        <v>1067</v>
      </c>
      <c r="D911" s="72">
        <v>43231</v>
      </c>
      <c r="E911" s="3" t="s">
        <v>1325</v>
      </c>
    </row>
    <row r="912" spans="1:7" x14ac:dyDescent="0.25">
      <c r="B912" s="3">
        <f>SUM(B909:B911)</f>
        <v>659891.80000000005</v>
      </c>
      <c r="C912" s="3">
        <f>SUM(C909:C911)</f>
        <v>710162</v>
      </c>
      <c r="E912" s="63">
        <f>C912-B912</f>
        <v>50270.199999999953</v>
      </c>
      <c r="F912" s="72">
        <v>43231</v>
      </c>
      <c r="G912" s="72">
        <v>43232</v>
      </c>
    </row>
    <row r="914" spans="1:7" x14ac:dyDescent="0.25">
      <c r="A914" t="s">
        <v>1326</v>
      </c>
      <c r="B914" s="3">
        <v>387660</v>
      </c>
      <c r="C914" s="3">
        <v>649000</v>
      </c>
      <c r="D914" s="72">
        <v>43234</v>
      </c>
      <c r="E914" s="3" t="s">
        <v>963</v>
      </c>
    </row>
    <row r="915" spans="1:7" x14ac:dyDescent="0.25">
      <c r="B915" s="3">
        <f>SUM(B914)</f>
        <v>387660</v>
      </c>
      <c r="C915" s="3">
        <f>SUM(C914)</f>
        <v>649000</v>
      </c>
      <c r="E915" s="75">
        <f>C915-B915</f>
        <v>261340</v>
      </c>
      <c r="F915" s="72">
        <v>43234</v>
      </c>
      <c r="G915" s="72">
        <v>43236</v>
      </c>
    </row>
    <row r="917" spans="1:7" x14ac:dyDescent="0.25">
      <c r="A917" t="s">
        <v>1327</v>
      </c>
      <c r="B917" s="3">
        <v>18291</v>
      </c>
      <c r="C917" s="3">
        <v>63000</v>
      </c>
      <c r="D917" s="72">
        <v>43232</v>
      </c>
      <c r="E917" s="3" t="s">
        <v>1328</v>
      </c>
    </row>
    <row r="918" spans="1:7" x14ac:dyDescent="0.25">
      <c r="A918" t="s">
        <v>1329</v>
      </c>
      <c r="B918" s="3">
        <v>408250</v>
      </c>
      <c r="C918" s="3">
        <v>50000</v>
      </c>
      <c r="D918" s="72">
        <v>43232</v>
      </c>
      <c r="E918" s="3" t="s">
        <v>1328</v>
      </c>
    </row>
    <row r="919" spans="1:7" x14ac:dyDescent="0.25">
      <c r="C919" s="3">
        <v>94450</v>
      </c>
      <c r="D919" s="72">
        <v>43199</v>
      </c>
      <c r="E919" s="3" t="s">
        <v>1328</v>
      </c>
    </row>
    <row r="920" spans="1:7" x14ac:dyDescent="0.25">
      <c r="C920" s="3">
        <v>20000</v>
      </c>
      <c r="D920" s="72">
        <v>43234</v>
      </c>
    </row>
    <row r="921" spans="1:7" x14ac:dyDescent="0.25">
      <c r="C921" s="3">
        <v>8987</v>
      </c>
      <c r="D921" s="72">
        <v>43234</v>
      </c>
      <c r="E921" s="3" t="s">
        <v>1330</v>
      </c>
    </row>
    <row r="922" spans="1:7" x14ac:dyDescent="0.25">
      <c r="C922" s="84">
        <v>14433.1</v>
      </c>
      <c r="D922" s="72">
        <v>43229</v>
      </c>
      <c r="E922" s="3" t="s">
        <v>842</v>
      </c>
    </row>
    <row r="923" spans="1:7" x14ac:dyDescent="0.25">
      <c r="C923" s="63">
        <v>50270.2</v>
      </c>
      <c r="D923" s="72">
        <v>43231</v>
      </c>
      <c r="E923" s="3" t="s">
        <v>842</v>
      </c>
    </row>
    <row r="924" spans="1:7" x14ac:dyDescent="0.25">
      <c r="C924" s="51">
        <v>97560</v>
      </c>
      <c r="D924" s="72">
        <v>43223</v>
      </c>
      <c r="E924" s="3" t="s">
        <v>842</v>
      </c>
    </row>
    <row r="925" spans="1:7" x14ac:dyDescent="0.25">
      <c r="C925" s="3">
        <v>27841</v>
      </c>
      <c r="D925" s="72">
        <v>43234</v>
      </c>
    </row>
    <row r="926" spans="1:7" x14ac:dyDescent="0.25">
      <c r="B926" s="3">
        <f>SUM(B917:B924)</f>
        <v>426541</v>
      </c>
      <c r="C926" s="3">
        <f>SUM(C917:C925)</f>
        <v>426541.3</v>
      </c>
      <c r="E926" s="3">
        <f>C926-B926</f>
        <v>0.29999999998835847</v>
      </c>
      <c r="F926" s="72">
        <v>43234</v>
      </c>
      <c r="G926" s="72">
        <v>43236</v>
      </c>
    </row>
    <row r="928" spans="1:7" x14ac:dyDescent="0.25">
      <c r="A928" t="s">
        <v>1331</v>
      </c>
      <c r="B928" s="3">
        <v>197380</v>
      </c>
      <c r="C928" s="3">
        <v>634000</v>
      </c>
      <c r="D928" s="72">
        <v>43236</v>
      </c>
      <c r="E928" s="3" t="s">
        <v>846</v>
      </c>
    </row>
    <row r="929" spans="1:7" x14ac:dyDescent="0.25">
      <c r="A929" t="s">
        <v>1332</v>
      </c>
      <c r="B929" s="3">
        <v>398665</v>
      </c>
    </row>
    <row r="930" spans="1:7" x14ac:dyDescent="0.25">
      <c r="B930" s="3">
        <f>SUM(B928:B929)</f>
        <v>596045</v>
      </c>
      <c r="C930" s="3">
        <f>SUM(C928:C929)</f>
        <v>634000</v>
      </c>
      <c r="E930" s="50">
        <f>C930-B930</f>
        <v>37955</v>
      </c>
      <c r="F930" s="72">
        <v>43236</v>
      </c>
      <c r="G930" s="72">
        <v>43236</v>
      </c>
    </row>
    <row r="932" spans="1:7" x14ac:dyDescent="0.25">
      <c r="A932" t="s">
        <v>1333</v>
      </c>
      <c r="B932" s="3">
        <v>430260</v>
      </c>
      <c r="C932" s="3">
        <v>250000</v>
      </c>
      <c r="D932" s="72">
        <v>43239</v>
      </c>
      <c r="E932" s="3" t="s">
        <v>846</v>
      </c>
    </row>
    <row r="933" spans="1:7" x14ac:dyDescent="0.25">
      <c r="A933" t="s">
        <v>1334</v>
      </c>
      <c r="B933" s="3">
        <v>26301.9</v>
      </c>
      <c r="D933" s="72"/>
    </row>
    <row r="934" spans="1:7" x14ac:dyDescent="0.25">
      <c r="A934" t="s">
        <v>1335</v>
      </c>
      <c r="B934" s="3">
        <v>200072</v>
      </c>
      <c r="C934" s="50">
        <v>37955</v>
      </c>
      <c r="D934" s="72">
        <v>43236</v>
      </c>
      <c r="E934" s="3" t="s">
        <v>842</v>
      </c>
    </row>
    <row r="935" spans="1:7" x14ac:dyDescent="0.25">
      <c r="A935" t="s">
        <v>1336</v>
      </c>
      <c r="B935" s="3">
        <v>414740</v>
      </c>
      <c r="C935" s="3">
        <v>12850</v>
      </c>
      <c r="D935" s="72">
        <v>43241</v>
      </c>
    </row>
    <row r="936" spans="1:7" x14ac:dyDescent="0.25">
      <c r="C936" s="3">
        <v>80569</v>
      </c>
      <c r="D936" s="72">
        <v>43241</v>
      </c>
    </row>
    <row r="937" spans="1:7" x14ac:dyDescent="0.25">
      <c r="C937" s="3">
        <v>690000</v>
      </c>
      <c r="D937" s="72">
        <v>43238</v>
      </c>
      <c r="E937" s="3" t="s">
        <v>846</v>
      </c>
    </row>
    <row r="938" spans="1:7" x14ac:dyDescent="0.25">
      <c r="B938" s="3">
        <f>SUM(B932:B936)</f>
        <v>1071373.8999999999</v>
      </c>
      <c r="C938" s="3">
        <f>SUM(C932:C937)</f>
        <v>1071374</v>
      </c>
      <c r="E938" s="3">
        <f>C938-B938</f>
        <v>0.10000000009313226</v>
      </c>
      <c r="F938" s="72">
        <v>43238</v>
      </c>
      <c r="G938" s="72">
        <v>43243</v>
      </c>
    </row>
    <row r="940" spans="1:7" x14ac:dyDescent="0.25">
      <c r="A940" t="s">
        <v>1337</v>
      </c>
      <c r="B940" s="3">
        <v>28817.3</v>
      </c>
      <c r="C940" s="3">
        <v>424000</v>
      </c>
      <c r="D940" s="72">
        <v>43241</v>
      </c>
      <c r="E940" s="3" t="s">
        <v>846</v>
      </c>
    </row>
    <row r="941" spans="1:7" x14ac:dyDescent="0.25">
      <c r="A941" t="s">
        <v>1338</v>
      </c>
      <c r="B941" s="3">
        <v>326910.5</v>
      </c>
    </row>
    <row r="942" spans="1:7" x14ac:dyDescent="0.25">
      <c r="B942" s="3">
        <f>SUM(B940:B941)</f>
        <v>355727.8</v>
      </c>
      <c r="C942" s="3">
        <f>SUM(C940:C941)</f>
        <v>424000</v>
      </c>
      <c r="E942" s="95">
        <f>C942-B942</f>
        <v>68272.200000000012</v>
      </c>
      <c r="F942" s="72">
        <v>43241</v>
      </c>
      <c r="G942" s="72">
        <v>43243</v>
      </c>
    </row>
    <row r="944" spans="1:7" x14ac:dyDescent="0.25">
      <c r="A944" t="s">
        <v>1339</v>
      </c>
      <c r="B944" s="3">
        <v>193346</v>
      </c>
      <c r="C944" s="3">
        <v>280000</v>
      </c>
      <c r="D944" s="72">
        <v>43242</v>
      </c>
      <c r="E944" s="3" t="s">
        <v>846</v>
      </c>
    </row>
    <row r="945" spans="1:7" x14ac:dyDescent="0.25">
      <c r="B945" s="3">
        <f>SUM(B944)</f>
        <v>193346</v>
      </c>
      <c r="C945" s="3">
        <f>SUM(C944)</f>
        <v>280000</v>
      </c>
      <c r="E945" s="96">
        <f>C945-B945</f>
        <v>86654</v>
      </c>
      <c r="F945" s="72">
        <v>43242</v>
      </c>
      <c r="G945" s="72">
        <v>43243</v>
      </c>
    </row>
    <row r="947" spans="1:7" x14ac:dyDescent="0.25">
      <c r="A947" t="s">
        <v>1340</v>
      </c>
      <c r="B947" s="3">
        <v>404840</v>
      </c>
      <c r="C947" s="3">
        <v>455000</v>
      </c>
      <c r="D947" s="72">
        <v>43244</v>
      </c>
      <c r="E947" s="3" t="s">
        <v>846</v>
      </c>
    </row>
    <row r="948" spans="1:7" x14ac:dyDescent="0.25">
      <c r="B948" s="3">
        <f>SUM(B947)</f>
        <v>404840</v>
      </c>
      <c r="C948" s="3">
        <f>SUM(C947)</f>
        <v>455000</v>
      </c>
      <c r="E948" s="104">
        <f>C948-B948</f>
        <v>50160</v>
      </c>
      <c r="F948" s="72">
        <v>43244</v>
      </c>
      <c r="G948" s="72">
        <v>43245</v>
      </c>
    </row>
    <row r="950" spans="1:7" x14ac:dyDescent="0.25">
      <c r="A950" t="s">
        <v>1341</v>
      </c>
      <c r="B950" s="3">
        <v>240112</v>
      </c>
      <c r="C950" s="3">
        <v>100000</v>
      </c>
      <c r="D950" s="72">
        <v>43251</v>
      </c>
      <c r="E950" s="3" t="s">
        <v>846</v>
      </c>
    </row>
    <row r="951" spans="1:7" x14ac:dyDescent="0.25">
      <c r="A951" t="s">
        <v>1342</v>
      </c>
      <c r="B951" s="3">
        <v>213500</v>
      </c>
      <c r="C951" s="3">
        <v>500000</v>
      </c>
      <c r="D951" s="72">
        <v>43251</v>
      </c>
      <c r="E951" s="3" t="s">
        <v>846</v>
      </c>
    </row>
    <row r="952" spans="1:7" x14ac:dyDescent="0.25">
      <c r="A952" t="s">
        <v>1343</v>
      </c>
      <c r="B952" s="3">
        <v>239419.5</v>
      </c>
      <c r="C952" s="3">
        <v>753000</v>
      </c>
      <c r="D952" s="72">
        <v>43251</v>
      </c>
      <c r="E952" s="3" t="s">
        <v>846</v>
      </c>
    </row>
    <row r="953" spans="1:7" x14ac:dyDescent="0.25">
      <c r="A953" t="s">
        <v>1344</v>
      </c>
      <c r="B953" s="3">
        <v>206608</v>
      </c>
      <c r="C953" s="3">
        <v>590000</v>
      </c>
      <c r="D953" s="72">
        <v>43251</v>
      </c>
      <c r="E953" s="3" t="s">
        <v>846</v>
      </c>
    </row>
    <row r="954" spans="1:7" x14ac:dyDescent="0.25">
      <c r="A954" t="s">
        <v>1345</v>
      </c>
      <c r="B954" s="3">
        <v>192997</v>
      </c>
      <c r="C954" s="3">
        <v>229000</v>
      </c>
      <c r="D954" s="72">
        <v>43252</v>
      </c>
      <c r="E954" s="3" t="s">
        <v>846</v>
      </c>
    </row>
    <row r="955" spans="1:7" x14ac:dyDescent="0.25">
      <c r="A955" t="s">
        <v>1346</v>
      </c>
      <c r="B955" s="3">
        <v>405300</v>
      </c>
      <c r="C955" s="3">
        <v>54920</v>
      </c>
      <c r="D955" s="72">
        <v>43246</v>
      </c>
      <c r="F955" s="3">
        <v>54950</v>
      </c>
    </row>
    <row r="956" spans="1:7" x14ac:dyDescent="0.25">
      <c r="A956" t="s">
        <v>1347</v>
      </c>
      <c r="B956" s="3">
        <v>382900</v>
      </c>
      <c r="C956" s="3">
        <v>50138</v>
      </c>
      <c r="D956" s="72">
        <v>43242</v>
      </c>
      <c r="E956" s="3" t="s">
        <v>1348</v>
      </c>
    </row>
    <row r="957" spans="1:7" x14ac:dyDescent="0.25">
      <c r="A957" t="s">
        <v>1349</v>
      </c>
      <c r="B957" s="3">
        <v>390741</v>
      </c>
      <c r="C957" s="3">
        <v>4978</v>
      </c>
      <c r="D957" s="72">
        <v>43242</v>
      </c>
      <c r="E957" s="3" t="s">
        <v>1350</v>
      </c>
      <c r="F957" t="s">
        <v>1351</v>
      </c>
    </row>
    <row r="958" spans="1:7" x14ac:dyDescent="0.25">
      <c r="B958" s="3">
        <f>SUM(B950:B957)</f>
        <v>2271577.5</v>
      </c>
      <c r="C958" s="3">
        <f>SUM(C950:C957)</f>
        <v>2282036</v>
      </c>
      <c r="E958" s="50">
        <f>C958-B958</f>
        <v>10458.5</v>
      </c>
      <c r="F958" s="72">
        <v>43252</v>
      </c>
      <c r="G958" s="72">
        <v>43253</v>
      </c>
    </row>
    <row r="960" spans="1:7" x14ac:dyDescent="0.25">
      <c r="A960" t="s">
        <v>1352</v>
      </c>
      <c r="B960" s="3">
        <v>394284</v>
      </c>
      <c r="C960" s="3">
        <v>421000</v>
      </c>
      <c r="D960" s="72">
        <v>43253</v>
      </c>
      <c r="E960" s="3" t="s">
        <v>846</v>
      </c>
    </row>
    <row r="961" spans="1:7" x14ac:dyDescent="0.25">
      <c r="B961" s="3">
        <f>SUM(B960)</f>
        <v>394284</v>
      </c>
      <c r="C961" s="3">
        <f>SUM(C960)</f>
        <v>421000</v>
      </c>
      <c r="E961" s="94">
        <f>C961-B961</f>
        <v>26716</v>
      </c>
      <c r="F961" s="72">
        <v>43253</v>
      </c>
      <c r="G961" s="72">
        <v>43255</v>
      </c>
    </row>
    <row r="963" spans="1:7" x14ac:dyDescent="0.25">
      <c r="A963" t="s">
        <v>1353</v>
      </c>
      <c r="B963" s="3">
        <v>237569</v>
      </c>
      <c r="C963" s="3">
        <v>724000</v>
      </c>
      <c r="D963" s="72">
        <v>43256</v>
      </c>
      <c r="E963" s="3" t="s">
        <v>846</v>
      </c>
    </row>
    <row r="964" spans="1:7" x14ac:dyDescent="0.25">
      <c r="A964" t="s">
        <v>1354</v>
      </c>
      <c r="B964" s="3">
        <v>9691.9</v>
      </c>
      <c r="C964" s="94">
        <v>26716</v>
      </c>
      <c r="D964" s="72">
        <v>43253</v>
      </c>
      <c r="E964" s="3" t="s">
        <v>842</v>
      </c>
    </row>
    <row r="965" spans="1:7" x14ac:dyDescent="0.25">
      <c r="A965" t="s">
        <v>1355</v>
      </c>
      <c r="B965" s="3">
        <v>575940</v>
      </c>
      <c r="C965" s="3">
        <v>74000</v>
      </c>
      <c r="D965" s="72">
        <v>43255</v>
      </c>
    </row>
    <row r="966" spans="1:7" x14ac:dyDescent="0.25">
      <c r="B966" s="3">
        <f>SUM(B963:B965)</f>
        <v>823200.9</v>
      </c>
      <c r="C966" s="3">
        <f>SUM(C963:C965)</f>
        <v>824716</v>
      </c>
      <c r="E966" s="83">
        <f>C966-B966</f>
        <v>1515.0999999999767</v>
      </c>
      <c r="F966" s="72">
        <v>43256</v>
      </c>
      <c r="G966" s="72">
        <v>43257</v>
      </c>
    </row>
    <row r="968" spans="1:7" x14ac:dyDescent="0.25">
      <c r="A968" t="s">
        <v>1356</v>
      </c>
      <c r="B968" s="3">
        <v>203040</v>
      </c>
      <c r="D968" s="72"/>
    </row>
    <row r="969" spans="1:7" x14ac:dyDescent="0.25">
      <c r="C969" s="83">
        <v>1515.1</v>
      </c>
      <c r="D969" s="72">
        <v>43256</v>
      </c>
      <c r="E969" s="3" t="s">
        <v>842</v>
      </c>
    </row>
    <row r="970" spans="1:7" x14ac:dyDescent="0.25">
      <c r="A970" t="s">
        <v>1357</v>
      </c>
      <c r="B970" s="3">
        <v>391878</v>
      </c>
      <c r="C970" s="3">
        <v>34850</v>
      </c>
      <c r="D970" s="72">
        <v>43258</v>
      </c>
      <c r="E970" s="3" t="s">
        <v>1358</v>
      </c>
    </row>
    <row r="971" spans="1:7" x14ac:dyDescent="0.25">
      <c r="C971" s="50">
        <v>10458.5</v>
      </c>
      <c r="D971" s="72">
        <v>43252</v>
      </c>
      <c r="E971" s="3" t="s">
        <v>842</v>
      </c>
    </row>
    <row r="972" spans="1:7" x14ac:dyDescent="0.25">
      <c r="C972" s="3">
        <v>7375.2</v>
      </c>
      <c r="D972" s="72">
        <v>43258</v>
      </c>
      <c r="E972" s="3" t="s">
        <v>1359</v>
      </c>
    </row>
    <row r="973" spans="1:7" x14ac:dyDescent="0.25">
      <c r="C973" s="3">
        <v>6600</v>
      </c>
      <c r="D973" s="72">
        <v>43256</v>
      </c>
      <c r="E973" s="3" t="s">
        <v>1360</v>
      </c>
    </row>
    <row r="974" spans="1:7" x14ac:dyDescent="0.25">
      <c r="C974" s="3">
        <v>20168</v>
      </c>
      <c r="D974" s="72">
        <v>43257</v>
      </c>
      <c r="E974" s="3" t="s">
        <v>1361</v>
      </c>
    </row>
    <row r="975" spans="1:7" x14ac:dyDescent="0.25">
      <c r="C975" s="3">
        <v>2640</v>
      </c>
      <c r="D975" s="72">
        <v>43256</v>
      </c>
      <c r="E975" s="3" t="s">
        <v>1362</v>
      </c>
    </row>
    <row r="976" spans="1:7" x14ac:dyDescent="0.25">
      <c r="C976" s="3">
        <v>67450</v>
      </c>
      <c r="D976" s="72">
        <v>43258</v>
      </c>
      <c r="E976" s="3" t="s">
        <v>1363</v>
      </c>
    </row>
    <row r="977" spans="1:7" x14ac:dyDescent="0.25">
      <c r="C977" s="3">
        <v>445000</v>
      </c>
      <c r="D977" s="72">
        <v>43258</v>
      </c>
      <c r="E977" s="3" t="s">
        <v>846</v>
      </c>
    </row>
    <row r="978" spans="1:7" x14ac:dyDescent="0.25">
      <c r="B978" s="3">
        <f>SUM(B968:B975)</f>
        <v>594918</v>
      </c>
      <c r="C978" s="3">
        <f>SUM(C968:C977)</f>
        <v>596056.80000000005</v>
      </c>
      <c r="E978" s="63">
        <f>C978-B978</f>
        <v>1138.8000000000466</v>
      </c>
      <c r="F978" s="72">
        <v>43258</v>
      </c>
      <c r="G978" s="72">
        <v>43259</v>
      </c>
    </row>
    <row r="980" spans="1:7" x14ac:dyDescent="0.25">
      <c r="A980" t="s">
        <v>1364</v>
      </c>
      <c r="B980" s="3">
        <v>414286</v>
      </c>
      <c r="C980" s="3">
        <v>763000</v>
      </c>
      <c r="D980" s="72">
        <v>43260</v>
      </c>
      <c r="E980" s="3" t="s">
        <v>846</v>
      </c>
    </row>
    <row r="981" spans="1:7" x14ac:dyDescent="0.25">
      <c r="A981" t="s">
        <v>1365</v>
      </c>
      <c r="B981" s="3">
        <v>389156</v>
      </c>
      <c r="C981" s="63">
        <v>1138.5999999999999</v>
      </c>
      <c r="D981" s="72">
        <v>43258</v>
      </c>
      <c r="E981" s="3" t="s">
        <v>842</v>
      </c>
    </row>
    <row r="982" spans="1:7" x14ac:dyDescent="0.25">
      <c r="C982" s="3">
        <v>42000</v>
      </c>
      <c r="D982" s="72">
        <v>43260</v>
      </c>
      <c r="E982" s="3" t="s">
        <v>849</v>
      </c>
    </row>
    <row r="983" spans="1:7" x14ac:dyDescent="0.25">
      <c r="B983" s="3">
        <f>SUM(B980:B982)</f>
        <v>803442</v>
      </c>
      <c r="C983" s="3">
        <f>SUM(C980:C982)</f>
        <v>806138.6</v>
      </c>
      <c r="E983" s="107">
        <f>C983-B983</f>
        <v>2696.5999999999767</v>
      </c>
      <c r="F983" s="72">
        <v>43260</v>
      </c>
      <c r="G983" s="72">
        <v>43260</v>
      </c>
    </row>
    <row r="985" spans="1:7" x14ac:dyDescent="0.25">
      <c r="A985" t="s">
        <v>1366</v>
      </c>
      <c r="B985" s="3">
        <v>408542</v>
      </c>
      <c r="C985" s="104">
        <v>50160</v>
      </c>
      <c r="D985" s="72">
        <v>43244</v>
      </c>
      <c r="E985" s="3" t="s">
        <v>842</v>
      </c>
    </row>
    <row r="986" spans="1:7" x14ac:dyDescent="0.25">
      <c r="A986" t="s">
        <v>1367</v>
      </c>
      <c r="B986" s="3">
        <v>9079.4</v>
      </c>
      <c r="C986" s="3">
        <v>70750</v>
      </c>
      <c r="D986" s="72">
        <v>43246</v>
      </c>
    </row>
    <row r="987" spans="1:7" x14ac:dyDescent="0.25">
      <c r="A987" t="s">
        <v>1368</v>
      </c>
      <c r="B987" s="3">
        <v>10072.799999999999</v>
      </c>
      <c r="C987" s="96">
        <v>86654</v>
      </c>
      <c r="D987" s="72">
        <v>43242</v>
      </c>
      <c r="E987" s="3" t="s">
        <v>842</v>
      </c>
    </row>
    <row r="988" spans="1:7" x14ac:dyDescent="0.25">
      <c r="C988" s="3">
        <v>49900</v>
      </c>
      <c r="D988" s="72">
        <v>43238</v>
      </c>
    </row>
    <row r="989" spans="1:7" x14ac:dyDescent="0.25">
      <c r="C989" s="95">
        <v>68272.2</v>
      </c>
      <c r="D989" s="72">
        <v>43241</v>
      </c>
      <c r="E989" s="3" t="s">
        <v>842</v>
      </c>
    </row>
    <row r="990" spans="1:7" x14ac:dyDescent="0.25">
      <c r="C990" s="107">
        <v>2696.6</v>
      </c>
      <c r="D990" s="72">
        <v>43260</v>
      </c>
      <c r="E990" s="3" t="s">
        <v>842</v>
      </c>
    </row>
    <row r="991" spans="1:7" x14ac:dyDescent="0.25">
      <c r="C991" s="3">
        <v>52550</v>
      </c>
      <c r="D991" s="72">
        <v>43242</v>
      </c>
    </row>
    <row r="992" spans="1:7" x14ac:dyDescent="0.25">
      <c r="C992" s="3">
        <v>13700</v>
      </c>
      <c r="D992" s="72">
        <v>43235</v>
      </c>
    </row>
    <row r="993" spans="1:7" x14ac:dyDescent="0.25">
      <c r="C993" s="3">
        <v>33600</v>
      </c>
      <c r="D993" s="72">
        <v>43244</v>
      </c>
    </row>
    <row r="994" spans="1:7" x14ac:dyDescent="0.25">
      <c r="B994" s="3">
        <f>SUM(B985:B993)</f>
        <v>427694.2</v>
      </c>
      <c r="C994" s="3">
        <f>SUM(C985:C993)</f>
        <v>428282.8</v>
      </c>
      <c r="E994" s="54">
        <f>C994-B994</f>
        <v>588.59999999997672</v>
      </c>
      <c r="F994" s="72">
        <v>43263</v>
      </c>
      <c r="G994" s="72">
        <v>43265</v>
      </c>
    </row>
    <row r="996" spans="1:7" x14ac:dyDescent="0.25">
      <c r="A996" t="s">
        <v>1369</v>
      </c>
      <c r="B996" s="3">
        <v>227601</v>
      </c>
      <c r="C996" s="50">
        <v>198197</v>
      </c>
      <c r="D996" s="72">
        <v>43120</v>
      </c>
      <c r="E996" s="3" t="s">
        <v>842</v>
      </c>
    </row>
    <row r="997" spans="1:7" x14ac:dyDescent="0.25">
      <c r="C997" s="3">
        <v>34000</v>
      </c>
      <c r="D997" s="72">
        <v>43243</v>
      </c>
    </row>
    <row r="998" spans="1:7" x14ac:dyDescent="0.25">
      <c r="B998" s="3">
        <f>SUM(B996:B997)</f>
        <v>227601</v>
      </c>
      <c r="C998" s="3">
        <f>SUM(C996:C997)</f>
        <v>232197</v>
      </c>
      <c r="E998" s="83">
        <f>C998-B998</f>
        <v>4596</v>
      </c>
      <c r="F998" s="72">
        <v>43263</v>
      </c>
      <c r="G998" s="72">
        <v>43265</v>
      </c>
    </row>
    <row r="1000" spans="1:7" x14ac:dyDescent="0.25">
      <c r="A1000" t="s">
        <v>1370</v>
      </c>
      <c r="B1000" s="3">
        <v>37445.300000000003</v>
      </c>
      <c r="C1000" s="54">
        <v>588.6</v>
      </c>
      <c r="D1000" s="72">
        <v>43263</v>
      </c>
      <c r="E1000" s="3" t="s">
        <v>842</v>
      </c>
    </row>
    <row r="1001" spans="1:7" x14ac:dyDescent="0.25">
      <c r="A1001" t="s">
        <v>1371</v>
      </c>
      <c r="B1001" s="3">
        <v>215259</v>
      </c>
      <c r="C1001" s="83">
        <v>4596</v>
      </c>
      <c r="D1001" s="72">
        <v>43263</v>
      </c>
      <c r="E1001" s="3" t="s">
        <v>842</v>
      </c>
    </row>
    <row r="1002" spans="1:7" x14ac:dyDescent="0.25">
      <c r="A1002" t="s">
        <v>1372</v>
      </c>
      <c r="B1002" s="3">
        <v>10152</v>
      </c>
      <c r="C1002" s="3">
        <v>20288</v>
      </c>
      <c r="D1002" s="72">
        <v>43259</v>
      </c>
      <c r="E1002" s="3" t="s">
        <v>1373</v>
      </c>
    </row>
    <row r="1003" spans="1:7" x14ac:dyDescent="0.25">
      <c r="C1003" s="3">
        <v>265000</v>
      </c>
      <c r="D1003" s="72">
        <v>43264</v>
      </c>
      <c r="E1003" s="3" t="s">
        <v>963</v>
      </c>
    </row>
    <row r="1004" spans="1:7" x14ac:dyDescent="0.25">
      <c r="B1004" s="3">
        <f>SUM(B1000:B1003)</f>
        <v>262856.3</v>
      </c>
      <c r="C1004" s="3">
        <f>SUM(C1000:C1003)</f>
        <v>290472.59999999998</v>
      </c>
      <c r="E1004" s="79">
        <f>C1004-B1004</f>
        <v>27616.299999999988</v>
      </c>
      <c r="F1004" s="72">
        <v>43264</v>
      </c>
      <c r="G1004" s="72">
        <v>43265</v>
      </c>
    </row>
    <row r="1005" spans="1:7" x14ac:dyDescent="0.25">
      <c r="E1005" s="3">
        <v>270</v>
      </c>
      <c r="F1005" t="s">
        <v>1374</v>
      </c>
    </row>
    <row r="1006" spans="1:7" x14ac:dyDescent="0.25">
      <c r="A1006" t="s">
        <v>1375</v>
      </c>
      <c r="B1006" s="3">
        <v>226612</v>
      </c>
      <c r="C1006" s="3">
        <v>220000</v>
      </c>
      <c r="D1006" s="72">
        <v>43265</v>
      </c>
      <c r="E1006" s="3" t="s">
        <v>846</v>
      </c>
    </row>
    <row r="1007" spans="1:7" x14ac:dyDescent="0.25">
      <c r="C1007" s="3">
        <v>13200</v>
      </c>
      <c r="D1007" s="72">
        <v>43266</v>
      </c>
    </row>
    <row r="1008" spans="1:7" x14ac:dyDescent="0.25">
      <c r="A1008" t="s">
        <v>1376</v>
      </c>
      <c r="B1008" s="3">
        <v>417824</v>
      </c>
      <c r="C1008" s="79">
        <v>27886.3</v>
      </c>
      <c r="D1008" s="72">
        <v>43264</v>
      </c>
      <c r="E1008" s="3" t="s">
        <v>842</v>
      </c>
    </row>
    <row r="1009" spans="1:7" x14ac:dyDescent="0.25">
      <c r="A1009" t="s">
        <v>1377</v>
      </c>
      <c r="B1009" s="3">
        <v>11023.2</v>
      </c>
      <c r="C1009" s="3">
        <v>65350</v>
      </c>
      <c r="D1009" s="72">
        <v>43265</v>
      </c>
    </row>
    <row r="1010" spans="1:7" x14ac:dyDescent="0.25">
      <c r="C1010" s="3">
        <v>318000</v>
      </c>
      <c r="D1010" s="72">
        <v>43266</v>
      </c>
      <c r="E1010" s="3" t="s">
        <v>846</v>
      </c>
    </row>
    <row r="1011" spans="1:7" x14ac:dyDescent="0.25">
      <c r="C1011" s="3">
        <v>45689</v>
      </c>
      <c r="D1011" s="72">
        <v>43266</v>
      </c>
      <c r="E1011" s="3" t="s">
        <v>1378</v>
      </c>
    </row>
    <row r="1012" spans="1:7" x14ac:dyDescent="0.25">
      <c r="C1012" s="3">
        <v>1885</v>
      </c>
      <c r="D1012" s="72">
        <v>43266</v>
      </c>
      <c r="E1012" s="3" t="s">
        <v>1379</v>
      </c>
    </row>
    <row r="1013" spans="1:7" x14ac:dyDescent="0.25">
      <c r="B1013" s="3">
        <f>SUM(B1006:B1012)</f>
        <v>655459.19999999995</v>
      </c>
      <c r="C1013" s="3">
        <f>SUM(C1006:C1012)</f>
        <v>692010.3</v>
      </c>
      <c r="E1013" s="50">
        <f>C1013-B1013</f>
        <v>36551.100000000093</v>
      </c>
      <c r="F1013" s="72" t="s">
        <v>1380</v>
      </c>
      <c r="G1013" s="72">
        <v>43266</v>
      </c>
    </row>
    <row r="1015" spans="1:7" x14ac:dyDescent="0.25">
      <c r="A1015" t="s">
        <v>1381</v>
      </c>
      <c r="B1015" s="3">
        <v>433422</v>
      </c>
      <c r="C1015" s="3">
        <v>420000</v>
      </c>
      <c r="D1015" s="72">
        <v>43267</v>
      </c>
      <c r="E1015" s="3" t="s">
        <v>846</v>
      </c>
    </row>
    <row r="1016" spans="1:7" x14ac:dyDescent="0.25">
      <c r="C1016" s="3">
        <v>13422</v>
      </c>
      <c r="D1016" s="72">
        <v>43267</v>
      </c>
      <c r="E1016" s="3" t="s">
        <v>849</v>
      </c>
    </row>
    <row r="1017" spans="1:7" x14ac:dyDescent="0.25">
      <c r="B1017" s="3">
        <f>SUM(B1015:B1016)</f>
        <v>433422</v>
      </c>
      <c r="C1017" s="3">
        <f>SUM(C1015:C1016)</f>
        <v>433422</v>
      </c>
      <c r="E1017" s="3">
        <f>C1017-B1017</f>
        <v>0</v>
      </c>
      <c r="F1017" s="72">
        <v>43267</v>
      </c>
      <c r="G1017" s="72">
        <v>43267</v>
      </c>
    </row>
    <row r="1019" spans="1:7" x14ac:dyDescent="0.25">
      <c r="A1019" t="s">
        <v>1382</v>
      </c>
      <c r="B1019" s="3">
        <v>25575.9</v>
      </c>
      <c r="C1019" s="3">
        <v>684000</v>
      </c>
      <c r="D1019" s="72">
        <v>43269</v>
      </c>
      <c r="E1019" s="3" t="s">
        <v>846</v>
      </c>
    </row>
    <row r="1020" spans="1:7" x14ac:dyDescent="0.25">
      <c r="A1020" t="s">
        <v>1383</v>
      </c>
      <c r="B1020" s="3">
        <v>217554</v>
      </c>
    </row>
    <row r="1021" spans="1:7" x14ac:dyDescent="0.25">
      <c r="A1021" t="s">
        <v>1384</v>
      </c>
      <c r="B1021" s="3">
        <v>18044.3</v>
      </c>
    </row>
    <row r="1022" spans="1:7" x14ac:dyDescent="0.25">
      <c r="A1022" t="s">
        <v>1385</v>
      </c>
      <c r="B1022" s="3">
        <v>412173</v>
      </c>
    </row>
    <row r="1023" spans="1:7" x14ac:dyDescent="0.25">
      <c r="B1023" s="3">
        <f>SUM(B1019:B1022)</f>
        <v>673347.2</v>
      </c>
      <c r="C1023" s="3">
        <f>SUM(C1019:C1022)</f>
        <v>684000</v>
      </c>
      <c r="E1023" s="63">
        <f>C1023-B1023</f>
        <v>10652.800000000047</v>
      </c>
      <c r="F1023" s="72">
        <v>43269</v>
      </c>
      <c r="G1023" s="72">
        <v>43270</v>
      </c>
    </row>
    <row r="1025" spans="1:9" x14ac:dyDescent="0.25">
      <c r="A1025" t="s">
        <v>1386</v>
      </c>
      <c r="B1025" s="3">
        <v>378196</v>
      </c>
      <c r="C1025" s="51">
        <v>96242.9</v>
      </c>
      <c r="D1025" s="72">
        <v>43109</v>
      </c>
      <c r="E1025" s="3" t="s">
        <v>842</v>
      </c>
    </row>
    <row r="1026" spans="1:9" x14ac:dyDescent="0.25">
      <c r="C1026" s="79">
        <v>103792.3</v>
      </c>
      <c r="D1026" s="72">
        <v>43215</v>
      </c>
      <c r="E1026" s="3" t="s">
        <v>842</v>
      </c>
    </row>
    <row r="1027" spans="1:9" x14ac:dyDescent="0.25">
      <c r="C1027" s="50">
        <v>36551.1</v>
      </c>
      <c r="D1027" s="72">
        <v>43266</v>
      </c>
      <c r="E1027" s="3" t="s">
        <v>842</v>
      </c>
    </row>
    <row r="1028" spans="1:9" x14ac:dyDescent="0.25">
      <c r="C1028" s="63">
        <v>10652.8</v>
      </c>
      <c r="D1028" s="72">
        <v>43269</v>
      </c>
      <c r="E1028" s="3" t="s">
        <v>842</v>
      </c>
    </row>
    <row r="1029" spans="1:9" x14ac:dyDescent="0.25">
      <c r="C1029" s="3">
        <v>15000</v>
      </c>
      <c r="D1029" s="72">
        <v>43269</v>
      </c>
    </row>
    <row r="1030" spans="1:9" x14ac:dyDescent="0.25">
      <c r="C1030" s="3">
        <v>38500</v>
      </c>
      <c r="D1030" s="72">
        <v>43234</v>
      </c>
    </row>
    <row r="1031" spans="1:9" x14ac:dyDescent="0.25">
      <c r="C1031" s="3">
        <v>50000</v>
      </c>
      <c r="D1031" s="72">
        <v>43272</v>
      </c>
    </row>
    <row r="1032" spans="1:9" x14ac:dyDescent="0.25">
      <c r="C1032" s="3">
        <v>5407</v>
      </c>
      <c r="D1032" s="72">
        <v>43272</v>
      </c>
    </row>
    <row r="1033" spans="1:9" x14ac:dyDescent="0.25">
      <c r="B1033" s="3">
        <f>SUM(B1025:B1032)</f>
        <v>378196</v>
      </c>
      <c r="C1033" s="3">
        <f>SUM(C1025:C1032)</f>
        <v>356146.1</v>
      </c>
      <c r="E1033" s="3">
        <f>C1033-B1033</f>
        <v>-22049.900000000023</v>
      </c>
      <c r="F1033" s="72">
        <v>43271</v>
      </c>
      <c r="G1033" s="72">
        <v>43273</v>
      </c>
      <c r="H1033" t="s">
        <v>1387</v>
      </c>
      <c r="I1033" t="s">
        <v>1388</v>
      </c>
    </row>
    <row r="1035" spans="1:9" x14ac:dyDescent="0.25">
      <c r="A1035" t="s">
        <v>1389</v>
      </c>
      <c r="B1035" s="3">
        <v>234315</v>
      </c>
      <c r="C1035" s="3">
        <v>190000</v>
      </c>
      <c r="D1035" s="72">
        <v>43271</v>
      </c>
    </row>
    <row r="1036" spans="1:9" x14ac:dyDescent="0.25">
      <c r="C1036" s="3">
        <v>44315</v>
      </c>
      <c r="D1036" s="72">
        <v>43272</v>
      </c>
    </row>
    <row r="1037" spans="1:9" x14ac:dyDescent="0.25">
      <c r="B1037" s="3">
        <f>SUM(B1035:B1036)</f>
        <v>234315</v>
      </c>
      <c r="C1037" s="3">
        <f>SUM(C1035:C1036)</f>
        <v>234315</v>
      </c>
      <c r="E1037" s="3">
        <f>C1037-B1037</f>
        <v>0</v>
      </c>
      <c r="F1037" s="72">
        <v>43271</v>
      </c>
      <c r="G1037" s="72">
        <v>43273</v>
      </c>
    </row>
    <row r="1039" spans="1:9" x14ac:dyDescent="0.25">
      <c r="A1039" t="s">
        <v>1390</v>
      </c>
      <c r="B1039" s="3">
        <v>73128.899999999994</v>
      </c>
      <c r="C1039" s="3">
        <v>450000</v>
      </c>
      <c r="D1039" s="72">
        <v>43273</v>
      </c>
      <c r="E1039" s="3" t="s">
        <v>846</v>
      </c>
    </row>
    <row r="1040" spans="1:9" x14ac:dyDescent="0.25">
      <c r="A1040" t="s">
        <v>1391</v>
      </c>
      <c r="B1040" s="3">
        <v>232744</v>
      </c>
      <c r="C1040" s="3">
        <v>200000</v>
      </c>
      <c r="D1040" s="72">
        <v>43273</v>
      </c>
      <c r="E1040" s="3" t="s">
        <v>846</v>
      </c>
    </row>
    <row r="1041" spans="1:8" x14ac:dyDescent="0.25">
      <c r="A1041" t="s">
        <v>1392</v>
      </c>
      <c r="B1041" s="3">
        <v>226188</v>
      </c>
    </row>
    <row r="1042" spans="1:8" x14ac:dyDescent="0.25">
      <c r="B1042" s="3">
        <f>SUM(B1039:B1041)</f>
        <v>532060.9</v>
      </c>
      <c r="C1042" s="3">
        <f>SUM(C1039:C1041)</f>
        <v>650000</v>
      </c>
      <c r="E1042" s="54">
        <f>C1042-B1042</f>
        <v>117939.09999999998</v>
      </c>
      <c r="F1042" s="72">
        <v>43274</v>
      </c>
      <c r="G1042" s="72">
        <v>43274</v>
      </c>
      <c r="H1042" s="28"/>
    </row>
    <row r="1044" spans="1:8" x14ac:dyDescent="0.25">
      <c r="A1044" t="s">
        <v>1393</v>
      </c>
      <c r="B1044" s="3">
        <v>6350.4</v>
      </c>
      <c r="C1044" s="3">
        <v>466000</v>
      </c>
      <c r="D1044" s="72">
        <v>43274</v>
      </c>
      <c r="E1044" s="3" t="s">
        <v>846</v>
      </c>
    </row>
    <row r="1045" spans="1:8" x14ac:dyDescent="0.25">
      <c r="A1045" t="s">
        <v>1394</v>
      </c>
      <c r="B1045" s="3">
        <v>444056</v>
      </c>
    </row>
    <row r="1046" spans="1:8" x14ac:dyDescent="0.25">
      <c r="B1046" s="3">
        <f>SUM(B1044:B1045)</f>
        <v>450406.40000000002</v>
      </c>
      <c r="C1046" s="3">
        <f>SUM(C1044:C1045)</f>
        <v>466000</v>
      </c>
      <c r="E1046" s="86">
        <f>C1046-B1046</f>
        <v>15593.599999999977</v>
      </c>
      <c r="F1046" s="72">
        <v>43274</v>
      </c>
      <c r="G1046" s="72">
        <v>43274</v>
      </c>
      <c r="H1046" s="28"/>
    </row>
    <row r="1048" spans="1:8" x14ac:dyDescent="0.25">
      <c r="A1048" t="s">
        <v>1395</v>
      </c>
      <c r="B1048" s="3">
        <v>440296</v>
      </c>
      <c r="C1048" s="3">
        <v>250000</v>
      </c>
      <c r="D1048" s="72">
        <v>43276</v>
      </c>
      <c r="E1048" s="3" t="s">
        <v>846</v>
      </c>
    </row>
    <row r="1049" spans="1:8" x14ac:dyDescent="0.25">
      <c r="A1049" t="s">
        <v>1396</v>
      </c>
      <c r="B1049" s="3">
        <v>29875.599999999999</v>
      </c>
      <c r="C1049" s="3">
        <v>100000</v>
      </c>
      <c r="D1049" s="72">
        <v>43276</v>
      </c>
    </row>
    <row r="1050" spans="1:8" x14ac:dyDescent="0.25">
      <c r="C1050" s="54">
        <v>117939.1</v>
      </c>
      <c r="D1050" s="72">
        <v>43274</v>
      </c>
      <c r="E1050" s="3" t="s">
        <v>842</v>
      </c>
    </row>
    <row r="1051" spans="1:8" x14ac:dyDescent="0.25">
      <c r="C1051" s="86">
        <v>15593.6</v>
      </c>
      <c r="D1051" s="72">
        <v>43274</v>
      </c>
      <c r="E1051" s="3" t="s">
        <v>842</v>
      </c>
    </row>
    <row r="1052" spans="1:8" x14ac:dyDescent="0.25">
      <c r="B1052" s="3">
        <f>SUM(B1048:B1051)</f>
        <v>470171.6</v>
      </c>
      <c r="C1052" s="3">
        <f>SUM(C1048:C1051)</f>
        <v>483532.69999999995</v>
      </c>
      <c r="E1052" s="3">
        <f>C1052-B1052</f>
        <v>13361.099999999977</v>
      </c>
      <c r="F1052" s="72">
        <v>43276</v>
      </c>
      <c r="G1052" s="72">
        <v>43276</v>
      </c>
      <c r="H1052" s="108"/>
    </row>
    <row r="1054" spans="1:8" x14ac:dyDescent="0.25">
      <c r="A1054" t="s">
        <v>1397</v>
      </c>
      <c r="B1054" s="3">
        <v>1666.6</v>
      </c>
      <c r="C1054" s="3">
        <v>660000</v>
      </c>
      <c r="D1054" s="72">
        <v>43278</v>
      </c>
      <c r="E1054" s="3" t="s">
        <v>846</v>
      </c>
    </row>
    <row r="1055" spans="1:8" x14ac:dyDescent="0.25">
      <c r="A1055" t="s">
        <v>1398</v>
      </c>
      <c r="B1055" s="3">
        <v>400618</v>
      </c>
    </row>
    <row r="1056" spans="1:8" x14ac:dyDescent="0.25">
      <c r="A1056" t="s">
        <v>1399</v>
      </c>
      <c r="B1056" s="3">
        <v>236311</v>
      </c>
    </row>
    <row r="1057" spans="1:8" x14ac:dyDescent="0.25">
      <c r="B1057" s="3">
        <f>SUM(B1054:B1056)</f>
        <v>638595.6</v>
      </c>
      <c r="C1057" s="62">
        <f>SUM(C1054:C1056)</f>
        <v>660000</v>
      </c>
      <c r="E1057" s="3">
        <f>C1057-B1057</f>
        <v>21404.400000000023</v>
      </c>
      <c r="F1057" s="72">
        <v>43278</v>
      </c>
      <c r="G1057" s="72">
        <v>43278</v>
      </c>
      <c r="H1057" s="108"/>
    </row>
    <row r="1059" spans="1:8" x14ac:dyDescent="0.25">
      <c r="A1059" t="s">
        <v>1400</v>
      </c>
      <c r="B1059" s="3">
        <v>14144</v>
      </c>
      <c r="C1059" s="3">
        <v>21404.400000000001</v>
      </c>
      <c r="D1059" s="72">
        <v>43278</v>
      </c>
      <c r="E1059" s="3" t="s">
        <v>842</v>
      </c>
    </row>
    <row r="1060" spans="1:8" x14ac:dyDescent="0.25">
      <c r="A1060" t="s">
        <v>1401</v>
      </c>
      <c r="B1060" s="3">
        <v>438535</v>
      </c>
      <c r="C1060" s="3">
        <v>40000</v>
      </c>
      <c r="D1060" s="72">
        <v>43276</v>
      </c>
      <c r="E1060" s="3" t="s">
        <v>842</v>
      </c>
    </row>
    <row r="1061" spans="1:8" x14ac:dyDescent="0.25">
      <c r="C1061" s="3">
        <v>13361.1</v>
      </c>
      <c r="D1061" s="72">
        <v>43276</v>
      </c>
      <c r="E1061" s="3" t="s">
        <v>842</v>
      </c>
    </row>
    <row r="1062" spans="1:8" x14ac:dyDescent="0.25">
      <c r="C1062" s="3">
        <v>355000</v>
      </c>
      <c r="D1062" s="72">
        <v>43279</v>
      </c>
      <c r="E1062" s="3" t="s">
        <v>846</v>
      </c>
    </row>
    <row r="1063" spans="1:8" x14ac:dyDescent="0.25">
      <c r="C1063" s="3">
        <v>43200</v>
      </c>
      <c r="D1063" s="72">
        <v>43280</v>
      </c>
    </row>
    <row r="1064" spans="1:8" x14ac:dyDescent="0.25">
      <c r="B1064" s="3">
        <f>SUM(B1059:B1063)</f>
        <v>452679</v>
      </c>
      <c r="C1064" s="3">
        <f>SUM(C1059:C1063)</f>
        <v>472965.5</v>
      </c>
      <c r="E1064" s="109">
        <f>C1064-B1064</f>
        <v>20286.5</v>
      </c>
      <c r="F1064" s="72">
        <v>43280</v>
      </c>
      <c r="G1064" s="72">
        <v>43281</v>
      </c>
      <c r="H1064" s="28"/>
    </row>
    <row r="1066" spans="1:8" x14ac:dyDescent="0.25">
      <c r="A1066" t="s">
        <v>1402</v>
      </c>
      <c r="B1066" s="3">
        <v>24529</v>
      </c>
      <c r="C1066" s="3">
        <v>719000</v>
      </c>
      <c r="D1066" s="72">
        <v>43281</v>
      </c>
      <c r="E1066" s="3" t="s">
        <v>846</v>
      </c>
    </row>
    <row r="1067" spans="1:8" x14ac:dyDescent="0.25">
      <c r="A1067" t="s">
        <v>1403</v>
      </c>
      <c r="B1067" s="3">
        <v>429292.5</v>
      </c>
    </row>
    <row r="1068" spans="1:8" x14ac:dyDescent="0.25">
      <c r="A1068" t="s">
        <v>1404</v>
      </c>
      <c r="B1068" s="3">
        <v>250592</v>
      </c>
    </row>
    <row r="1069" spans="1:8" x14ac:dyDescent="0.25">
      <c r="B1069" s="3">
        <f>SUM(B1066:B1068)</f>
        <v>704413.5</v>
      </c>
      <c r="C1069" s="3">
        <f>SUM(C1066:C1068)</f>
        <v>719000</v>
      </c>
      <c r="E1069" s="50">
        <f>C1069-B1069</f>
        <v>14586.5</v>
      </c>
      <c r="F1069" s="72">
        <v>43281</v>
      </c>
      <c r="G1069" s="72">
        <v>43284</v>
      </c>
      <c r="H1069" s="28"/>
    </row>
    <row r="1071" spans="1:8" x14ac:dyDescent="0.25">
      <c r="A1071" t="s">
        <v>1405</v>
      </c>
      <c r="B1071" s="3">
        <v>470814</v>
      </c>
      <c r="C1071" s="3">
        <v>454000</v>
      </c>
      <c r="D1071" s="72">
        <v>43285</v>
      </c>
      <c r="E1071" s="3" t="s">
        <v>846</v>
      </c>
    </row>
    <row r="1072" spans="1:8" x14ac:dyDescent="0.25">
      <c r="A1072" t="s">
        <v>1406</v>
      </c>
      <c r="B1072" s="3">
        <v>430248</v>
      </c>
      <c r="C1072" s="3">
        <v>600000</v>
      </c>
      <c r="D1072" s="72">
        <v>43285</v>
      </c>
      <c r="E1072" s="3" t="s">
        <v>846</v>
      </c>
    </row>
    <row r="1073" spans="1:8" x14ac:dyDescent="0.25">
      <c r="B1073" s="3">
        <f>SUM(B1071:B1072)</f>
        <v>901062</v>
      </c>
      <c r="C1073" s="3">
        <f>SUM(C1071:C1072)</f>
        <v>1054000</v>
      </c>
      <c r="E1073" s="83">
        <f>C1073-B1073</f>
        <v>152938</v>
      </c>
      <c r="F1073" s="72">
        <v>43285</v>
      </c>
      <c r="G1073" s="72">
        <v>43286</v>
      </c>
      <c r="H1073" s="28"/>
    </row>
    <row r="1075" spans="1:8" x14ac:dyDescent="0.25">
      <c r="A1075" t="s">
        <v>1407</v>
      </c>
      <c r="B1075" s="3">
        <v>236768</v>
      </c>
      <c r="C1075" s="3">
        <v>88750</v>
      </c>
      <c r="D1075" s="72">
        <v>43286</v>
      </c>
    </row>
    <row r="1076" spans="1:8" x14ac:dyDescent="0.25">
      <c r="C1076" s="83">
        <v>152938</v>
      </c>
      <c r="D1076" s="72">
        <v>43285</v>
      </c>
      <c r="E1076" s="3" t="s">
        <v>842</v>
      </c>
    </row>
    <row r="1077" spans="1:8" x14ac:dyDescent="0.25">
      <c r="B1077" s="3">
        <f>SUM(B1075:B1076)</f>
        <v>236768</v>
      </c>
      <c r="C1077" s="3">
        <f>SUM(C1075:C1076)</f>
        <v>241688</v>
      </c>
      <c r="E1077" s="107">
        <f>C1077-B1077</f>
        <v>4920</v>
      </c>
      <c r="F1077" s="72">
        <v>43286</v>
      </c>
      <c r="G1077" s="72">
        <v>43286</v>
      </c>
    </row>
    <row r="1079" spans="1:8" x14ac:dyDescent="0.25">
      <c r="A1079" t="s">
        <v>1408</v>
      </c>
      <c r="B1079" s="3">
        <v>453185</v>
      </c>
      <c r="C1079" s="3">
        <v>670000</v>
      </c>
      <c r="D1079" s="72">
        <v>43287</v>
      </c>
      <c r="E1079" s="3" t="s">
        <v>846</v>
      </c>
    </row>
    <row r="1080" spans="1:8" x14ac:dyDescent="0.25">
      <c r="A1080" t="s">
        <v>1409</v>
      </c>
      <c r="B1080" s="3">
        <v>243183</v>
      </c>
      <c r="C1080" s="107">
        <v>4920</v>
      </c>
      <c r="D1080" s="72">
        <v>43286</v>
      </c>
      <c r="E1080" s="3" t="s">
        <v>842</v>
      </c>
    </row>
    <row r="1081" spans="1:8" x14ac:dyDescent="0.25">
      <c r="C1081" s="109">
        <v>20286.5</v>
      </c>
      <c r="D1081" s="72">
        <v>43280</v>
      </c>
      <c r="E1081" s="3" t="s">
        <v>842</v>
      </c>
    </row>
    <row r="1082" spans="1:8" x14ac:dyDescent="0.25">
      <c r="C1082" s="3">
        <v>1162</v>
      </c>
      <c r="D1082" s="72">
        <v>43288</v>
      </c>
    </row>
    <row r="1083" spans="1:8" x14ac:dyDescent="0.25">
      <c r="B1083" s="3">
        <f>SUM(B1079:B1082)</f>
        <v>696368</v>
      </c>
      <c r="C1083" s="3">
        <f>SUM(C1079:C1082)</f>
        <v>696368.5</v>
      </c>
      <c r="E1083" s="3">
        <f>C1083-B1083</f>
        <v>0.5</v>
      </c>
      <c r="F1083" s="72">
        <v>43287</v>
      </c>
      <c r="G1083" s="72">
        <v>43291</v>
      </c>
    </row>
    <row r="1085" spans="1:8" x14ac:dyDescent="0.25">
      <c r="A1085" t="s">
        <v>1410</v>
      </c>
      <c r="B1085" s="3">
        <v>427326</v>
      </c>
      <c r="C1085" s="3">
        <v>500000</v>
      </c>
      <c r="D1085" s="72">
        <v>43290</v>
      </c>
      <c r="E1085" s="3" t="s">
        <v>846</v>
      </c>
    </row>
    <row r="1086" spans="1:8" x14ac:dyDescent="0.25">
      <c r="A1086" t="s">
        <v>1411</v>
      </c>
      <c r="B1086" s="3">
        <v>451526</v>
      </c>
      <c r="C1086" s="3">
        <v>505000</v>
      </c>
      <c r="D1086" s="72">
        <v>43290</v>
      </c>
      <c r="E1086" s="3" t="s">
        <v>846</v>
      </c>
    </row>
    <row r="1087" spans="1:8" x14ac:dyDescent="0.25">
      <c r="A1087" t="s">
        <v>1412</v>
      </c>
      <c r="B1087" s="3">
        <v>13968</v>
      </c>
    </row>
    <row r="1088" spans="1:8" x14ac:dyDescent="0.25">
      <c r="A1088" t="s">
        <v>1413</v>
      </c>
      <c r="B1088" s="3">
        <v>68472.2</v>
      </c>
    </row>
    <row r="1089" spans="1:19" x14ac:dyDescent="0.25">
      <c r="B1089" s="3">
        <f>SUM(B1085:B1088)</f>
        <v>961292.2</v>
      </c>
      <c r="C1089" s="3">
        <f>SUM(C1085:C1088)</f>
        <v>1005000</v>
      </c>
      <c r="E1089" s="54">
        <f>C1089-B1089</f>
        <v>43707.800000000047</v>
      </c>
      <c r="F1089" s="72">
        <v>43291</v>
      </c>
      <c r="G1089" s="72">
        <v>43291</v>
      </c>
      <c r="H1089" s="28"/>
    </row>
    <row r="1091" spans="1:19" x14ac:dyDescent="0.25">
      <c r="A1091" t="s">
        <v>1414</v>
      </c>
      <c r="B1091" s="3">
        <v>1653.6</v>
      </c>
      <c r="C1091" s="3">
        <v>104900</v>
      </c>
      <c r="D1091" s="72">
        <v>43290</v>
      </c>
    </row>
    <row r="1092" spans="1:19" x14ac:dyDescent="0.25">
      <c r="A1092" t="s">
        <v>1415</v>
      </c>
      <c r="B1092" s="3">
        <v>470270</v>
      </c>
      <c r="C1092" s="50">
        <v>14586.5</v>
      </c>
      <c r="D1092" s="72">
        <v>43281</v>
      </c>
      <c r="E1092" s="3" t="s">
        <v>842</v>
      </c>
    </row>
    <row r="1093" spans="1:19" x14ac:dyDescent="0.25">
      <c r="A1093" t="s">
        <v>1416</v>
      </c>
      <c r="B1093" s="3">
        <v>465608</v>
      </c>
      <c r="C1093" s="92">
        <v>211865</v>
      </c>
      <c r="D1093" s="72">
        <v>43210</v>
      </c>
      <c r="E1093" s="3" t="s">
        <v>842</v>
      </c>
      <c r="L1093" s="3"/>
      <c r="M1093" s="72"/>
      <c r="N1093" s="72"/>
      <c r="O1093" s="3"/>
      <c r="P1093" s="72"/>
      <c r="Q1093" s="72"/>
      <c r="R1093" s="62"/>
      <c r="S1093" s="72"/>
    </row>
    <row r="1094" spans="1:19" x14ac:dyDescent="0.25">
      <c r="C1094" s="86">
        <v>561853</v>
      </c>
      <c r="D1094" s="72">
        <v>43192</v>
      </c>
      <c r="E1094" s="3" t="s">
        <v>842</v>
      </c>
      <c r="L1094" s="3"/>
      <c r="M1094" s="72"/>
      <c r="N1094" s="72"/>
    </row>
    <row r="1095" spans="1:19" x14ac:dyDescent="0.25">
      <c r="C1095" s="54">
        <v>43707.8</v>
      </c>
      <c r="D1095" s="72">
        <v>43291</v>
      </c>
      <c r="E1095" s="3" t="s">
        <v>842</v>
      </c>
    </row>
    <row r="1096" spans="1:19" x14ac:dyDescent="0.25">
      <c r="C1096" s="3">
        <v>619</v>
      </c>
      <c r="D1096" s="72">
        <v>43292</v>
      </c>
      <c r="E1096" s="3" t="s">
        <v>849</v>
      </c>
    </row>
    <row r="1097" spans="1:19" x14ac:dyDescent="0.25">
      <c r="B1097" s="3">
        <f>SUM(B1091:B1095)</f>
        <v>937531.6</v>
      </c>
      <c r="C1097" s="3">
        <f>SUM(C1091:C1096)</f>
        <v>937531.3</v>
      </c>
      <c r="E1097" s="3">
        <f>C1097-B1097</f>
        <v>-0.29999999993015081</v>
      </c>
      <c r="F1097" s="72">
        <v>43292</v>
      </c>
      <c r="G1097" s="72">
        <v>43292</v>
      </c>
    </row>
    <row r="1099" spans="1:19" x14ac:dyDescent="0.25">
      <c r="A1099" t="s">
        <v>1417</v>
      </c>
      <c r="B1099" s="3">
        <v>244218</v>
      </c>
      <c r="C1099" s="3">
        <v>241000</v>
      </c>
      <c r="D1099" s="72">
        <v>43294</v>
      </c>
      <c r="E1099" s="3" t="s">
        <v>846</v>
      </c>
    </row>
    <row r="1100" spans="1:19" x14ac:dyDescent="0.25">
      <c r="A1100" t="s">
        <v>1418</v>
      </c>
      <c r="B1100" s="3">
        <v>491986</v>
      </c>
      <c r="C1100" s="3">
        <v>500000</v>
      </c>
      <c r="D1100" s="72">
        <v>43294</v>
      </c>
      <c r="E1100" s="3" t="s">
        <v>846</v>
      </c>
    </row>
    <row r="1101" spans="1:19" x14ac:dyDescent="0.25">
      <c r="B1101" s="3">
        <f>SUM(B1099:B1100)</f>
        <v>736204</v>
      </c>
      <c r="C1101" s="3">
        <f>SUM(C1099:C1100)</f>
        <v>741000</v>
      </c>
      <c r="E1101" s="83">
        <f>C1101-B1101</f>
        <v>4796</v>
      </c>
      <c r="F1101" s="72">
        <v>43294</v>
      </c>
      <c r="G1101" s="72">
        <v>43295</v>
      </c>
    </row>
    <row r="1103" spans="1:19" x14ac:dyDescent="0.25">
      <c r="E1103" s="79">
        <v>276790.2</v>
      </c>
      <c r="F1103" s="72">
        <v>43295</v>
      </c>
      <c r="G1103" s="72">
        <v>43295</v>
      </c>
    </row>
    <row r="1105" spans="1:7" x14ac:dyDescent="0.25">
      <c r="A1105" t="s">
        <v>1419</v>
      </c>
      <c r="B1105" s="3">
        <v>8971.7999999999993</v>
      </c>
      <c r="C1105" s="3">
        <v>665000</v>
      </c>
      <c r="D1105" s="72">
        <v>43301</v>
      </c>
      <c r="E1105" s="3" t="s">
        <v>846</v>
      </c>
    </row>
    <row r="1106" spans="1:7" x14ac:dyDescent="0.25">
      <c r="A1106" t="s">
        <v>1420</v>
      </c>
      <c r="B1106" s="3">
        <v>501380</v>
      </c>
      <c r="C1106" s="3">
        <v>658000</v>
      </c>
      <c r="D1106" s="72">
        <v>43298</v>
      </c>
      <c r="E1106" s="3" t="s">
        <v>846</v>
      </c>
    </row>
    <row r="1107" spans="1:7" x14ac:dyDescent="0.25">
      <c r="A1107" t="s">
        <v>1421</v>
      </c>
      <c r="B1107" s="3">
        <v>34349.35</v>
      </c>
      <c r="C1107" s="83">
        <v>4796</v>
      </c>
      <c r="D1107" s="72">
        <v>43294</v>
      </c>
      <c r="E1107" s="3" t="s">
        <v>842</v>
      </c>
    </row>
    <row r="1108" spans="1:7" x14ac:dyDescent="0.25">
      <c r="A1108" t="s">
        <v>1422</v>
      </c>
      <c r="B1108" s="3">
        <v>462160</v>
      </c>
      <c r="C1108" s="79">
        <v>276790.2</v>
      </c>
      <c r="D1108" s="72">
        <v>43295</v>
      </c>
      <c r="E1108" s="3" t="s">
        <v>842</v>
      </c>
    </row>
    <row r="1109" spans="1:7" x14ac:dyDescent="0.25">
      <c r="A1109" t="s">
        <v>1423</v>
      </c>
      <c r="B1109" s="3">
        <v>473184</v>
      </c>
      <c r="C1109" s="75">
        <v>261340</v>
      </c>
      <c r="D1109" s="72">
        <v>43234</v>
      </c>
      <c r="E1109" s="3" t="s">
        <v>842</v>
      </c>
    </row>
    <row r="1110" spans="1:7" x14ac:dyDescent="0.25">
      <c r="C1110" s="3">
        <v>62580</v>
      </c>
      <c r="D1110" s="72">
        <v>42199</v>
      </c>
    </row>
    <row r="1111" spans="1:7" x14ac:dyDescent="0.25">
      <c r="C1111" s="3">
        <v>110000</v>
      </c>
      <c r="D1111" s="72">
        <v>43297</v>
      </c>
    </row>
    <row r="1112" spans="1:7" x14ac:dyDescent="0.25">
      <c r="C1112" s="3">
        <v>90000</v>
      </c>
      <c r="D1112" s="72">
        <v>43299</v>
      </c>
    </row>
    <row r="1113" spans="1:7" x14ac:dyDescent="0.25">
      <c r="C1113" s="3">
        <v>50000</v>
      </c>
      <c r="D1113" s="72">
        <v>43269</v>
      </c>
    </row>
    <row r="1114" spans="1:7" x14ac:dyDescent="0.25">
      <c r="C1114" s="3">
        <v>55650</v>
      </c>
      <c r="D1114" s="72">
        <v>43270</v>
      </c>
    </row>
    <row r="1115" spans="1:7" x14ac:dyDescent="0.25">
      <c r="B1115" s="3">
        <f>SUM(B1105:B1114)</f>
        <v>1480045.15</v>
      </c>
      <c r="C1115" s="3">
        <f>SUM(C1105:C1114)</f>
        <v>2234156.2000000002</v>
      </c>
      <c r="E1115" s="94">
        <f>C1115-B1115</f>
        <v>754111.05000000028</v>
      </c>
      <c r="F1115" s="72">
        <v>43302</v>
      </c>
      <c r="G1115" s="72">
        <v>43302</v>
      </c>
    </row>
    <row r="1118" spans="1:7" x14ac:dyDescent="0.25">
      <c r="A1118" t="s">
        <v>1424</v>
      </c>
      <c r="B1118" s="3">
        <v>262080</v>
      </c>
      <c r="C1118" s="94">
        <v>754111.05</v>
      </c>
      <c r="D1118" s="72">
        <v>43302</v>
      </c>
      <c r="E1118" s="3" t="s">
        <v>842</v>
      </c>
      <c r="F1118" s="72"/>
      <c r="G1118" s="72"/>
    </row>
    <row r="1119" spans="1:7" x14ac:dyDescent="0.25">
      <c r="A1119" t="s">
        <v>1425</v>
      </c>
      <c r="B1119" s="3">
        <v>522084</v>
      </c>
      <c r="C1119" s="3">
        <v>30053</v>
      </c>
    </row>
    <row r="1121" spans="1:7" x14ac:dyDescent="0.25">
      <c r="B1121" s="3">
        <f>SUM(B1118:B1120)</f>
        <v>784164</v>
      </c>
      <c r="C1121" s="3">
        <f>SUM(C1118:C1120)</f>
        <v>784164.05</v>
      </c>
      <c r="E1121" s="3">
        <f>C1121-B1121</f>
        <v>5.0000000046566129E-2</v>
      </c>
      <c r="F1121" s="72">
        <v>43302</v>
      </c>
      <c r="G1121" s="72">
        <v>43306</v>
      </c>
    </row>
    <row r="1123" spans="1:7" x14ac:dyDescent="0.25">
      <c r="A1123" t="s">
        <v>1426</v>
      </c>
      <c r="B1123" s="3">
        <v>481063</v>
      </c>
      <c r="C1123" s="3">
        <v>70000</v>
      </c>
      <c r="D1123" s="72">
        <v>43304</v>
      </c>
    </row>
    <row r="1124" spans="1:7" x14ac:dyDescent="0.25">
      <c r="A1124" t="s">
        <v>1427</v>
      </c>
      <c r="B1124" s="3">
        <v>465475</v>
      </c>
      <c r="C1124" s="3">
        <v>403000</v>
      </c>
      <c r="D1124" s="72">
        <v>43307</v>
      </c>
      <c r="E1124" t="s">
        <v>846</v>
      </c>
    </row>
    <row r="1125" spans="1:7" x14ac:dyDescent="0.25">
      <c r="A1125" t="s">
        <v>1428</v>
      </c>
      <c r="B1125" s="3">
        <v>9806.4</v>
      </c>
      <c r="C1125" s="3">
        <v>500000</v>
      </c>
      <c r="D1125" s="72">
        <v>43307</v>
      </c>
      <c r="E1125" t="s">
        <v>846</v>
      </c>
    </row>
    <row r="1126" spans="1:7" x14ac:dyDescent="0.25">
      <c r="A1126" t="s">
        <v>1429</v>
      </c>
      <c r="B1126" s="3">
        <v>473496</v>
      </c>
      <c r="C1126" s="3">
        <v>500000</v>
      </c>
      <c r="D1126" s="72">
        <v>43307</v>
      </c>
      <c r="E1126" t="s">
        <v>846</v>
      </c>
    </row>
    <row r="1127" spans="1:7" x14ac:dyDescent="0.25">
      <c r="A1127" t="s">
        <v>1430</v>
      </c>
      <c r="B1127" s="3">
        <v>535844</v>
      </c>
      <c r="C1127" s="3">
        <v>403000</v>
      </c>
      <c r="D1127" s="72">
        <v>43307</v>
      </c>
      <c r="E1127" t="s">
        <v>846</v>
      </c>
    </row>
    <row r="1128" spans="1:7" x14ac:dyDescent="0.25">
      <c r="A1128" t="s">
        <v>1431</v>
      </c>
      <c r="B1128" s="3">
        <v>20021.400000000001</v>
      </c>
      <c r="C1128" s="3">
        <v>286000</v>
      </c>
      <c r="D1128" s="72">
        <v>43308</v>
      </c>
      <c r="E1128" t="s">
        <v>846</v>
      </c>
    </row>
    <row r="1130" spans="1:7" x14ac:dyDescent="0.25">
      <c r="B1130" s="3">
        <f>SUM(B1123:B1129)</f>
        <v>1985705.7999999998</v>
      </c>
      <c r="C1130" s="3">
        <f>SUM(C1123:C1129)</f>
        <v>2162000</v>
      </c>
      <c r="E1130" s="102">
        <f>C1130-B1130</f>
        <v>176294.20000000019</v>
      </c>
      <c r="F1130" s="72">
        <v>43308</v>
      </c>
      <c r="G1130" s="72">
        <v>43308</v>
      </c>
    </row>
    <row r="1132" spans="1:7" x14ac:dyDescent="0.25">
      <c r="A1132" t="s">
        <v>1432</v>
      </c>
      <c r="B1132" s="3">
        <v>490122</v>
      </c>
      <c r="C1132" s="102">
        <v>176294.2</v>
      </c>
      <c r="D1132" s="72">
        <v>43308</v>
      </c>
    </row>
    <row r="1133" spans="1:7" x14ac:dyDescent="0.25">
      <c r="A1133" t="s">
        <v>1433</v>
      </c>
      <c r="B1133" s="3">
        <v>244842</v>
      </c>
      <c r="C1133" s="3">
        <v>400000</v>
      </c>
      <c r="D1133" s="72">
        <v>43311</v>
      </c>
      <c r="E1133" s="3" t="s">
        <v>846</v>
      </c>
    </row>
    <row r="1134" spans="1:7" x14ac:dyDescent="0.25">
      <c r="A1134" t="s">
        <v>1434</v>
      </c>
      <c r="B1134" s="3">
        <v>537947</v>
      </c>
      <c r="C1134" s="3">
        <v>392000</v>
      </c>
      <c r="D1134" s="72">
        <v>43311</v>
      </c>
      <c r="E1134" s="3" t="s">
        <v>846</v>
      </c>
    </row>
    <row r="1135" spans="1:7" x14ac:dyDescent="0.25">
      <c r="C1135" s="3">
        <v>229000</v>
      </c>
      <c r="D1135" s="72">
        <v>43312</v>
      </c>
      <c r="E1135" s="3" t="s">
        <v>846</v>
      </c>
    </row>
    <row r="1136" spans="1:7" x14ac:dyDescent="0.25">
      <c r="C1136" s="3">
        <v>151130</v>
      </c>
      <c r="D1136" s="72">
        <v>43312</v>
      </c>
      <c r="E1136" s="3" t="s">
        <v>846</v>
      </c>
    </row>
    <row r="1138" spans="1:14" x14ac:dyDescent="0.25">
      <c r="B1138" s="3">
        <f>SUM(B1132:B1137)</f>
        <v>1272911</v>
      </c>
      <c r="C1138" s="3">
        <f>SUM(C1132:C1137)</f>
        <v>1348424.2</v>
      </c>
      <c r="E1138" s="54">
        <f>C1138-B1138</f>
        <v>75513.199999999953</v>
      </c>
      <c r="F1138" s="72">
        <v>43313</v>
      </c>
      <c r="G1138" s="72">
        <v>43315</v>
      </c>
    </row>
    <row r="1140" spans="1:14" x14ac:dyDescent="0.25">
      <c r="A1140" t="s">
        <v>1435</v>
      </c>
      <c r="B1140" s="3">
        <v>485070</v>
      </c>
      <c r="C1140" s="3">
        <v>300000</v>
      </c>
      <c r="D1140" s="72">
        <v>43314</v>
      </c>
      <c r="E1140" s="3" t="s">
        <v>846</v>
      </c>
    </row>
    <row r="1141" spans="1:14" x14ac:dyDescent="0.25">
      <c r="A1141" t="s">
        <v>1436</v>
      </c>
      <c r="B1141" s="3">
        <v>194034</v>
      </c>
      <c r="C1141" s="3">
        <v>391000</v>
      </c>
      <c r="D1141" s="72">
        <v>43314</v>
      </c>
      <c r="E1141" s="3" t="s">
        <v>846</v>
      </c>
    </row>
    <row r="1142" spans="1:14" x14ac:dyDescent="0.25">
      <c r="B1142" s="3">
        <f>SUM(B1140:B1141)</f>
        <v>679104</v>
      </c>
      <c r="C1142" s="3">
        <f>SUM(C1140:C1141)</f>
        <v>691000</v>
      </c>
      <c r="E1142" s="50">
        <f>C1142-B1142</f>
        <v>11896</v>
      </c>
      <c r="F1142" s="72">
        <v>43314</v>
      </c>
      <c r="G1142" s="72">
        <v>43315</v>
      </c>
    </row>
    <row r="1144" spans="1:14" x14ac:dyDescent="0.25">
      <c r="A1144" t="s">
        <v>1437</v>
      </c>
      <c r="B1144" s="3">
        <v>287760</v>
      </c>
      <c r="C1144" s="3">
        <v>341000</v>
      </c>
      <c r="D1144" s="72">
        <v>43316</v>
      </c>
      <c r="E1144" s="3" t="s">
        <v>846</v>
      </c>
      <c r="L1144" s="2"/>
      <c r="M1144" s="72"/>
      <c r="N1144" s="72"/>
    </row>
    <row r="1145" spans="1:14" x14ac:dyDescent="0.25">
      <c r="A1145" t="s">
        <v>1438</v>
      </c>
      <c r="B1145" s="3">
        <v>260452</v>
      </c>
      <c r="C1145" s="3">
        <v>400000</v>
      </c>
      <c r="D1145" s="72">
        <v>43316</v>
      </c>
      <c r="E1145" s="3" t="s">
        <v>846</v>
      </c>
      <c r="L1145" s="2"/>
      <c r="M1145" s="72"/>
      <c r="N1145" s="72"/>
    </row>
    <row r="1146" spans="1:14" x14ac:dyDescent="0.25">
      <c r="B1146" s="3">
        <f>SUM(B1144:B1145)</f>
        <v>548212</v>
      </c>
      <c r="C1146" s="3">
        <f>SUM(C1144:C1145)</f>
        <v>741000</v>
      </c>
      <c r="E1146" s="75">
        <f>C1146-B1146</f>
        <v>192788</v>
      </c>
      <c r="F1146" s="72">
        <v>43316</v>
      </c>
      <c r="G1146" s="72">
        <v>43316</v>
      </c>
    </row>
    <row r="1148" spans="1:14" x14ac:dyDescent="0.25">
      <c r="A1148" t="s">
        <v>1439</v>
      </c>
      <c r="B1148" s="3">
        <v>226160</v>
      </c>
      <c r="C1148" s="3">
        <v>302000</v>
      </c>
      <c r="D1148" s="72">
        <v>43319</v>
      </c>
      <c r="E1148" s="3" t="s">
        <v>846</v>
      </c>
    </row>
    <row r="1149" spans="1:14" x14ac:dyDescent="0.25">
      <c r="A1149" t="s">
        <v>1440</v>
      </c>
      <c r="B1149" s="3">
        <v>489262</v>
      </c>
      <c r="C1149" s="3">
        <v>302000</v>
      </c>
      <c r="D1149" s="72">
        <v>43319</v>
      </c>
      <c r="E1149" s="3" t="s">
        <v>846</v>
      </c>
    </row>
    <row r="1150" spans="1:14" x14ac:dyDescent="0.25">
      <c r="A1150" t="s">
        <v>1441</v>
      </c>
      <c r="B1150" s="3">
        <v>507300</v>
      </c>
      <c r="C1150" s="3">
        <v>300000</v>
      </c>
      <c r="D1150" s="72">
        <v>43319</v>
      </c>
      <c r="E1150" s="3" t="s">
        <v>846</v>
      </c>
    </row>
    <row r="1151" spans="1:14" x14ac:dyDescent="0.25">
      <c r="C1151" s="3">
        <v>46300</v>
      </c>
      <c r="D1151" s="72">
        <v>43315</v>
      </c>
    </row>
    <row r="1152" spans="1:14" x14ac:dyDescent="0.25">
      <c r="C1152" s="54">
        <v>75513.2</v>
      </c>
      <c r="D1152" s="72">
        <v>43313</v>
      </c>
      <c r="E1152" s="3" t="s">
        <v>842</v>
      </c>
    </row>
    <row r="1153" spans="1:8" x14ac:dyDescent="0.25">
      <c r="C1153" s="75">
        <v>192788</v>
      </c>
      <c r="D1153" s="72">
        <v>43316</v>
      </c>
      <c r="E1153" s="3" t="s">
        <v>842</v>
      </c>
    </row>
    <row r="1154" spans="1:8" x14ac:dyDescent="0.25">
      <c r="C1154" s="50">
        <v>11896</v>
      </c>
      <c r="D1154" s="72">
        <v>43314</v>
      </c>
      <c r="E1154" s="3" t="s">
        <v>842</v>
      </c>
    </row>
    <row r="1155" spans="1:8" x14ac:dyDescent="0.25">
      <c r="B1155" s="3">
        <f>SUM(B1148:B1154)</f>
        <v>1222722</v>
      </c>
      <c r="C1155" s="3">
        <f>SUM(C1148:C1154)</f>
        <v>1230497.2</v>
      </c>
      <c r="E1155" s="107">
        <f>C1155-B1155</f>
        <v>7775.1999999999534</v>
      </c>
      <c r="F1155" s="72">
        <v>43319</v>
      </c>
      <c r="G1155" s="72">
        <v>43319</v>
      </c>
    </row>
    <row r="1157" spans="1:8" x14ac:dyDescent="0.25">
      <c r="A1157" t="s">
        <v>1442</v>
      </c>
      <c r="B1157" s="3">
        <v>284796</v>
      </c>
      <c r="C1157" s="3">
        <v>443000</v>
      </c>
      <c r="D1157" s="72">
        <v>43321</v>
      </c>
      <c r="E1157" s="3" t="s">
        <v>1443</v>
      </c>
    </row>
    <row r="1158" spans="1:8" x14ac:dyDescent="0.25">
      <c r="A1158" t="s">
        <v>1444</v>
      </c>
      <c r="B1158" s="3">
        <v>215254</v>
      </c>
      <c r="C1158" s="107">
        <v>7775.2</v>
      </c>
      <c r="D1158" s="72">
        <v>43319</v>
      </c>
      <c r="E1158" s="3" t="s">
        <v>842</v>
      </c>
    </row>
    <row r="1159" spans="1:8" x14ac:dyDescent="0.25">
      <c r="C1159" s="3">
        <v>22835</v>
      </c>
      <c r="D1159" s="72">
        <v>43320</v>
      </c>
      <c r="E1159" s="3" t="s">
        <v>1445</v>
      </c>
    </row>
    <row r="1160" spans="1:8" x14ac:dyDescent="0.25">
      <c r="C1160" s="3">
        <v>26439.8</v>
      </c>
      <c r="D1160" s="72">
        <v>43321</v>
      </c>
      <c r="E1160" s="3" t="s">
        <v>849</v>
      </c>
    </row>
    <row r="1161" spans="1:8" x14ac:dyDescent="0.25">
      <c r="B1161" s="3">
        <f>SUM(B1157:B1160)</f>
        <v>500050</v>
      </c>
      <c r="C1161" s="3">
        <f>SUM(C1157:C1160)</f>
        <v>500050</v>
      </c>
      <c r="E1161" s="3">
        <f>C1161-B1161</f>
        <v>0</v>
      </c>
      <c r="F1161" s="72">
        <v>43321</v>
      </c>
      <c r="G1161" s="72">
        <v>43323</v>
      </c>
    </row>
    <row r="1163" spans="1:8" x14ac:dyDescent="0.25">
      <c r="A1163" t="s">
        <v>1446</v>
      </c>
      <c r="B1163" s="3">
        <v>249392</v>
      </c>
      <c r="C1163" s="3">
        <v>579000</v>
      </c>
      <c r="D1163" s="72">
        <v>43323</v>
      </c>
      <c r="E1163" s="3" t="s">
        <v>846</v>
      </c>
    </row>
    <row r="1164" spans="1:8" x14ac:dyDescent="0.25">
      <c r="A1164" t="s">
        <v>1447</v>
      </c>
      <c r="B1164" s="3">
        <v>461828</v>
      </c>
      <c r="C1164" s="3">
        <v>21360.2</v>
      </c>
      <c r="D1164" s="72">
        <v>43322</v>
      </c>
    </row>
    <row r="1165" spans="1:8" x14ac:dyDescent="0.25">
      <c r="C1165" s="3">
        <v>56100</v>
      </c>
      <c r="D1165" s="72">
        <v>43322</v>
      </c>
    </row>
    <row r="1166" spans="1:8" x14ac:dyDescent="0.25">
      <c r="C1166" s="3">
        <v>55800</v>
      </c>
      <c r="D1166" s="72">
        <v>43323</v>
      </c>
    </row>
    <row r="1167" spans="1:8" x14ac:dyDescent="0.25">
      <c r="B1167" s="3">
        <f>SUM(B1163:B1166)</f>
        <v>711220</v>
      </c>
      <c r="C1167" s="3">
        <f>SUM(C1163:C1166)</f>
        <v>712260.2</v>
      </c>
      <c r="E1167" s="3">
        <f>C1167-B1167</f>
        <v>1040.1999999999534</v>
      </c>
      <c r="F1167" s="72">
        <v>43323</v>
      </c>
      <c r="G1167" s="72">
        <v>43323</v>
      </c>
      <c r="H1167" s="48"/>
    </row>
    <row r="1169" spans="1:8" x14ac:dyDescent="0.25">
      <c r="A1169" t="s">
        <v>1448</v>
      </c>
      <c r="B1169" s="3">
        <v>470072</v>
      </c>
      <c r="C1169" s="3">
        <v>476000</v>
      </c>
      <c r="D1169" s="72">
        <v>43325</v>
      </c>
    </row>
    <row r="1170" spans="1:8" x14ac:dyDescent="0.25">
      <c r="B1170" s="3">
        <f>SUM(B1169)</f>
        <v>470072</v>
      </c>
      <c r="C1170" s="3">
        <f>SUM(C1169)</f>
        <v>476000</v>
      </c>
      <c r="E1170" s="3">
        <f>C1170-B1170</f>
        <v>5928</v>
      </c>
      <c r="F1170" s="72">
        <v>43325</v>
      </c>
      <c r="G1170" s="72">
        <v>43325</v>
      </c>
      <c r="H1170" s="48"/>
    </row>
    <row r="1172" spans="1:8" x14ac:dyDescent="0.25">
      <c r="A1172" t="s">
        <v>1449</v>
      </c>
      <c r="B1172" s="3">
        <v>261924</v>
      </c>
      <c r="C1172" s="3">
        <v>57550</v>
      </c>
      <c r="D1172" s="72">
        <v>43326</v>
      </c>
    </row>
    <row r="1173" spans="1:8" x14ac:dyDescent="0.25">
      <c r="C1173" s="3">
        <v>126758</v>
      </c>
      <c r="D1173" s="72">
        <v>43326</v>
      </c>
    </row>
    <row r="1174" spans="1:8" x14ac:dyDescent="0.25">
      <c r="C1174" s="3">
        <v>48419</v>
      </c>
      <c r="D1174" s="72">
        <v>43326</v>
      </c>
      <c r="E1174" s="3" t="s">
        <v>1450</v>
      </c>
    </row>
    <row r="1175" spans="1:8" x14ac:dyDescent="0.25">
      <c r="C1175" s="3">
        <v>37245</v>
      </c>
      <c r="D1175" s="72">
        <v>43321</v>
      </c>
      <c r="E1175" s="3" t="s">
        <v>1451</v>
      </c>
    </row>
    <row r="1176" spans="1:8" x14ac:dyDescent="0.25">
      <c r="B1176" s="3">
        <f>SUM(B1172:B1175)</f>
        <v>261924</v>
      </c>
      <c r="C1176" s="3">
        <f>SUM(C1172:C1175)</f>
        <v>269972</v>
      </c>
      <c r="E1176" s="3">
        <f>C1176-B1176</f>
        <v>8048</v>
      </c>
      <c r="F1176" s="72">
        <v>43326</v>
      </c>
      <c r="G1176" s="72">
        <v>43326</v>
      </c>
      <c r="H1176" s="48"/>
    </row>
    <row r="1178" spans="1:8" x14ac:dyDescent="0.25">
      <c r="A1178" t="s">
        <v>1452</v>
      </c>
      <c r="B1178" s="3">
        <v>453351</v>
      </c>
      <c r="C1178" s="3">
        <v>500000</v>
      </c>
      <c r="D1178" s="72">
        <v>43328</v>
      </c>
    </row>
    <row r="1179" spans="1:8" x14ac:dyDescent="0.25">
      <c r="B1179" s="3">
        <f>SUM(B1178)</f>
        <v>453351</v>
      </c>
      <c r="C1179" s="3">
        <f>SUM(C1178)</f>
        <v>500000</v>
      </c>
      <c r="E1179" s="63">
        <f>C1179-B1179</f>
        <v>46649</v>
      </c>
      <c r="F1179" s="72">
        <v>43328</v>
      </c>
      <c r="G1179" s="72">
        <v>43328</v>
      </c>
    </row>
    <row r="1181" spans="1:8" x14ac:dyDescent="0.25">
      <c r="A1181" t="s">
        <v>1453</v>
      </c>
      <c r="B1181" s="3">
        <v>549309</v>
      </c>
      <c r="C1181" s="3">
        <v>470000</v>
      </c>
      <c r="D1181" s="72">
        <v>43330</v>
      </c>
      <c r="E1181" s="3" t="s">
        <v>846</v>
      </c>
    </row>
    <row r="1182" spans="1:8" x14ac:dyDescent="0.25">
      <c r="C1182" s="3">
        <v>80700</v>
      </c>
      <c r="D1182" s="72">
        <v>43330</v>
      </c>
    </row>
    <row r="1183" spans="1:8" x14ac:dyDescent="0.25">
      <c r="B1183" s="3">
        <f>SUM(B1181:B1182)</f>
        <v>549309</v>
      </c>
      <c r="C1183" s="3">
        <f>SUM(C1181:C1182)</f>
        <v>550700</v>
      </c>
      <c r="E1183" s="3">
        <f>C1183-B1183</f>
        <v>1391</v>
      </c>
      <c r="F1183" s="72">
        <v>43330</v>
      </c>
      <c r="G1183" s="72">
        <v>43330</v>
      </c>
      <c r="H1183" s="48"/>
    </row>
    <row r="1185" spans="1:7" x14ac:dyDescent="0.25">
      <c r="A1185" t="s">
        <v>1454</v>
      </c>
      <c r="B1185" s="3">
        <v>269326</v>
      </c>
      <c r="C1185" s="3">
        <v>300000</v>
      </c>
      <c r="D1185" s="72">
        <v>43332</v>
      </c>
      <c r="E1185" s="3" t="s">
        <v>846</v>
      </c>
    </row>
    <row r="1186" spans="1:7" x14ac:dyDescent="0.25">
      <c r="A1186" t="s">
        <v>1455</v>
      </c>
      <c r="B1186" s="3">
        <v>493373</v>
      </c>
      <c r="C1186" s="3">
        <v>338000</v>
      </c>
      <c r="D1186" s="72">
        <v>43332</v>
      </c>
      <c r="E1186" s="3" t="s">
        <v>846</v>
      </c>
    </row>
    <row r="1187" spans="1:7" x14ac:dyDescent="0.25">
      <c r="C1187" s="3">
        <v>10970</v>
      </c>
      <c r="D1187" s="72">
        <v>43328</v>
      </c>
    </row>
    <row r="1188" spans="1:7" x14ac:dyDescent="0.25">
      <c r="C1188" s="3">
        <v>42400</v>
      </c>
      <c r="D1188" s="72">
        <v>43327</v>
      </c>
    </row>
    <row r="1189" spans="1:7" x14ac:dyDescent="0.25">
      <c r="C1189" s="3">
        <v>56000</v>
      </c>
      <c r="D1189" s="72">
        <v>43332</v>
      </c>
    </row>
    <row r="1190" spans="1:7" x14ac:dyDescent="0.25">
      <c r="C1190" s="3">
        <v>1391</v>
      </c>
      <c r="D1190" s="72">
        <v>43330</v>
      </c>
      <c r="E1190" s="3" t="s">
        <v>842</v>
      </c>
    </row>
    <row r="1191" spans="1:7" x14ac:dyDescent="0.25">
      <c r="C1191" s="3">
        <v>1040.2</v>
      </c>
      <c r="D1191" s="72">
        <v>43323</v>
      </c>
      <c r="E1191" s="3" t="s">
        <v>842</v>
      </c>
    </row>
    <row r="1192" spans="1:7" x14ac:dyDescent="0.25">
      <c r="C1192" s="3">
        <v>5928</v>
      </c>
      <c r="D1192" s="72">
        <v>43325</v>
      </c>
      <c r="E1192" s="3" t="s">
        <v>842</v>
      </c>
    </row>
    <row r="1193" spans="1:7" x14ac:dyDescent="0.25">
      <c r="C1193" s="3">
        <v>8048</v>
      </c>
      <c r="D1193" s="72">
        <v>43326</v>
      </c>
      <c r="E1193" s="3" t="s">
        <v>842</v>
      </c>
    </row>
    <row r="1194" spans="1:7" x14ac:dyDescent="0.25">
      <c r="B1194" s="3">
        <f>SUM(B1185:B1193)</f>
        <v>762699</v>
      </c>
      <c r="C1194" s="3">
        <f>SUM(C1185:C1193)</f>
        <v>763777.2</v>
      </c>
      <c r="E1194" s="83">
        <f>C1194-B1194</f>
        <v>1078.1999999999534</v>
      </c>
      <c r="F1194" s="72">
        <v>43333</v>
      </c>
      <c r="G1194" s="72">
        <v>43334</v>
      </c>
    </row>
    <row r="1196" spans="1:7" x14ac:dyDescent="0.25">
      <c r="A1196" t="s">
        <v>1456</v>
      </c>
      <c r="B1196" s="3">
        <v>277780</v>
      </c>
      <c r="C1196" s="3">
        <v>309366.5</v>
      </c>
      <c r="D1196" s="72">
        <v>43334</v>
      </c>
      <c r="E1196" s="3" t="s">
        <v>846</v>
      </c>
    </row>
    <row r="1197" spans="1:7" x14ac:dyDescent="0.25">
      <c r="A1197" t="s">
        <v>1457</v>
      </c>
      <c r="B1197" s="3">
        <v>497336</v>
      </c>
      <c r="C1197" s="3">
        <v>338633.5</v>
      </c>
      <c r="D1197" s="72">
        <v>43334</v>
      </c>
      <c r="E1197" s="3" t="s">
        <v>846</v>
      </c>
    </row>
    <row r="1198" spans="1:7" x14ac:dyDescent="0.25">
      <c r="C1198" s="3">
        <v>60650</v>
      </c>
      <c r="D1198" s="72">
        <v>43334</v>
      </c>
    </row>
    <row r="1199" spans="1:7" x14ac:dyDescent="0.25">
      <c r="C1199" s="63">
        <v>46649</v>
      </c>
      <c r="D1199" s="72">
        <v>43328</v>
      </c>
      <c r="E1199" s="3" t="s">
        <v>842</v>
      </c>
    </row>
    <row r="1200" spans="1:7" x14ac:dyDescent="0.25">
      <c r="C1200" s="83">
        <v>1078.2</v>
      </c>
      <c r="D1200" s="72">
        <v>43333</v>
      </c>
      <c r="E1200" s="3" t="s">
        <v>842</v>
      </c>
    </row>
    <row r="1201" spans="1:7" x14ac:dyDescent="0.25">
      <c r="C1201" s="3">
        <v>12200</v>
      </c>
      <c r="D1201" s="72">
        <v>43335</v>
      </c>
    </row>
    <row r="1202" spans="1:7" x14ac:dyDescent="0.25">
      <c r="C1202" s="3">
        <v>6538</v>
      </c>
      <c r="D1202" s="72">
        <v>43335</v>
      </c>
      <c r="E1202" s="3" t="s">
        <v>849</v>
      </c>
    </row>
    <row r="1203" spans="1:7" x14ac:dyDescent="0.25">
      <c r="B1203" s="3">
        <f>SUM(B1196:B1200)</f>
        <v>775116</v>
      </c>
      <c r="C1203" s="3">
        <f>SUM(C1196:C1202)</f>
        <v>775115.2</v>
      </c>
      <c r="E1203" s="3">
        <f>C1203-B1203</f>
        <v>-0.80000000004656613</v>
      </c>
      <c r="F1203" s="72">
        <v>43334</v>
      </c>
      <c r="G1203" s="72">
        <v>43335</v>
      </c>
    </row>
    <row r="1205" spans="1:7" x14ac:dyDescent="0.25">
      <c r="A1205" t="s">
        <v>1458</v>
      </c>
      <c r="B1205" s="3">
        <v>493926</v>
      </c>
      <c r="C1205" s="3">
        <v>300000</v>
      </c>
      <c r="D1205" s="72">
        <v>43336</v>
      </c>
      <c r="E1205" s="3" t="s">
        <v>846</v>
      </c>
    </row>
    <row r="1206" spans="1:7" x14ac:dyDescent="0.25">
      <c r="C1206" s="3">
        <v>307000</v>
      </c>
      <c r="D1206" s="72">
        <v>43336</v>
      </c>
      <c r="E1206" s="3" t="s">
        <v>846</v>
      </c>
    </row>
    <row r="1207" spans="1:7" x14ac:dyDescent="0.25">
      <c r="B1207" s="3">
        <f>SUM(B1205:B1206)</f>
        <v>493926</v>
      </c>
      <c r="C1207" s="3">
        <f>SUM(C1205:C1206)</f>
        <v>607000</v>
      </c>
      <c r="E1207" s="50">
        <f>C1207-B1207</f>
        <v>113074</v>
      </c>
      <c r="F1207" s="72">
        <v>43336</v>
      </c>
      <c r="G1207" s="72">
        <v>43336</v>
      </c>
    </row>
    <row r="1209" spans="1:7" x14ac:dyDescent="0.25">
      <c r="A1209" t="s">
        <v>1459</v>
      </c>
      <c r="B1209" s="3">
        <v>527180</v>
      </c>
      <c r="C1209" s="3">
        <v>410000</v>
      </c>
      <c r="D1209" s="72">
        <v>43337</v>
      </c>
      <c r="E1209" s="3" t="s">
        <v>846</v>
      </c>
    </row>
    <row r="1210" spans="1:7" x14ac:dyDescent="0.25">
      <c r="C1210" s="50">
        <v>113074</v>
      </c>
      <c r="D1210" s="72">
        <v>43336</v>
      </c>
      <c r="E1210" s="3" t="s">
        <v>842</v>
      </c>
    </row>
    <row r="1211" spans="1:7" x14ac:dyDescent="0.25">
      <c r="C1211" s="3">
        <v>22900</v>
      </c>
      <c r="D1211" s="72">
        <v>43337</v>
      </c>
      <c r="E1211" s="3" t="s">
        <v>849</v>
      </c>
    </row>
    <row r="1212" spans="1:7" x14ac:dyDescent="0.25">
      <c r="B1212" s="3">
        <f>SUM(B1209:B1211)</f>
        <v>527180</v>
      </c>
      <c r="C1212" s="3">
        <f>SUM(C1209:C1211)</f>
        <v>545974</v>
      </c>
      <c r="E1212" s="91">
        <f>C1212-B1212</f>
        <v>18794</v>
      </c>
      <c r="F1212" s="72">
        <v>43337</v>
      </c>
      <c r="G1212" s="72">
        <v>43337</v>
      </c>
    </row>
    <row r="1214" spans="1:7" x14ac:dyDescent="0.25">
      <c r="A1214" t="s">
        <v>1460</v>
      </c>
      <c r="B1214" s="3">
        <v>24523.4</v>
      </c>
      <c r="C1214" s="3">
        <v>138159</v>
      </c>
      <c r="D1214" s="72">
        <v>43340</v>
      </c>
    </row>
    <row r="1215" spans="1:7" x14ac:dyDescent="0.25">
      <c r="A1215" t="s">
        <v>1461</v>
      </c>
      <c r="B1215" s="3">
        <v>20906.650000000001</v>
      </c>
      <c r="C1215" s="3">
        <v>507000</v>
      </c>
      <c r="D1215" s="72">
        <v>43340</v>
      </c>
      <c r="E1215" s="3" t="s">
        <v>846</v>
      </c>
    </row>
    <row r="1216" spans="1:7" x14ac:dyDescent="0.25">
      <c r="A1216" t="s">
        <v>1462</v>
      </c>
      <c r="B1216" s="3">
        <v>284192</v>
      </c>
    </row>
    <row r="1217" spans="1:12" x14ac:dyDescent="0.25">
      <c r="A1217" t="s">
        <v>1463</v>
      </c>
      <c r="B1217" s="3">
        <v>240690</v>
      </c>
    </row>
    <row r="1218" spans="1:12" x14ac:dyDescent="0.25">
      <c r="B1218" s="3">
        <f>SUM(B1214:B1217)</f>
        <v>570312.05000000005</v>
      </c>
      <c r="C1218" s="3">
        <f>SUM(C1214:C1217)</f>
        <v>645159</v>
      </c>
      <c r="E1218" s="107">
        <f>C1218-B1218</f>
        <v>74846.949999999953</v>
      </c>
      <c r="F1218" s="72">
        <v>43340</v>
      </c>
      <c r="G1218" s="72">
        <v>43341</v>
      </c>
      <c r="H1218" t="s">
        <v>1464</v>
      </c>
    </row>
    <row r="1220" spans="1:12" x14ac:dyDescent="0.25">
      <c r="A1220" t="s">
        <v>1465</v>
      </c>
      <c r="B1220" s="3">
        <v>10864.8</v>
      </c>
      <c r="C1220" s="3">
        <v>349793</v>
      </c>
      <c r="D1220" s="72">
        <v>43343</v>
      </c>
      <c r="E1220" s="3" t="s">
        <v>846</v>
      </c>
      <c r="L1220" s="3"/>
    </row>
    <row r="1221" spans="1:12" x14ac:dyDescent="0.25">
      <c r="A1221" t="s">
        <v>1466</v>
      </c>
      <c r="B1221" s="3">
        <v>264350</v>
      </c>
      <c r="C1221" s="3">
        <v>348207</v>
      </c>
      <c r="D1221" s="72">
        <v>43343</v>
      </c>
      <c r="E1221" s="3" t="s">
        <v>846</v>
      </c>
      <c r="L1221" s="3"/>
    </row>
    <row r="1222" spans="1:12" x14ac:dyDescent="0.25">
      <c r="A1222" t="s">
        <v>1467</v>
      </c>
      <c r="B1222" s="3">
        <v>242394</v>
      </c>
      <c r="C1222" s="107">
        <v>74846.95</v>
      </c>
    </row>
    <row r="1223" spans="1:12" x14ac:dyDescent="0.25">
      <c r="A1223" t="s">
        <v>1468</v>
      </c>
      <c r="B1223" s="3">
        <v>252192</v>
      </c>
    </row>
    <row r="1224" spans="1:12" x14ac:dyDescent="0.25">
      <c r="B1224" s="3">
        <f>SUM(B1220:B1223)</f>
        <v>769800.8</v>
      </c>
      <c r="C1224" s="3">
        <f>SUM(C1220:C1222)</f>
        <v>772846.95</v>
      </c>
      <c r="E1224" s="94">
        <f>C1224-B1224</f>
        <v>3046.1499999999069</v>
      </c>
      <c r="F1224" s="72">
        <v>43343</v>
      </c>
      <c r="G1224" s="72">
        <v>43346</v>
      </c>
    </row>
    <row r="1226" spans="1:12" x14ac:dyDescent="0.25">
      <c r="A1226" t="s">
        <v>1469</v>
      </c>
      <c r="B1226" s="3">
        <v>496825</v>
      </c>
      <c r="C1226" s="3">
        <v>492716</v>
      </c>
      <c r="D1226" s="72">
        <v>43346</v>
      </c>
      <c r="E1226" s="3" t="s">
        <v>846</v>
      </c>
    </row>
    <row r="1227" spans="1:12" x14ac:dyDescent="0.25">
      <c r="A1227" t="s">
        <v>1470</v>
      </c>
      <c r="B1227" s="3">
        <v>25084.799999999999</v>
      </c>
      <c r="C1227" s="3">
        <v>472284</v>
      </c>
      <c r="D1227" s="72">
        <v>43346</v>
      </c>
      <c r="E1227" s="3" t="s">
        <v>846</v>
      </c>
    </row>
    <row r="1228" spans="1:12" x14ac:dyDescent="0.25">
      <c r="A1228" t="s">
        <v>1471</v>
      </c>
      <c r="B1228" s="3">
        <v>483224.5</v>
      </c>
      <c r="C1228" s="94">
        <v>3046.15</v>
      </c>
      <c r="D1228" s="72">
        <v>43343</v>
      </c>
      <c r="E1228" s="3" t="s">
        <v>842</v>
      </c>
    </row>
    <row r="1229" spans="1:12" x14ac:dyDescent="0.25">
      <c r="C1229" s="91">
        <v>18794</v>
      </c>
      <c r="D1229" s="72">
        <v>43337</v>
      </c>
      <c r="E1229" s="3" t="s">
        <v>842</v>
      </c>
    </row>
    <row r="1230" spans="1:12" x14ac:dyDescent="0.25">
      <c r="C1230" s="3">
        <v>57000</v>
      </c>
      <c r="D1230" s="72">
        <v>43347</v>
      </c>
    </row>
    <row r="1231" spans="1:12" x14ac:dyDescent="0.25">
      <c r="B1231" s="3">
        <f>SUM(B1226:B1229)</f>
        <v>1005134.3</v>
      </c>
      <c r="C1231" s="3">
        <f>SUM(C1226:C1230)</f>
        <v>1043840.15</v>
      </c>
      <c r="E1231" s="50">
        <f>C1231-B1231</f>
        <v>38705.849999999977</v>
      </c>
      <c r="F1231" s="72">
        <v>43346</v>
      </c>
      <c r="G1231" s="72">
        <v>43348</v>
      </c>
    </row>
    <row r="1233" spans="1:7" x14ac:dyDescent="0.25">
      <c r="A1233" t="s">
        <v>1472</v>
      </c>
      <c r="B1233" s="3">
        <v>317940</v>
      </c>
      <c r="C1233" s="3">
        <v>422000</v>
      </c>
      <c r="D1233" s="72">
        <v>43347</v>
      </c>
      <c r="E1233" s="3" t="s">
        <v>846</v>
      </c>
    </row>
    <row r="1234" spans="1:7" x14ac:dyDescent="0.25">
      <c r="A1234" t="s">
        <v>1473</v>
      </c>
      <c r="B1234" s="3">
        <v>8179.2</v>
      </c>
    </row>
    <row r="1235" spans="1:7" x14ac:dyDescent="0.25">
      <c r="B1235" s="3">
        <f>SUM(B1233:B1234)</f>
        <v>326119.2</v>
      </c>
      <c r="C1235" s="3">
        <f>SUM(C1233:C1234)</f>
        <v>422000</v>
      </c>
      <c r="E1235" s="110">
        <f>C1235-B1235</f>
        <v>95880.799999999988</v>
      </c>
      <c r="F1235" s="72">
        <v>43347</v>
      </c>
      <c r="G1235" s="72">
        <v>43348</v>
      </c>
    </row>
    <row r="1237" spans="1:7" x14ac:dyDescent="0.25">
      <c r="A1237" t="s">
        <v>1474</v>
      </c>
      <c r="B1237" s="3">
        <v>249184</v>
      </c>
      <c r="C1237" s="3">
        <v>266000</v>
      </c>
      <c r="D1237" s="72">
        <v>43348</v>
      </c>
      <c r="E1237" s="3" t="s">
        <v>846</v>
      </c>
    </row>
    <row r="1238" spans="1:7" x14ac:dyDescent="0.25">
      <c r="B1238" s="3">
        <f>SUM(B1237)</f>
        <v>249184</v>
      </c>
      <c r="C1238" s="3">
        <f>SUM(C1237)</f>
        <v>266000</v>
      </c>
      <c r="E1238" s="111">
        <f>C1238-B1238</f>
        <v>16816</v>
      </c>
      <c r="F1238" s="72">
        <v>43349</v>
      </c>
      <c r="G1238" s="72">
        <v>43349</v>
      </c>
    </row>
    <row r="1240" spans="1:7" x14ac:dyDescent="0.25">
      <c r="A1240" t="s">
        <v>1475</v>
      </c>
      <c r="B1240" s="3">
        <v>281785</v>
      </c>
      <c r="C1240" s="3">
        <v>360000</v>
      </c>
      <c r="D1240" s="72">
        <v>43349</v>
      </c>
      <c r="E1240" s="3" t="s">
        <v>846</v>
      </c>
    </row>
    <row r="1241" spans="1:7" x14ac:dyDescent="0.25">
      <c r="A1241" t="s">
        <v>1476</v>
      </c>
      <c r="B1241" s="3">
        <v>274560</v>
      </c>
      <c r="C1241" s="50">
        <v>38705.85</v>
      </c>
      <c r="D1241" s="72">
        <v>43346</v>
      </c>
      <c r="E1241" s="3" t="s">
        <v>842</v>
      </c>
    </row>
    <row r="1242" spans="1:7" x14ac:dyDescent="0.25">
      <c r="C1242" s="110">
        <v>95880.8</v>
      </c>
      <c r="D1242" s="72">
        <v>43347</v>
      </c>
      <c r="E1242" s="3" t="s">
        <v>842</v>
      </c>
    </row>
    <row r="1243" spans="1:7" x14ac:dyDescent="0.25">
      <c r="C1243" s="111">
        <v>16816</v>
      </c>
      <c r="D1243" s="72">
        <v>43349</v>
      </c>
      <c r="E1243" s="3" t="s">
        <v>842</v>
      </c>
    </row>
    <row r="1244" spans="1:7" x14ac:dyDescent="0.25">
      <c r="C1244" s="3">
        <v>17479</v>
      </c>
      <c r="D1244" s="72">
        <v>43347</v>
      </c>
      <c r="E1244" s="3" t="s">
        <v>1477</v>
      </c>
    </row>
    <row r="1245" spans="1:7" x14ac:dyDescent="0.25">
      <c r="C1245" s="3">
        <v>10488</v>
      </c>
      <c r="D1245" s="72">
        <v>43349</v>
      </c>
      <c r="E1245" s="3" t="s">
        <v>1478</v>
      </c>
    </row>
    <row r="1246" spans="1:7" x14ac:dyDescent="0.25">
      <c r="C1246" s="3">
        <v>37900</v>
      </c>
      <c r="D1246" s="72">
        <v>43349</v>
      </c>
      <c r="E1246" s="3" t="s">
        <v>849</v>
      </c>
    </row>
    <row r="1247" spans="1:7" x14ac:dyDescent="0.25">
      <c r="B1247" s="3">
        <f>SUM(B1240:B1246)</f>
        <v>556345</v>
      </c>
      <c r="C1247" s="3">
        <f>SUM(C1240:C1246)</f>
        <v>577269.64999999991</v>
      </c>
      <c r="E1247" s="83">
        <f>C1247-B1247</f>
        <v>20924.649999999907</v>
      </c>
      <c r="F1247" s="72">
        <v>43349</v>
      </c>
      <c r="G1247" s="72">
        <v>43349</v>
      </c>
    </row>
    <row r="1249" spans="1:7" x14ac:dyDescent="0.25">
      <c r="A1249" t="s">
        <v>1479</v>
      </c>
      <c r="B1249" s="3">
        <v>519141</v>
      </c>
      <c r="C1249" s="3">
        <v>392000</v>
      </c>
      <c r="D1249" s="72">
        <v>43351</v>
      </c>
      <c r="E1249" s="3" t="s">
        <v>846</v>
      </c>
    </row>
    <row r="1250" spans="1:7" x14ac:dyDescent="0.25">
      <c r="C1250" s="3">
        <v>114930</v>
      </c>
      <c r="D1250" s="72">
        <v>43351</v>
      </c>
    </row>
    <row r="1251" spans="1:7" x14ac:dyDescent="0.25">
      <c r="C1251" s="83">
        <v>20924.650000000001</v>
      </c>
      <c r="D1251" s="72">
        <v>43349</v>
      </c>
      <c r="E1251" s="3" t="s">
        <v>842</v>
      </c>
    </row>
    <row r="1252" spans="1:7" x14ac:dyDescent="0.25">
      <c r="B1252" s="3">
        <f>SUM(B1249:B1251)</f>
        <v>519141</v>
      </c>
      <c r="C1252" s="3">
        <f>SUM(C1249:C1251)</f>
        <v>527854.65</v>
      </c>
      <c r="E1252" s="63">
        <f>C1252-B1252</f>
        <v>8713.6500000000233</v>
      </c>
      <c r="F1252" s="72">
        <v>43351</v>
      </c>
      <c r="G1252" s="72">
        <v>43353</v>
      </c>
    </row>
    <row r="1254" spans="1:7" x14ac:dyDescent="0.25">
      <c r="A1254" t="s">
        <v>1480</v>
      </c>
      <c r="B1254" s="3">
        <v>284823</v>
      </c>
      <c r="C1254" s="3">
        <v>424000</v>
      </c>
      <c r="D1254" s="72">
        <v>43353</v>
      </c>
      <c r="E1254" s="3" t="s">
        <v>846</v>
      </c>
    </row>
    <row r="1255" spans="1:7" x14ac:dyDescent="0.25">
      <c r="B1255" s="3">
        <f>SUM(B1254)</f>
        <v>284823</v>
      </c>
      <c r="C1255" s="3">
        <f>SUM(C1254)</f>
        <v>424000</v>
      </c>
      <c r="E1255" s="75">
        <f>C1255-B1255</f>
        <v>139177</v>
      </c>
      <c r="F1255" s="72">
        <v>43353</v>
      </c>
      <c r="G1255" s="72"/>
    </row>
    <row r="1257" spans="1:7" x14ac:dyDescent="0.25">
      <c r="A1257" t="s">
        <v>1481</v>
      </c>
      <c r="B1257" s="3">
        <v>262125.5</v>
      </c>
      <c r="C1257" s="63">
        <v>8713.6</v>
      </c>
      <c r="D1257" s="72">
        <v>43351</v>
      </c>
      <c r="E1257" s="3" t="s">
        <v>842</v>
      </c>
    </row>
    <row r="1258" spans="1:7" x14ac:dyDescent="0.25">
      <c r="C1258" s="75">
        <v>139177</v>
      </c>
      <c r="D1258" s="72">
        <v>43353</v>
      </c>
      <c r="E1258" s="3" t="s">
        <v>842</v>
      </c>
    </row>
    <row r="1259" spans="1:7" x14ac:dyDescent="0.25">
      <c r="C1259" s="3">
        <v>50600</v>
      </c>
      <c r="D1259" s="72">
        <v>43354</v>
      </c>
    </row>
    <row r="1260" spans="1:7" x14ac:dyDescent="0.25">
      <c r="C1260" s="3">
        <v>70100</v>
      </c>
      <c r="D1260" s="72">
        <v>43355</v>
      </c>
      <c r="E1260" s="3" t="s">
        <v>849</v>
      </c>
    </row>
    <row r="1261" spans="1:7" x14ac:dyDescent="0.25">
      <c r="B1261" s="3">
        <f>SUM(B1257:B1260)</f>
        <v>262125.5</v>
      </c>
      <c r="C1261" s="3">
        <f>SUM(C1257:C1260)</f>
        <v>268590.59999999998</v>
      </c>
      <c r="E1261" s="54">
        <f>C1261-B1261</f>
        <v>6465.0999999999767</v>
      </c>
      <c r="F1261" s="72">
        <v>43354</v>
      </c>
      <c r="G1261" s="72">
        <v>43357</v>
      </c>
    </row>
    <row r="1263" spans="1:7" x14ac:dyDescent="0.25">
      <c r="A1263" t="s">
        <v>1482</v>
      </c>
      <c r="B1263" s="3">
        <v>36388.800000000003</v>
      </c>
      <c r="C1263" s="3">
        <v>400000</v>
      </c>
      <c r="D1263" s="72">
        <v>43356</v>
      </c>
      <c r="E1263" s="3" t="s">
        <v>846</v>
      </c>
    </row>
    <row r="1264" spans="1:7" x14ac:dyDescent="0.25">
      <c r="A1264" t="s">
        <v>1483</v>
      </c>
      <c r="B1264" s="3">
        <v>543095</v>
      </c>
      <c r="C1264" s="3">
        <v>366000</v>
      </c>
      <c r="D1264" s="72">
        <v>43356</v>
      </c>
      <c r="E1264" s="3" t="s">
        <v>846</v>
      </c>
    </row>
    <row r="1265" spans="1:7" x14ac:dyDescent="0.25">
      <c r="B1265" s="3">
        <f>SUM(B1263:B1264)</f>
        <v>579483.80000000005</v>
      </c>
      <c r="C1265" s="3">
        <f>SUM(C1263:C1264)</f>
        <v>766000</v>
      </c>
      <c r="E1265" s="107">
        <f>C1265-B1265</f>
        <v>186516.19999999995</v>
      </c>
      <c r="F1265" s="72">
        <v>43356</v>
      </c>
      <c r="G1265" s="72">
        <v>43357</v>
      </c>
    </row>
    <row r="1267" spans="1:7" x14ac:dyDescent="0.25">
      <c r="A1267" t="s">
        <v>1484</v>
      </c>
      <c r="B1267" s="3">
        <v>39225.599999999999</v>
      </c>
      <c r="C1267" s="3">
        <v>454000</v>
      </c>
      <c r="D1267" s="72">
        <v>43357</v>
      </c>
      <c r="E1267" s="3" t="s">
        <v>846</v>
      </c>
    </row>
    <row r="1268" spans="1:7" x14ac:dyDescent="0.25">
      <c r="A1268" t="s">
        <v>1485</v>
      </c>
      <c r="B1268" s="3">
        <v>106103.4</v>
      </c>
    </row>
    <row r="1269" spans="1:7" x14ac:dyDescent="0.25">
      <c r="A1269" t="s">
        <v>1486</v>
      </c>
      <c r="B1269" s="3">
        <v>263451</v>
      </c>
    </row>
    <row r="1270" spans="1:7" x14ac:dyDescent="0.25">
      <c r="B1270" s="3">
        <f>SUM(B1267:B1269)</f>
        <v>408780</v>
      </c>
      <c r="C1270" s="3">
        <f>SUM(C1267:C1269)</f>
        <v>454000</v>
      </c>
      <c r="E1270" s="102">
        <f>C1270-B1270</f>
        <v>45220</v>
      </c>
      <c r="F1270" s="72">
        <v>43357</v>
      </c>
      <c r="G1270" s="72">
        <v>43357</v>
      </c>
    </row>
    <row r="1272" spans="1:7" x14ac:dyDescent="0.25">
      <c r="A1272" t="s">
        <v>1487</v>
      </c>
      <c r="B1272" s="3">
        <v>456496</v>
      </c>
      <c r="C1272" s="3">
        <v>324426</v>
      </c>
      <c r="D1272" s="72">
        <v>43360</v>
      </c>
      <c r="E1272" s="3" t="s">
        <v>846</v>
      </c>
    </row>
    <row r="1273" spans="1:7" x14ac:dyDescent="0.25">
      <c r="A1273" t="s">
        <v>1488</v>
      </c>
      <c r="B1273" s="3">
        <v>473472</v>
      </c>
      <c r="C1273" s="3">
        <v>417574</v>
      </c>
      <c r="D1273" s="72">
        <v>43360</v>
      </c>
      <c r="E1273" s="3" t="s">
        <v>846</v>
      </c>
    </row>
    <row r="1274" spans="1:7" x14ac:dyDescent="0.25">
      <c r="A1274" t="s">
        <v>1489</v>
      </c>
      <c r="B1274" s="3">
        <v>271590</v>
      </c>
      <c r="C1274" s="3">
        <v>33500</v>
      </c>
      <c r="D1274" s="72">
        <v>43361</v>
      </c>
    </row>
    <row r="1275" spans="1:7" x14ac:dyDescent="0.25">
      <c r="C1275" s="3">
        <v>38500</v>
      </c>
      <c r="D1275" s="72">
        <v>43354</v>
      </c>
    </row>
    <row r="1276" spans="1:7" x14ac:dyDescent="0.25">
      <c r="C1276" s="3">
        <v>51500</v>
      </c>
      <c r="D1276" s="72">
        <v>43354</v>
      </c>
    </row>
    <row r="1277" spans="1:7" x14ac:dyDescent="0.25">
      <c r="C1277" s="3">
        <v>80000</v>
      </c>
      <c r="D1277" s="72">
        <v>43357</v>
      </c>
    </row>
    <row r="1278" spans="1:7" x14ac:dyDescent="0.25">
      <c r="C1278" s="102">
        <v>45220</v>
      </c>
      <c r="D1278" s="72">
        <v>43357</v>
      </c>
      <c r="E1278" s="3" t="s">
        <v>842</v>
      </c>
    </row>
    <row r="1279" spans="1:7" x14ac:dyDescent="0.25">
      <c r="C1279" s="54">
        <v>6465</v>
      </c>
      <c r="D1279" s="72">
        <v>43354</v>
      </c>
      <c r="E1279" s="3" t="s">
        <v>842</v>
      </c>
    </row>
    <row r="1280" spans="1:7" x14ac:dyDescent="0.25">
      <c r="C1280" s="107">
        <v>186516.2</v>
      </c>
      <c r="D1280" s="72">
        <v>43356</v>
      </c>
      <c r="E1280" s="3" t="s">
        <v>842</v>
      </c>
    </row>
    <row r="1281" spans="1:7" x14ac:dyDescent="0.25">
      <c r="C1281" s="3">
        <v>17857</v>
      </c>
      <c r="D1281" s="72">
        <v>43361</v>
      </c>
      <c r="E1281" s="3" t="s">
        <v>849</v>
      </c>
    </row>
    <row r="1282" spans="1:7" x14ac:dyDescent="0.25">
      <c r="B1282" s="3">
        <f>SUM(B1272:B1281)</f>
        <v>1201558</v>
      </c>
      <c r="C1282" s="3">
        <f>SUM(C1272:C1281)</f>
        <v>1201558.2</v>
      </c>
      <c r="E1282" s="3">
        <f>C1282-B1282</f>
        <v>0.19999999995343387</v>
      </c>
      <c r="F1282" s="72">
        <v>43361</v>
      </c>
      <c r="G1282" s="72">
        <v>43362</v>
      </c>
    </row>
    <row r="1284" spans="1:7" x14ac:dyDescent="0.25">
      <c r="A1284" t="s">
        <v>1490</v>
      </c>
      <c r="B1284" s="3">
        <v>449550</v>
      </c>
      <c r="C1284" s="3">
        <v>589000</v>
      </c>
      <c r="D1284" s="72">
        <v>43362</v>
      </c>
      <c r="E1284" s="3" t="s">
        <v>846</v>
      </c>
    </row>
    <row r="1285" spans="1:7" x14ac:dyDescent="0.25">
      <c r="B1285" s="3">
        <f>SUM(B1284)</f>
        <v>449550</v>
      </c>
      <c r="C1285" s="3">
        <f>SUM(C1284)</f>
        <v>589000</v>
      </c>
      <c r="E1285" s="50">
        <f>C1285-B1285</f>
        <v>139450</v>
      </c>
      <c r="F1285" s="72">
        <v>43362</v>
      </c>
      <c r="G1285" s="72">
        <v>43363</v>
      </c>
    </row>
    <row r="1287" spans="1:7" x14ac:dyDescent="0.25">
      <c r="A1287" t="s">
        <v>1491</v>
      </c>
      <c r="B1287" s="3">
        <v>39196.800000000003</v>
      </c>
      <c r="C1287" s="3">
        <v>409704</v>
      </c>
      <c r="D1287" s="72">
        <v>43365</v>
      </c>
      <c r="E1287" s="3" t="s">
        <v>846</v>
      </c>
    </row>
    <row r="1288" spans="1:7" x14ac:dyDescent="0.25">
      <c r="A1288" t="s">
        <v>1492</v>
      </c>
      <c r="B1288" s="3">
        <v>233685</v>
      </c>
      <c r="C1288" s="3">
        <v>318296</v>
      </c>
      <c r="D1288" s="72">
        <v>43365</v>
      </c>
      <c r="E1288" s="3" t="s">
        <v>846</v>
      </c>
    </row>
    <row r="1289" spans="1:7" x14ac:dyDescent="0.25">
      <c r="A1289" t="s">
        <v>1493</v>
      </c>
      <c r="B1289" s="3">
        <v>445095</v>
      </c>
    </row>
    <row r="1290" spans="1:7" x14ac:dyDescent="0.25">
      <c r="B1290" s="3">
        <f>SUM(B1287:B1289)</f>
        <v>717976.8</v>
      </c>
      <c r="C1290" s="3">
        <f>SUM(C1287:C1289)</f>
        <v>728000</v>
      </c>
      <c r="E1290" s="51">
        <f>C1290-B1290</f>
        <v>10023.199999999953</v>
      </c>
      <c r="F1290" s="72">
        <v>43365</v>
      </c>
      <c r="G1290" s="72">
        <v>43365</v>
      </c>
    </row>
    <row r="1292" spans="1:7" x14ac:dyDescent="0.25">
      <c r="A1292" t="s">
        <v>1494</v>
      </c>
      <c r="B1292" s="3">
        <v>213030</v>
      </c>
      <c r="C1292" s="3">
        <v>360000</v>
      </c>
      <c r="D1292" s="72">
        <v>43365</v>
      </c>
      <c r="E1292" s="3" t="s">
        <v>846</v>
      </c>
    </row>
    <row r="1293" spans="1:7" x14ac:dyDescent="0.25">
      <c r="A1293" t="s">
        <v>1495</v>
      </c>
      <c r="B1293" s="3">
        <v>264870</v>
      </c>
      <c r="C1293" s="50">
        <v>139450</v>
      </c>
      <c r="D1293" s="72">
        <v>43362</v>
      </c>
      <c r="E1293" s="3" t="s">
        <v>842</v>
      </c>
    </row>
    <row r="1294" spans="1:7" x14ac:dyDescent="0.25">
      <c r="B1294" s="3">
        <f>SUM(B1292:B1293)</f>
        <v>477900</v>
      </c>
      <c r="C1294" s="3">
        <f>SUM(C1292:C1293)</f>
        <v>499450</v>
      </c>
      <c r="E1294" s="83">
        <f>C1294-B1294</f>
        <v>21550</v>
      </c>
      <c r="F1294" s="72">
        <v>43365</v>
      </c>
      <c r="G1294" s="72">
        <v>43365</v>
      </c>
    </row>
    <row r="1296" spans="1:7" x14ac:dyDescent="0.25">
      <c r="A1296" t="s">
        <v>1496</v>
      </c>
      <c r="B1296" s="3">
        <v>438615</v>
      </c>
      <c r="C1296" s="3">
        <v>200000</v>
      </c>
      <c r="D1296" s="72">
        <v>43368</v>
      </c>
      <c r="E1296" s="3" t="s">
        <v>846</v>
      </c>
    </row>
    <row r="1297" spans="1:7" x14ac:dyDescent="0.25">
      <c r="A1297" t="s">
        <v>1497</v>
      </c>
      <c r="B1297" s="3">
        <v>237606</v>
      </c>
      <c r="C1297" s="3">
        <v>481000</v>
      </c>
      <c r="D1297" s="72">
        <v>43368</v>
      </c>
      <c r="E1297" s="3" t="s">
        <v>846</v>
      </c>
    </row>
    <row r="1298" spans="1:7" x14ac:dyDescent="0.25">
      <c r="B1298" s="3">
        <f>SUM(B1296:B1297)</f>
        <v>676221</v>
      </c>
      <c r="C1298" s="3">
        <f>SUM(C1296:C1297)</f>
        <v>681000</v>
      </c>
      <c r="E1298" s="109">
        <f>C1298-B1298</f>
        <v>4779</v>
      </c>
      <c r="F1298" s="72">
        <v>43368</v>
      </c>
      <c r="G1298" s="72">
        <v>43368</v>
      </c>
    </row>
    <row r="1300" spans="1:7" x14ac:dyDescent="0.25">
      <c r="A1300" t="s">
        <v>1498</v>
      </c>
      <c r="B1300" s="3">
        <v>459249</v>
      </c>
      <c r="C1300" s="3">
        <v>185000</v>
      </c>
      <c r="D1300" s="72">
        <v>43369</v>
      </c>
      <c r="E1300" s="3" t="s">
        <v>846</v>
      </c>
    </row>
    <row r="1301" spans="1:7" x14ac:dyDescent="0.25">
      <c r="A1301" t="s">
        <v>1499</v>
      </c>
      <c r="B1301" s="3">
        <v>438501</v>
      </c>
      <c r="C1301" s="3">
        <v>250000</v>
      </c>
      <c r="D1301" s="72">
        <v>43374</v>
      </c>
      <c r="E1301" s="3" t="s">
        <v>846</v>
      </c>
    </row>
    <row r="1302" spans="1:7" x14ac:dyDescent="0.25">
      <c r="A1302" t="s">
        <v>1500</v>
      </c>
      <c r="B1302" s="3">
        <v>423738</v>
      </c>
      <c r="C1302" s="3">
        <v>374000</v>
      </c>
      <c r="D1302" s="72">
        <v>43374</v>
      </c>
      <c r="E1302" s="3" t="s">
        <v>846</v>
      </c>
    </row>
    <row r="1303" spans="1:7" x14ac:dyDescent="0.25">
      <c r="A1303" t="s">
        <v>1501</v>
      </c>
      <c r="B1303" s="3">
        <v>255360</v>
      </c>
      <c r="C1303" s="3">
        <v>400000</v>
      </c>
      <c r="D1303" s="72">
        <v>43374</v>
      </c>
      <c r="E1303" s="3" t="s">
        <v>846</v>
      </c>
    </row>
    <row r="1304" spans="1:7" x14ac:dyDescent="0.25">
      <c r="C1304" s="3">
        <v>350000</v>
      </c>
      <c r="D1304" s="72">
        <v>43374</v>
      </c>
      <c r="E1304" s="3" t="s">
        <v>846</v>
      </c>
    </row>
    <row r="1305" spans="1:7" x14ac:dyDescent="0.25">
      <c r="C1305" s="3">
        <v>300</v>
      </c>
      <c r="D1305" s="72">
        <v>43369</v>
      </c>
      <c r="E1305" s="3" t="s">
        <v>1502</v>
      </c>
    </row>
    <row r="1306" spans="1:7" x14ac:dyDescent="0.25">
      <c r="C1306" s="3">
        <v>6056</v>
      </c>
      <c r="D1306" s="72">
        <v>43365</v>
      </c>
      <c r="E1306" s="3" t="s">
        <v>1503</v>
      </c>
    </row>
    <row r="1307" spans="1:7" x14ac:dyDescent="0.25">
      <c r="C1307" s="3">
        <v>3871</v>
      </c>
      <c r="D1307" s="72">
        <v>43368</v>
      </c>
      <c r="E1307" s="3" t="s">
        <v>1504</v>
      </c>
    </row>
    <row r="1308" spans="1:7" x14ac:dyDescent="0.25">
      <c r="C1308" s="3">
        <v>5443</v>
      </c>
      <c r="D1308" s="72">
        <v>43368</v>
      </c>
      <c r="E1308" s="3" t="s">
        <v>1505</v>
      </c>
    </row>
    <row r="1309" spans="1:7" x14ac:dyDescent="0.25">
      <c r="C1309" s="109">
        <v>4779</v>
      </c>
      <c r="D1309" s="72">
        <v>43368</v>
      </c>
      <c r="E1309" s="3" t="s">
        <v>842</v>
      </c>
    </row>
    <row r="1310" spans="1:7" x14ac:dyDescent="0.25">
      <c r="C1310" s="83">
        <v>21550</v>
      </c>
      <c r="D1310" s="72">
        <v>43365</v>
      </c>
      <c r="E1310" s="3" t="s">
        <v>842</v>
      </c>
    </row>
    <row r="1311" spans="1:7" x14ac:dyDescent="0.25">
      <c r="C1311" s="51">
        <v>10023</v>
      </c>
      <c r="D1311" s="72">
        <v>43365</v>
      </c>
      <c r="E1311" s="3" t="s">
        <v>842</v>
      </c>
    </row>
    <row r="1312" spans="1:7" x14ac:dyDescent="0.25">
      <c r="B1312" s="3">
        <f>SUM(B1300:B1311)</f>
        <v>1576848</v>
      </c>
      <c r="C1312" s="3">
        <f>SUM(C1300:C1311)</f>
        <v>1611022</v>
      </c>
      <c r="E1312" s="99">
        <f>C1312-B1312</f>
        <v>34174</v>
      </c>
      <c r="F1312" s="72">
        <v>43374</v>
      </c>
      <c r="G1312" s="72">
        <v>43376</v>
      </c>
    </row>
    <row r="1314" spans="1:7" x14ac:dyDescent="0.25">
      <c r="A1314" t="s">
        <v>1506</v>
      </c>
      <c r="B1314" s="3">
        <v>437340</v>
      </c>
      <c r="C1314" s="3">
        <v>490000</v>
      </c>
    </row>
    <row r="1315" spans="1:7" x14ac:dyDescent="0.25">
      <c r="B1315" s="3">
        <f>SUM(B1314)</f>
        <v>437340</v>
      </c>
      <c r="C1315" s="3">
        <f>SUM(C1314)</f>
        <v>490000</v>
      </c>
      <c r="E1315" s="50">
        <f>C1315-B1315</f>
        <v>52660</v>
      </c>
      <c r="F1315" s="72">
        <v>43375</v>
      </c>
      <c r="G1315" s="72">
        <v>43376</v>
      </c>
    </row>
    <row r="1317" spans="1:7" x14ac:dyDescent="0.25">
      <c r="A1317" t="s">
        <v>1507</v>
      </c>
      <c r="B1317" s="3">
        <v>235984</v>
      </c>
      <c r="C1317" s="3">
        <v>400000</v>
      </c>
    </row>
    <row r="1318" spans="1:7" x14ac:dyDescent="0.25">
      <c r="B1318" s="3">
        <f>SUM(B1317)</f>
        <v>235984</v>
      </c>
      <c r="C1318" s="3">
        <f>SUM(C1317)</f>
        <v>400000</v>
      </c>
      <c r="E1318" s="112">
        <f>C1318-B1318</f>
        <v>164016</v>
      </c>
      <c r="F1318" s="72">
        <v>39724</v>
      </c>
      <c r="G1318" s="72">
        <v>43376</v>
      </c>
    </row>
    <row r="1320" spans="1:7" x14ac:dyDescent="0.25">
      <c r="A1320" t="s">
        <v>1508</v>
      </c>
      <c r="B1320" s="3">
        <v>236768</v>
      </c>
      <c r="C1320" s="3">
        <v>1600</v>
      </c>
      <c r="D1320" s="72">
        <v>43374</v>
      </c>
      <c r="E1320" s="3" t="s">
        <v>1509</v>
      </c>
    </row>
    <row r="1321" spans="1:7" x14ac:dyDescent="0.25">
      <c r="C1321" s="3">
        <v>2376</v>
      </c>
      <c r="D1321" s="72">
        <v>43370</v>
      </c>
      <c r="E1321" s="3" t="s">
        <v>1510</v>
      </c>
    </row>
    <row r="1322" spans="1:7" x14ac:dyDescent="0.25">
      <c r="C1322" s="3">
        <v>12625</v>
      </c>
      <c r="D1322" s="72">
        <v>43370</v>
      </c>
      <c r="E1322" s="3" t="s">
        <v>1511</v>
      </c>
    </row>
    <row r="1323" spans="1:7" x14ac:dyDescent="0.25">
      <c r="C1323" s="3">
        <v>9664</v>
      </c>
      <c r="D1323" s="72">
        <v>43369</v>
      </c>
      <c r="E1323" s="3" t="s">
        <v>1512</v>
      </c>
    </row>
    <row r="1324" spans="1:7" x14ac:dyDescent="0.25">
      <c r="C1324" s="99">
        <v>34174</v>
      </c>
      <c r="D1324" s="72">
        <v>43374</v>
      </c>
      <c r="E1324" s="3" t="s">
        <v>842</v>
      </c>
    </row>
    <row r="1325" spans="1:7" x14ac:dyDescent="0.25">
      <c r="C1325" s="112">
        <v>164016</v>
      </c>
      <c r="D1325" s="72">
        <v>43376</v>
      </c>
      <c r="E1325" s="3" t="s">
        <v>842</v>
      </c>
    </row>
    <row r="1326" spans="1:7" x14ac:dyDescent="0.25">
      <c r="C1326" s="3">
        <v>12313</v>
      </c>
      <c r="D1326" s="72">
        <v>43376</v>
      </c>
      <c r="E1326" s="3" t="s">
        <v>849</v>
      </c>
    </row>
    <row r="1327" spans="1:7" x14ac:dyDescent="0.25">
      <c r="B1327" s="3">
        <f>SUM(B1320:B1326)</f>
        <v>236768</v>
      </c>
      <c r="C1327" s="3">
        <f>SUM(C1320:C1326)</f>
        <v>236768</v>
      </c>
      <c r="E1327" s="3">
        <f>C1327-B1327</f>
        <v>0</v>
      </c>
      <c r="F1327" s="72">
        <v>43376</v>
      </c>
      <c r="G1327" s="72">
        <v>43376</v>
      </c>
    </row>
    <row r="1329" spans="1:7" x14ac:dyDescent="0.25">
      <c r="A1329" t="s">
        <v>1513</v>
      </c>
      <c r="B1329" s="3">
        <v>470421</v>
      </c>
      <c r="C1329" s="3">
        <v>503000</v>
      </c>
      <c r="D1329" s="72">
        <v>43379</v>
      </c>
      <c r="E1329" s="3" t="s">
        <v>846</v>
      </c>
    </row>
    <row r="1330" spans="1:7" x14ac:dyDescent="0.25">
      <c r="B1330" s="3">
        <f>SUM(B1329)</f>
        <v>470421</v>
      </c>
      <c r="C1330" s="3">
        <f>SUM(C1329)</f>
        <v>503000</v>
      </c>
      <c r="E1330" s="102">
        <f>C1330-B1330</f>
        <v>32579</v>
      </c>
      <c r="F1330" s="72">
        <v>43379</v>
      </c>
      <c r="G1330" s="72">
        <v>43379</v>
      </c>
    </row>
    <row r="1332" spans="1:7" x14ac:dyDescent="0.25">
      <c r="A1332" t="s">
        <v>1514</v>
      </c>
      <c r="B1332" s="3">
        <v>2805.4</v>
      </c>
      <c r="C1332" s="3">
        <v>32579</v>
      </c>
      <c r="D1332" s="72">
        <v>43379</v>
      </c>
      <c r="E1332" s="3" t="s">
        <v>842</v>
      </c>
    </row>
    <row r="1333" spans="1:7" x14ac:dyDescent="0.25">
      <c r="A1333" t="s">
        <v>1515</v>
      </c>
      <c r="B1333" s="3">
        <v>216700</v>
      </c>
      <c r="C1333" s="3">
        <v>30300</v>
      </c>
      <c r="D1333" s="72">
        <v>43381</v>
      </c>
    </row>
    <row r="1334" spans="1:7" x14ac:dyDescent="0.25">
      <c r="C1334" s="3">
        <v>75200</v>
      </c>
      <c r="D1334" s="72">
        <v>43367</v>
      </c>
    </row>
    <row r="1335" spans="1:7" x14ac:dyDescent="0.25">
      <c r="C1335" s="3">
        <v>52660</v>
      </c>
      <c r="D1335" s="72">
        <v>43375</v>
      </c>
      <c r="E1335" s="3" t="s">
        <v>842</v>
      </c>
    </row>
    <row r="1336" spans="1:7" x14ac:dyDescent="0.25">
      <c r="C1336" s="3">
        <v>28766</v>
      </c>
      <c r="D1336" s="72">
        <v>43381</v>
      </c>
      <c r="E1336" s="3" t="s">
        <v>849</v>
      </c>
    </row>
    <row r="1337" spans="1:7" x14ac:dyDescent="0.25">
      <c r="B1337" s="3">
        <f>SUM(B1332:B1336)</f>
        <v>219505.4</v>
      </c>
      <c r="C1337" s="3">
        <f>SUM(C1332:C1336)</f>
        <v>219505</v>
      </c>
      <c r="E1337" s="3">
        <f>C1337-B1337</f>
        <v>-0.39999999999417923</v>
      </c>
      <c r="F1337" s="72">
        <v>43381</v>
      </c>
      <c r="G1337" s="72">
        <v>43381</v>
      </c>
    </row>
    <row r="1339" spans="1:7" x14ac:dyDescent="0.25">
      <c r="A1339" t="s">
        <v>1514</v>
      </c>
      <c r="B1339" s="3">
        <v>2805.4</v>
      </c>
      <c r="C1339" s="3">
        <v>75200</v>
      </c>
      <c r="D1339" s="72">
        <v>43367</v>
      </c>
    </row>
    <row r="1340" spans="1:7" x14ac:dyDescent="0.25">
      <c r="A1340" t="s">
        <v>1515</v>
      </c>
      <c r="B1340" s="3">
        <v>216700</v>
      </c>
      <c r="C1340" s="3">
        <v>30300</v>
      </c>
      <c r="D1340" s="72">
        <v>43381</v>
      </c>
    </row>
    <row r="1341" spans="1:7" x14ac:dyDescent="0.25">
      <c r="C1341" s="3">
        <v>28766</v>
      </c>
      <c r="D1341" s="72">
        <v>43381</v>
      </c>
    </row>
    <row r="1342" spans="1:7" x14ac:dyDescent="0.25">
      <c r="C1342" s="50">
        <v>52660</v>
      </c>
      <c r="D1342" s="72">
        <v>43375</v>
      </c>
      <c r="E1342" s="3" t="s">
        <v>842</v>
      </c>
    </row>
    <row r="1343" spans="1:7" x14ac:dyDescent="0.25">
      <c r="C1343" s="102">
        <v>32579</v>
      </c>
      <c r="D1343" s="72">
        <v>43379</v>
      </c>
      <c r="E1343" s="3" t="s">
        <v>842</v>
      </c>
    </row>
    <row r="1344" spans="1:7" x14ac:dyDescent="0.25">
      <c r="B1344" s="3">
        <f>SUM(B1339:B1343)</f>
        <v>219505.4</v>
      </c>
      <c r="C1344" s="3">
        <f>SUM(C1339:C1343)</f>
        <v>219505</v>
      </c>
      <c r="E1344" s="3">
        <f>C1344-B1344</f>
        <v>-0.39999999999417923</v>
      </c>
      <c r="F1344" s="72">
        <v>43381</v>
      </c>
      <c r="G1344" s="72">
        <v>43383</v>
      </c>
    </row>
    <row r="1346" spans="1:7" x14ac:dyDescent="0.25">
      <c r="A1346" t="s">
        <v>1516</v>
      </c>
      <c r="B1346" s="3">
        <v>420675</v>
      </c>
      <c r="C1346" s="3">
        <v>363063</v>
      </c>
      <c r="D1346" s="72">
        <v>43383</v>
      </c>
      <c r="E1346" s="3" t="s">
        <v>846</v>
      </c>
    </row>
    <row r="1347" spans="1:7" x14ac:dyDescent="0.25">
      <c r="A1347" t="s">
        <v>1517</v>
      </c>
      <c r="B1347" s="3">
        <v>403368</v>
      </c>
      <c r="C1347" s="3">
        <v>336937</v>
      </c>
      <c r="D1347" s="72">
        <v>43383</v>
      </c>
      <c r="E1347" s="3" t="s">
        <v>846</v>
      </c>
    </row>
    <row r="1348" spans="1:7" x14ac:dyDescent="0.25">
      <c r="C1348" s="3">
        <v>363000</v>
      </c>
      <c r="D1348" s="72">
        <v>43383</v>
      </c>
      <c r="E1348" s="3" t="s">
        <v>846</v>
      </c>
    </row>
    <row r="1349" spans="1:7" x14ac:dyDescent="0.25">
      <c r="B1349" s="3">
        <f>SUM(B1346:B1348)</f>
        <v>824043</v>
      </c>
      <c r="C1349" s="3">
        <f>SUM(C1346:C1348)</f>
        <v>1063000</v>
      </c>
      <c r="E1349" s="51">
        <f>C1349-B1349</f>
        <v>238957</v>
      </c>
      <c r="F1349" s="72">
        <v>43383</v>
      </c>
      <c r="G1349" s="72">
        <v>43384</v>
      </c>
    </row>
    <row r="1351" spans="1:7" x14ac:dyDescent="0.25">
      <c r="A1351" t="s">
        <v>1518</v>
      </c>
      <c r="B1351" s="3">
        <v>279936</v>
      </c>
      <c r="C1351" s="3">
        <v>335503</v>
      </c>
      <c r="D1351" s="72">
        <v>43391</v>
      </c>
      <c r="E1351" s="3" t="s">
        <v>846</v>
      </c>
    </row>
    <row r="1352" spans="1:7" x14ac:dyDescent="0.25">
      <c r="A1352" t="s">
        <v>1519</v>
      </c>
      <c r="B1352" s="3">
        <v>249156</v>
      </c>
      <c r="C1352" s="3">
        <v>300497</v>
      </c>
      <c r="D1352" s="72">
        <v>43391</v>
      </c>
      <c r="E1352" s="3" t="s">
        <v>846</v>
      </c>
    </row>
    <row r="1353" spans="1:7" x14ac:dyDescent="0.25">
      <c r="A1353" t="s">
        <v>1520</v>
      </c>
      <c r="B1353" s="3">
        <v>475860</v>
      </c>
      <c r="C1353" s="3">
        <v>364000</v>
      </c>
      <c r="D1353" s="72">
        <v>43391</v>
      </c>
      <c r="E1353" s="3" t="s">
        <v>846</v>
      </c>
    </row>
    <row r="1354" spans="1:7" x14ac:dyDescent="0.25">
      <c r="A1354" t="s">
        <v>1521</v>
      </c>
      <c r="B1354" s="3">
        <v>484770</v>
      </c>
      <c r="C1354" s="3">
        <v>446388</v>
      </c>
      <c r="D1354" s="72">
        <v>43391</v>
      </c>
      <c r="E1354" s="3" t="s">
        <v>846</v>
      </c>
    </row>
    <row r="1355" spans="1:7" x14ac:dyDescent="0.25">
      <c r="A1355" t="s">
        <v>1522</v>
      </c>
      <c r="B1355" s="3">
        <v>499200</v>
      </c>
      <c r="C1355" s="3">
        <v>420612</v>
      </c>
      <c r="D1355" s="72">
        <v>43391</v>
      </c>
      <c r="E1355" s="3" t="s">
        <v>846</v>
      </c>
    </row>
    <row r="1356" spans="1:7" x14ac:dyDescent="0.25">
      <c r="C1356" s="51">
        <v>238957</v>
      </c>
      <c r="D1356" s="72">
        <v>43383</v>
      </c>
      <c r="E1356" s="3" t="s">
        <v>842</v>
      </c>
    </row>
    <row r="1357" spans="1:7" x14ac:dyDescent="0.25">
      <c r="B1357" s="3">
        <f>SUM(B1351:B1355)</f>
        <v>1988922</v>
      </c>
      <c r="C1357" s="3">
        <f>SUM(C1351:C1356)</f>
        <v>2105957</v>
      </c>
      <c r="E1357" s="54">
        <f>C1357-B1357</f>
        <v>117035</v>
      </c>
      <c r="F1357" s="72">
        <v>43390</v>
      </c>
      <c r="G1357" s="72">
        <v>43391</v>
      </c>
    </row>
    <row r="1359" spans="1:7" x14ac:dyDescent="0.25">
      <c r="A1359" t="s">
        <v>1523</v>
      </c>
      <c r="B1359" s="3">
        <v>212613</v>
      </c>
      <c r="C1359" s="3">
        <v>619000</v>
      </c>
      <c r="D1359" s="72">
        <v>43392</v>
      </c>
      <c r="E1359" s="3" t="s">
        <v>846</v>
      </c>
    </row>
    <row r="1360" spans="1:7" x14ac:dyDescent="0.25">
      <c r="A1360" t="s">
        <v>1524</v>
      </c>
      <c r="B1360" s="3">
        <v>474630</v>
      </c>
      <c r="C1360" s="54">
        <v>117035</v>
      </c>
      <c r="D1360" s="72">
        <v>43390</v>
      </c>
      <c r="E1360" s="3" t="s">
        <v>842</v>
      </c>
    </row>
    <row r="1361" spans="1:7" x14ac:dyDescent="0.25">
      <c r="A1361" t="s">
        <v>1525</v>
      </c>
      <c r="B1361" s="3">
        <v>11892.5</v>
      </c>
    </row>
    <row r="1362" spans="1:7" x14ac:dyDescent="0.25">
      <c r="B1362" s="3">
        <f>SUM(B1359:B1361)</f>
        <v>699135.5</v>
      </c>
      <c r="C1362" s="3">
        <f>SUM(C1359:C1361)</f>
        <v>736035</v>
      </c>
      <c r="E1362" s="113">
        <f>C1362-B1362</f>
        <v>36899.5</v>
      </c>
      <c r="F1362" s="72">
        <v>43392</v>
      </c>
      <c r="G1362" s="72">
        <v>43393</v>
      </c>
    </row>
    <row r="1364" spans="1:7" x14ac:dyDescent="0.25">
      <c r="A1364" t="s">
        <v>1526</v>
      </c>
      <c r="B1364" s="3">
        <v>248900</v>
      </c>
      <c r="C1364" s="3">
        <v>411791</v>
      </c>
      <c r="D1364" s="72">
        <v>43395</v>
      </c>
      <c r="E1364" s="3" t="s">
        <v>846</v>
      </c>
    </row>
    <row r="1365" spans="1:7" x14ac:dyDescent="0.25">
      <c r="A1365" t="s">
        <v>1527</v>
      </c>
      <c r="B1365" s="3">
        <v>252444</v>
      </c>
      <c r="C1365" s="3">
        <v>512209</v>
      </c>
      <c r="D1365" s="72">
        <v>43395</v>
      </c>
      <c r="E1365" s="3" t="s">
        <v>846</v>
      </c>
    </row>
    <row r="1366" spans="1:7" x14ac:dyDescent="0.25">
      <c r="A1366" t="s">
        <v>1528</v>
      </c>
      <c r="B1366" s="3">
        <v>501600</v>
      </c>
      <c r="C1366" s="113">
        <v>36899.5</v>
      </c>
    </row>
    <row r="1367" spans="1:7" x14ac:dyDescent="0.25">
      <c r="C1367" s="3">
        <v>42044</v>
      </c>
      <c r="D1367" s="72">
        <v>43396</v>
      </c>
      <c r="E1367" s="3" t="s">
        <v>849</v>
      </c>
    </row>
    <row r="1368" spans="1:7" x14ac:dyDescent="0.25">
      <c r="B1368" s="3">
        <f>SUM(B1364:B1367)</f>
        <v>1002944</v>
      </c>
      <c r="C1368" s="3">
        <f>SUM(C1364:C1367)</f>
        <v>1002943.5</v>
      </c>
      <c r="E1368" s="3">
        <f>C1368-B1368</f>
        <v>-0.5</v>
      </c>
      <c r="F1368" s="72">
        <v>43396</v>
      </c>
      <c r="G1368" s="72">
        <v>43397</v>
      </c>
    </row>
    <row r="1370" spans="1:7" x14ac:dyDescent="0.25">
      <c r="A1370" t="s">
        <v>1529</v>
      </c>
      <c r="B1370" s="3">
        <v>503120</v>
      </c>
      <c r="C1370" s="3">
        <v>487000</v>
      </c>
      <c r="D1370" s="72">
        <v>43398</v>
      </c>
      <c r="E1370" s="3" t="s">
        <v>846</v>
      </c>
    </row>
    <row r="1371" spans="1:7" x14ac:dyDescent="0.25">
      <c r="C1371" s="3">
        <v>16120</v>
      </c>
      <c r="D1371" s="72">
        <v>43398</v>
      </c>
      <c r="E1371" s="3" t="s">
        <v>849</v>
      </c>
    </row>
    <row r="1372" spans="1:7" x14ac:dyDescent="0.25">
      <c r="B1372" s="3">
        <f>SUM(B1370:B1371)</f>
        <v>503120</v>
      </c>
      <c r="C1372" s="3">
        <f>SUM(C1370:C1371)</f>
        <v>503120</v>
      </c>
      <c r="E1372" s="3">
        <f>C1372-B1372</f>
        <v>0</v>
      </c>
      <c r="F1372" s="72">
        <v>43398</v>
      </c>
      <c r="G1372" s="72">
        <v>43398</v>
      </c>
    </row>
    <row r="1374" spans="1:7" x14ac:dyDescent="0.25">
      <c r="A1374" t="s">
        <v>1530</v>
      </c>
      <c r="B1374" s="3">
        <v>219261</v>
      </c>
      <c r="C1374" s="3">
        <v>403000</v>
      </c>
      <c r="D1374" s="72">
        <v>43399</v>
      </c>
      <c r="E1374" s="3" t="s">
        <v>846</v>
      </c>
    </row>
    <row r="1375" spans="1:7" x14ac:dyDescent="0.25">
      <c r="A1375" t="s">
        <v>1531</v>
      </c>
      <c r="B1375" s="3">
        <v>259000</v>
      </c>
      <c r="C1375" s="3">
        <v>61420</v>
      </c>
      <c r="D1375" s="72">
        <v>43399</v>
      </c>
    </row>
    <row r="1376" spans="1:7" x14ac:dyDescent="0.25">
      <c r="C1376" s="3">
        <v>7197</v>
      </c>
      <c r="D1376" s="72">
        <v>43398</v>
      </c>
      <c r="E1376" s="3" t="s">
        <v>1532</v>
      </c>
    </row>
    <row r="1377" spans="1:7" x14ac:dyDescent="0.25">
      <c r="C1377" s="3">
        <v>6644</v>
      </c>
      <c r="D1377" s="72">
        <v>43399</v>
      </c>
      <c r="E1377" s="3" t="s">
        <v>849</v>
      </c>
    </row>
    <row r="1378" spans="1:7" x14ac:dyDescent="0.25">
      <c r="B1378" s="3">
        <f>SUM(B1374:B1377)</f>
        <v>478261</v>
      </c>
      <c r="C1378" s="3">
        <f>SUM(C1374:C1377)</f>
        <v>478261</v>
      </c>
      <c r="E1378" s="3">
        <f>C1378-B1378</f>
        <v>0</v>
      </c>
      <c r="F1378" s="72">
        <v>43399</v>
      </c>
      <c r="G1378" s="72">
        <v>43400</v>
      </c>
    </row>
    <row r="1380" spans="1:7" x14ac:dyDescent="0.25">
      <c r="E1380" s="51">
        <v>119035</v>
      </c>
      <c r="F1380" s="72">
        <v>43400</v>
      </c>
      <c r="G1380" s="72">
        <v>43400</v>
      </c>
    </row>
    <row r="1382" spans="1:7" x14ac:dyDescent="0.25">
      <c r="A1382" t="s">
        <v>1533</v>
      </c>
      <c r="B1382" s="3">
        <v>454977</v>
      </c>
      <c r="C1382" s="3">
        <v>300000</v>
      </c>
      <c r="D1382" s="72">
        <v>43402</v>
      </c>
      <c r="E1382" s="3" t="s">
        <v>846</v>
      </c>
    </row>
    <row r="1383" spans="1:7" x14ac:dyDescent="0.25">
      <c r="C1383" s="51">
        <v>119035</v>
      </c>
      <c r="D1383" s="72">
        <v>43400</v>
      </c>
      <c r="E1383" s="3" t="s">
        <v>842</v>
      </c>
    </row>
    <row r="1384" spans="1:7" x14ac:dyDescent="0.25">
      <c r="C1384" s="3">
        <v>12185</v>
      </c>
      <c r="D1384" s="72">
        <v>43401</v>
      </c>
      <c r="E1384" s="3" t="s">
        <v>1534</v>
      </c>
    </row>
    <row r="1385" spans="1:7" x14ac:dyDescent="0.25">
      <c r="C1385" s="3">
        <v>73093</v>
      </c>
      <c r="D1385" s="72">
        <v>43402</v>
      </c>
      <c r="E1385" s="3" t="s">
        <v>1535</v>
      </c>
    </row>
    <row r="1386" spans="1:7" x14ac:dyDescent="0.25">
      <c r="B1386" s="3">
        <f>SUM(B1382:B1385)</f>
        <v>454977</v>
      </c>
      <c r="C1386" s="3">
        <f>SUM(C1382:C1385)</f>
        <v>504313</v>
      </c>
      <c r="E1386" s="94">
        <f>C1386-B1386</f>
        <v>49336</v>
      </c>
      <c r="F1386" s="72">
        <v>43402</v>
      </c>
      <c r="G1386" s="72">
        <v>43403</v>
      </c>
    </row>
    <row r="1388" spans="1:7" x14ac:dyDescent="0.25">
      <c r="A1388" t="s">
        <v>1536</v>
      </c>
      <c r="B1388" s="3">
        <v>259000</v>
      </c>
      <c r="C1388" s="3">
        <v>227000</v>
      </c>
      <c r="D1388" s="72">
        <v>43403</v>
      </c>
      <c r="E1388" s="3" t="s">
        <v>846</v>
      </c>
    </row>
    <row r="1389" spans="1:7" x14ac:dyDescent="0.25">
      <c r="C1389" s="3">
        <v>95000</v>
      </c>
      <c r="D1389" s="72">
        <v>43403</v>
      </c>
    </row>
    <row r="1390" spans="1:7" x14ac:dyDescent="0.25">
      <c r="B1390" s="3">
        <f>SUM(B1388:B1389)</f>
        <v>259000</v>
      </c>
      <c r="C1390" s="3">
        <f>SUM(C1388:C1389)</f>
        <v>322000</v>
      </c>
      <c r="E1390" s="96">
        <f>C1390-B1390</f>
        <v>63000</v>
      </c>
      <c r="F1390" s="72">
        <v>43403</v>
      </c>
      <c r="G1390" s="72">
        <v>43404</v>
      </c>
    </row>
    <row r="1392" spans="1:7" x14ac:dyDescent="0.25">
      <c r="A1392" t="s">
        <v>1537</v>
      </c>
      <c r="B1392" s="3">
        <v>183396</v>
      </c>
      <c r="C1392" s="3">
        <v>165000</v>
      </c>
      <c r="D1392" s="72">
        <v>43404</v>
      </c>
      <c r="E1392" s="3" t="s">
        <v>846</v>
      </c>
    </row>
    <row r="1393" spans="1:7" x14ac:dyDescent="0.25">
      <c r="A1393" t="s">
        <v>1538</v>
      </c>
      <c r="B1393" s="3">
        <v>188097</v>
      </c>
      <c r="C1393" s="3">
        <v>250000</v>
      </c>
      <c r="D1393" s="72">
        <v>43404</v>
      </c>
      <c r="E1393" s="3" t="s">
        <v>846</v>
      </c>
    </row>
    <row r="1394" spans="1:7" x14ac:dyDescent="0.25">
      <c r="B1394" s="3">
        <f>SUM(B1392:B1393)</f>
        <v>371493</v>
      </c>
      <c r="C1394" s="3">
        <f>SUM(C1392:C1393)</f>
        <v>415000</v>
      </c>
      <c r="E1394" s="83">
        <f>C1394-B1394</f>
        <v>43507</v>
      </c>
      <c r="F1394" s="72">
        <v>43404</v>
      </c>
      <c r="G1394" s="72">
        <v>43404</v>
      </c>
    </row>
    <row r="1396" spans="1:7" x14ac:dyDescent="0.25">
      <c r="A1396" t="s">
        <v>1539</v>
      </c>
      <c r="B1396" s="3">
        <v>233100</v>
      </c>
      <c r="C1396" s="3">
        <v>319000</v>
      </c>
      <c r="D1396" s="72">
        <v>43405</v>
      </c>
      <c r="E1396" s="3" t="s">
        <v>846</v>
      </c>
    </row>
    <row r="1397" spans="1:7" x14ac:dyDescent="0.25">
      <c r="A1397" t="s">
        <v>1540</v>
      </c>
      <c r="B1397" s="3">
        <v>239850</v>
      </c>
      <c r="C1397" s="3">
        <v>15000</v>
      </c>
      <c r="D1397" s="72">
        <v>43405</v>
      </c>
    </row>
    <row r="1398" spans="1:7" x14ac:dyDescent="0.25">
      <c r="C1398" s="94">
        <v>49336</v>
      </c>
      <c r="D1398" s="72">
        <v>43402</v>
      </c>
      <c r="E1398" s="3" t="s">
        <v>842</v>
      </c>
    </row>
    <row r="1399" spans="1:7" x14ac:dyDescent="0.25">
      <c r="C1399" s="83">
        <v>43507</v>
      </c>
      <c r="D1399" s="72">
        <v>43403</v>
      </c>
      <c r="E1399" s="3" t="s">
        <v>842</v>
      </c>
    </row>
    <row r="1400" spans="1:7" x14ac:dyDescent="0.25">
      <c r="C1400" s="96">
        <v>63000</v>
      </c>
      <c r="D1400" s="72">
        <v>43403</v>
      </c>
      <c r="E1400" s="3" t="s">
        <v>842</v>
      </c>
    </row>
    <row r="1401" spans="1:7" x14ac:dyDescent="0.25">
      <c r="C1401" s="3">
        <v>6218</v>
      </c>
      <c r="D1401" s="72">
        <v>43405</v>
      </c>
      <c r="E1401" s="3" t="s">
        <v>1541</v>
      </c>
    </row>
    <row r="1402" spans="1:7" x14ac:dyDescent="0.25">
      <c r="B1402" s="3">
        <f>SUM(B1396:B1401)</f>
        <v>472950</v>
      </c>
      <c r="C1402" s="3">
        <f>SUM(C1396:C1401)</f>
        <v>496061</v>
      </c>
      <c r="E1402" s="107">
        <f>C1402-B1402</f>
        <v>23111</v>
      </c>
      <c r="F1402" s="72">
        <v>43405</v>
      </c>
      <c r="G1402" s="72">
        <v>43407</v>
      </c>
    </row>
    <row r="1404" spans="1:7" x14ac:dyDescent="0.25">
      <c r="A1404" t="s">
        <v>1542</v>
      </c>
      <c r="B1404" s="3">
        <v>468630</v>
      </c>
      <c r="C1404" s="3">
        <v>340555</v>
      </c>
      <c r="D1404" s="72">
        <v>43407</v>
      </c>
      <c r="E1404" s="3" t="s">
        <v>846</v>
      </c>
    </row>
    <row r="1405" spans="1:7" x14ac:dyDescent="0.25">
      <c r="A1405" t="s">
        <v>1543</v>
      </c>
      <c r="B1405" s="3">
        <v>9887.2000000000007</v>
      </c>
      <c r="C1405" s="3">
        <v>338445</v>
      </c>
      <c r="D1405" s="72">
        <v>43407</v>
      </c>
      <c r="E1405" s="3" t="s">
        <v>846</v>
      </c>
    </row>
    <row r="1406" spans="1:7" x14ac:dyDescent="0.25">
      <c r="B1406" s="3">
        <f>SUM(B1404:B1405)</f>
        <v>478517.2</v>
      </c>
      <c r="C1406" s="3">
        <f>SUM(C1404:C1405)</f>
        <v>679000</v>
      </c>
      <c r="E1406" s="102">
        <f>C1406-B1406</f>
        <v>200482.8</v>
      </c>
      <c r="F1406" s="72">
        <v>43407</v>
      </c>
      <c r="G1406" s="72">
        <v>43407</v>
      </c>
    </row>
    <row r="1408" spans="1:7" x14ac:dyDescent="0.25">
      <c r="A1408" t="s">
        <v>1544</v>
      </c>
      <c r="B1408" s="3">
        <v>466083.9</v>
      </c>
      <c r="C1408" s="3">
        <v>533000</v>
      </c>
      <c r="D1408" s="73">
        <v>43409</v>
      </c>
      <c r="E1408" t="s">
        <v>846</v>
      </c>
    </row>
    <row r="1409" spans="1:7" x14ac:dyDescent="0.25">
      <c r="A1409" t="s">
        <v>1545</v>
      </c>
      <c r="B1409" s="3">
        <v>22112.2</v>
      </c>
    </row>
    <row r="1410" spans="1:7" x14ac:dyDescent="0.25">
      <c r="B1410" s="3">
        <f>SUM(B1408:B1409)</f>
        <v>488196.10000000003</v>
      </c>
      <c r="C1410" s="3">
        <f>SUM(C1408:C1409)</f>
        <v>533000</v>
      </c>
      <c r="E1410" s="83">
        <f>C1410-B1410</f>
        <v>44803.899999999965</v>
      </c>
      <c r="F1410" s="72">
        <v>43409</v>
      </c>
      <c r="G1410" s="72">
        <v>43410</v>
      </c>
    </row>
    <row r="1412" spans="1:7" x14ac:dyDescent="0.25">
      <c r="A1412" t="s">
        <v>1546</v>
      </c>
      <c r="B1412" s="3">
        <v>435344</v>
      </c>
      <c r="C1412" s="3">
        <v>67900</v>
      </c>
      <c r="D1412" s="72">
        <v>43407</v>
      </c>
    </row>
    <row r="1413" spans="1:7" x14ac:dyDescent="0.25">
      <c r="A1413" t="s">
        <v>1547</v>
      </c>
      <c r="B1413" s="3">
        <v>469737</v>
      </c>
      <c r="C1413" s="107">
        <v>23111</v>
      </c>
      <c r="D1413" s="72">
        <v>43405</v>
      </c>
      <c r="E1413" s="3" t="s">
        <v>842</v>
      </c>
    </row>
    <row r="1414" spans="1:7" x14ac:dyDescent="0.25">
      <c r="C1414" s="102">
        <v>200482.8</v>
      </c>
      <c r="D1414" s="72">
        <v>43407</v>
      </c>
      <c r="E1414" s="3" t="s">
        <v>842</v>
      </c>
    </row>
    <row r="1415" spans="1:7" x14ac:dyDescent="0.25">
      <c r="C1415" s="3">
        <v>276796</v>
      </c>
      <c r="D1415" s="72">
        <v>43411</v>
      </c>
      <c r="E1415" s="3" t="s">
        <v>846</v>
      </c>
    </row>
    <row r="1416" spans="1:7" x14ac:dyDescent="0.25">
      <c r="C1416" s="3">
        <v>343204</v>
      </c>
      <c r="D1416" s="72">
        <v>43411</v>
      </c>
      <c r="E1416" s="3" t="s">
        <v>846</v>
      </c>
    </row>
    <row r="1417" spans="1:7" x14ac:dyDescent="0.25">
      <c r="B1417" s="3">
        <f>SUM(B1412:B1415)</f>
        <v>905081</v>
      </c>
      <c r="C1417" s="3">
        <f>SUM(C1412:C1416)</f>
        <v>911493.8</v>
      </c>
      <c r="E1417" s="75">
        <f>C1417-B1417</f>
        <v>6412.8000000000466</v>
      </c>
      <c r="F1417" s="72">
        <v>43411</v>
      </c>
      <c r="G1417" s="72">
        <v>43412</v>
      </c>
    </row>
    <row r="1419" spans="1:7" x14ac:dyDescent="0.25">
      <c r="A1419" t="s">
        <v>1548</v>
      </c>
      <c r="B1419" s="3">
        <v>442200</v>
      </c>
      <c r="C1419" s="3">
        <v>431000</v>
      </c>
      <c r="D1419" s="72">
        <v>43414</v>
      </c>
      <c r="E1419" s="3" t="s">
        <v>846</v>
      </c>
    </row>
    <row r="1420" spans="1:7" x14ac:dyDescent="0.25">
      <c r="A1420" t="s">
        <v>1549</v>
      </c>
      <c r="B1420" s="3">
        <v>400365</v>
      </c>
      <c r="C1420" s="3">
        <v>400000</v>
      </c>
      <c r="D1420" s="72">
        <v>43414</v>
      </c>
      <c r="E1420" s="3" t="s">
        <v>846</v>
      </c>
    </row>
    <row r="1421" spans="1:7" x14ac:dyDescent="0.25">
      <c r="C1421" s="3">
        <v>11565</v>
      </c>
      <c r="D1421" s="72">
        <v>43414</v>
      </c>
      <c r="E1421" s="3" t="s">
        <v>849</v>
      </c>
    </row>
    <row r="1422" spans="1:7" x14ac:dyDescent="0.25">
      <c r="B1422" s="3">
        <f>SUM(B1419:B1420)</f>
        <v>842565</v>
      </c>
      <c r="C1422" s="3">
        <f>SUM(C1419:C1421)</f>
        <v>842565</v>
      </c>
      <c r="E1422" s="3">
        <f>C1422-B1422</f>
        <v>0</v>
      </c>
      <c r="F1422" s="72">
        <v>43414</v>
      </c>
      <c r="G1422" s="72">
        <v>43416</v>
      </c>
    </row>
    <row r="1424" spans="1:7" x14ac:dyDescent="0.25">
      <c r="A1424" t="s">
        <v>1550</v>
      </c>
      <c r="B1424" s="3">
        <v>136524</v>
      </c>
      <c r="C1424" s="3">
        <v>555000</v>
      </c>
      <c r="D1424" s="72">
        <v>43416</v>
      </c>
      <c r="E1424" s="3" t="s">
        <v>846</v>
      </c>
    </row>
    <row r="1425" spans="1:7" x14ac:dyDescent="0.25">
      <c r="A1425" t="s">
        <v>1551</v>
      </c>
      <c r="B1425" s="3">
        <v>25336.799999999999</v>
      </c>
    </row>
    <row r="1426" spans="1:7" x14ac:dyDescent="0.25">
      <c r="A1426" t="s">
        <v>1552</v>
      </c>
      <c r="B1426" s="3">
        <v>250551</v>
      </c>
    </row>
    <row r="1427" spans="1:7" x14ac:dyDescent="0.25">
      <c r="B1427" s="3">
        <f>SUM(B1424:B1426)</f>
        <v>412411.8</v>
      </c>
      <c r="C1427" s="3">
        <f>SUM(C1424:C1426)</f>
        <v>555000</v>
      </c>
      <c r="E1427" s="83">
        <f>C1427-B1427</f>
        <v>142588.20000000001</v>
      </c>
      <c r="F1427" s="72">
        <v>43416</v>
      </c>
      <c r="G1427" s="72">
        <v>43417</v>
      </c>
    </row>
    <row r="1429" spans="1:7" x14ac:dyDescent="0.25">
      <c r="A1429" t="s">
        <v>1553</v>
      </c>
      <c r="B1429" s="3">
        <v>262405</v>
      </c>
      <c r="C1429" s="3">
        <v>241742</v>
      </c>
      <c r="D1429" s="72">
        <v>43419</v>
      </c>
      <c r="E1429" s="3" t="s">
        <v>846</v>
      </c>
    </row>
    <row r="1430" spans="1:7" x14ac:dyDescent="0.25">
      <c r="A1430" t="s">
        <v>1554</v>
      </c>
      <c r="B1430" s="3">
        <v>241853</v>
      </c>
      <c r="C1430" s="3">
        <v>504258</v>
      </c>
      <c r="D1430" s="72">
        <v>43419</v>
      </c>
      <c r="E1430" s="3" t="s">
        <v>846</v>
      </c>
    </row>
    <row r="1431" spans="1:7" x14ac:dyDescent="0.25">
      <c r="B1431" s="3">
        <f>SUM(B1429:B1430)</f>
        <v>504258</v>
      </c>
      <c r="C1431" s="3">
        <f>SUM(C1429:C1430)</f>
        <v>746000</v>
      </c>
      <c r="E1431" s="51">
        <f>C1431-B1431</f>
        <v>241742</v>
      </c>
      <c r="F1431" s="72">
        <v>43419</v>
      </c>
      <c r="G1431" s="72">
        <v>43420</v>
      </c>
    </row>
    <row r="1433" spans="1:7" x14ac:dyDescent="0.25">
      <c r="A1433" t="s">
        <v>1555</v>
      </c>
      <c r="B1433" s="3">
        <v>274866</v>
      </c>
      <c r="C1433" s="3">
        <v>229000</v>
      </c>
      <c r="D1433" s="72">
        <v>43420</v>
      </c>
      <c r="E1433" s="3" t="s">
        <v>846</v>
      </c>
    </row>
    <row r="1434" spans="1:7" x14ac:dyDescent="0.25">
      <c r="C1434" s="75">
        <v>6412.8</v>
      </c>
      <c r="D1434" s="72">
        <v>43411</v>
      </c>
      <c r="E1434" s="3" t="s">
        <v>842</v>
      </c>
    </row>
    <row r="1435" spans="1:7" x14ac:dyDescent="0.25">
      <c r="C1435" s="3">
        <v>15206</v>
      </c>
      <c r="D1435" s="72">
        <v>43413</v>
      </c>
      <c r="E1435" s="3" t="s">
        <v>1556</v>
      </c>
    </row>
    <row r="1436" spans="1:7" x14ac:dyDescent="0.25">
      <c r="C1436" s="3">
        <v>21724</v>
      </c>
      <c r="D1436" s="72">
        <v>43411</v>
      </c>
      <c r="E1436" s="3" t="s">
        <v>1557</v>
      </c>
    </row>
    <row r="1437" spans="1:7" x14ac:dyDescent="0.25">
      <c r="C1437" s="3">
        <v>2523</v>
      </c>
      <c r="D1437" s="72">
        <v>43420</v>
      </c>
      <c r="E1437" s="3" t="s">
        <v>849</v>
      </c>
    </row>
    <row r="1438" spans="1:7" x14ac:dyDescent="0.25">
      <c r="B1438" s="3">
        <f>SUM(B1433:B1437)</f>
        <v>274866</v>
      </c>
      <c r="C1438" s="3">
        <f>SUM(C1433:C1437)</f>
        <v>274865.8</v>
      </c>
      <c r="E1438" s="3">
        <f>C1438-B1438</f>
        <v>-0.20000000001164153</v>
      </c>
      <c r="F1438" s="72">
        <v>43420</v>
      </c>
      <c r="G1438" s="72">
        <v>43421</v>
      </c>
    </row>
    <row r="1440" spans="1:7" x14ac:dyDescent="0.25">
      <c r="A1440" t="s">
        <v>1558</v>
      </c>
      <c r="B1440" s="3">
        <v>482754</v>
      </c>
      <c r="C1440" s="3">
        <v>347324</v>
      </c>
      <c r="D1440" s="72">
        <v>43424</v>
      </c>
      <c r="E1440" s="3" t="s">
        <v>846</v>
      </c>
    </row>
    <row r="1441" spans="1:7" x14ac:dyDescent="0.25">
      <c r="A1441" t="s">
        <v>1559</v>
      </c>
      <c r="B1441" s="3">
        <v>21508</v>
      </c>
      <c r="C1441" s="3">
        <v>323075</v>
      </c>
      <c r="D1441" s="72">
        <v>43424</v>
      </c>
      <c r="E1441" s="3" t="s">
        <v>846</v>
      </c>
    </row>
    <row r="1442" spans="1:7" x14ac:dyDescent="0.25">
      <c r="A1442" t="s">
        <v>1560</v>
      </c>
      <c r="B1442" s="3">
        <v>478728</v>
      </c>
      <c r="C1442" s="3">
        <v>352601</v>
      </c>
      <c r="D1442" s="72">
        <v>43424</v>
      </c>
      <c r="E1442" s="3" t="s">
        <v>846</v>
      </c>
    </row>
    <row r="1443" spans="1:7" x14ac:dyDescent="0.25">
      <c r="B1443" s="3">
        <f>SUM(B1440:B1442)</f>
        <v>982990</v>
      </c>
      <c r="C1443" s="3">
        <f>SUM(C1440:C1442)</f>
        <v>1023000</v>
      </c>
      <c r="E1443" s="107">
        <f>C1443-B1443</f>
        <v>40010</v>
      </c>
      <c r="F1443" s="72">
        <v>43424</v>
      </c>
      <c r="G1443" s="72">
        <v>43425</v>
      </c>
    </row>
    <row r="1445" spans="1:7" x14ac:dyDescent="0.25">
      <c r="A1445" t="s">
        <v>1561</v>
      </c>
      <c r="B1445" s="3">
        <v>227880</v>
      </c>
      <c r="C1445" s="3">
        <v>375780</v>
      </c>
      <c r="D1445" s="72">
        <v>43426</v>
      </c>
      <c r="E1445" s="3" t="s">
        <v>846</v>
      </c>
    </row>
    <row r="1446" spans="1:7" x14ac:dyDescent="0.25">
      <c r="A1446" t="s">
        <v>1562</v>
      </c>
      <c r="B1446" s="3">
        <v>221654</v>
      </c>
      <c r="C1446" s="3">
        <v>404220</v>
      </c>
      <c r="D1446" s="72">
        <v>43426</v>
      </c>
      <c r="E1446" s="3" t="s">
        <v>846</v>
      </c>
    </row>
    <row r="1447" spans="1:7" x14ac:dyDescent="0.25">
      <c r="A1447" t="s">
        <v>1563</v>
      </c>
      <c r="B1447" s="3">
        <v>191520</v>
      </c>
    </row>
    <row r="1448" spans="1:7" x14ac:dyDescent="0.25">
      <c r="B1448" s="3">
        <f>SUM(B1445:B1447)</f>
        <v>641054</v>
      </c>
      <c r="C1448" s="3">
        <f>SUM(C1445:C1447)</f>
        <v>780000</v>
      </c>
      <c r="E1448" s="114">
        <f>C1448-B1448</f>
        <v>138946</v>
      </c>
      <c r="F1448" s="72">
        <v>43426</v>
      </c>
      <c r="G1448" s="72">
        <v>43427</v>
      </c>
    </row>
    <row r="1450" spans="1:7" x14ac:dyDescent="0.25">
      <c r="A1450" t="s">
        <v>1564</v>
      </c>
      <c r="B1450" s="3">
        <v>398849</v>
      </c>
      <c r="C1450" s="3">
        <v>400000</v>
      </c>
      <c r="D1450" s="72">
        <v>43428</v>
      </c>
      <c r="E1450" s="3" t="s">
        <v>846</v>
      </c>
    </row>
    <row r="1451" spans="1:7" x14ac:dyDescent="0.25">
      <c r="B1451" s="3">
        <f>SUM(B1450)</f>
        <v>398849</v>
      </c>
      <c r="C1451" s="3">
        <f>SUM(C1450)</f>
        <v>400000</v>
      </c>
      <c r="E1451" s="54">
        <f>C1451-B1451</f>
        <v>1151</v>
      </c>
      <c r="F1451" s="72">
        <v>43428</v>
      </c>
      <c r="G1451" s="72">
        <v>43430</v>
      </c>
    </row>
    <row r="1453" spans="1:7" x14ac:dyDescent="0.25">
      <c r="A1453" t="s">
        <v>1565</v>
      </c>
      <c r="B1453" s="3">
        <v>383720</v>
      </c>
      <c r="C1453" s="3">
        <v>549000</v>
      </c>
      <c r="D1453" s="72">
        <v>43430</v>
      </c>
      <c r="E1453" s="3" t="s">
        <v>846</v>
      </c>
    </row>
    <row r="1454" spans="1:7" x14ac:dyDescent="0.25">
      <c r="B1454" s="3">
        <f>SUM(B1453)</f>
        <v>383720</v>
      </c>
      <c r="C1454" s="3">
        <f>SUM(C1453)</f>
        <v>549000</v>
      </c>
      <c r="E1454" s="99">
        <f>C1454-B1454</f>
        <v>165280</v>
      </c>
      <c r="F1454" s="72">
        <v>43430</v>
      </c>
      <c r="G1454" s="72">
        <v>43431</v>
      </c>
    </row>
    <row r="1456" spans="1:7" x14ac:dyDescent="0.25">
      <c r="A1456" t="s">
        <v>1566</v>
      </c>
      <c r="B1456" s="3">
        <v>248400</v>
      </c>
      <c r="C1456" s="54">
        <v>1151</v>
      </c>
      <c r="D1456" s="72">
        <v>43428</v>
      </c>
      <c r="E1456" s="3" t="s">
        <v>842</v>
      </c>
    </row>
    <row r="1457" spans="1:7" x14ac:dyDescent="0.25">
      <c r="A1457" t="s">
        <v>1567</v>
      </c>
      <c r="B1457" s="3">
        <v>11194.8</v>
      </c>
      <c r="C1457" s="3">
        <v>371000</v>
      </c>
      <c r="D1457" s="72">
        <v>43431</v>
      </c>
      <c r="E1457" s="3" t="s">
        <v>846</v>
      </c>
    </row>
    <row r="1458" spans="1:7" x14ac:dyDescent="0.25">
      <c r="A1458" t="s">
        <v>1568</v>
      </c>
      <c r="B1458" s="3">
        <v>113876.35</v>
      </c>
      <c r="C1458" s="3">
        <v>1320</v>
      </c>
      <c r="D1458" s="72">
        <v>43431</v>
      </c>
      <c r="E1458" s="3" t="s">
        <v>849</v>
      </c>
    </row>
    <row r="1459" spans="1:7" x14ac:dyDescent="0.25">
      <c r="B1459" s="3">
        <f>SUM(B1456:B1458)</f>
        <v>373471.15</v>
      </c>
      <c r="C1459" s="3">
        <f>SUM(C1456:C1458)</f>
        <v>373471</v>
      </c>
      <c r="E1459" s="3">
        <f>C1459-B1459</f>
        <v>-0.15000000002328306</v>
      </c>
      <c r="F1459" s="72">
        <v>43431</v>
      </c>
      <c r="G1459" s="72">
        <v>43433</v>
      </c>
    </row>
    <row r="1461" spans="1:7" x14ac:dyDescent="0.25">
      <c r="A1461" t="s">
        <v>1569</v>
      </c>
      <c r="B1461" s="3">
        <v>254800</v>
      </c>
      <c r="C1461" s="3">
        <v>350000</v>
      </c>
      <c r="D1461" s="72">
        <v>43434</v>
      </c>
      <c r="E1461" s="3" t="s">
        <v>846</v>
      </c>
    </row>
    <row r="1462" spans="1:7" x14ac:dyDescent="0.25">
      <c r="A1462" t="s">
        <v>1570</v>
      </c>
      <c r="B1462" s="3">
        <v>244185</v>
      </c>
      <c r="C1462" s="3">
        <v>650000</v>
      </c>
      <c r="D1462" s="72">
        <v>43434</v>
      </c>
      <c r="E1462" s="3" t="s">
        <v>846</v>
      </c>
    </row>
    <row r="1463" spans="1:7" x14ac:dyDescent="0.25">
      <c r="A1463" t="s">
        <v>1571</v>
      </c>
      <c r="B1463" s="3">
        <v>282100</v>
      </c>
    </row>
    <row r="1464" spans="1:7" x14ac:dyDescent="0.25">
      <c r="B1464" s="3">
        <f>SUM(B1461:B1463)</f>
        <v>781085</v>
      </c>
      <c r="C1464" s="3">
        <f>SUM(C1461:C1463)</f>
        <v>1000000</v>
      </c>
      <c r="E1464" s="107">
        <f>C1464-B1464</f>
        <v>218915</v>
      </c>
      <c r="F1464" s="72">
        <v>43434</v>
      </c>
      <c r="G1464" s="72">
        <v>43434</v>
      </c>
    </row>
    <row r="1466" spans="1:7" x14ac:dyDescent="0.25">
      <c r="A1466" t="s">
        <v>1572</v>
      </c>
      <c r="B1466" s="3">
        <v>491036</v>
      </c>
      <c r="C1466" s="3">
        <v>369000</v>
      </c>
      <c r="D1466" s="72">
        <v>43437</v>
      </c>
      <c r="E1466" s="3" t="s">
        <v>846</v>
      </c>
    </row>
    <row r="1467" spans="1:7" x14ac:dyDescent="0.25">
      <c r="C1467" s="83">
        <v>44803.9</v>
      </c>
      <c r="D1467" s="72">
        <v>43409</v>
      </c>
      <c r="E1467" s="3" t="s">
        <v>842</v>
      </c>
    </row>
    <row r="1468" spans="1:7" x14ac:dyDescent="0.25">
      <c r="C1468" s="3">
        <v>22400</v>
      </c>
      <c r="D1468" s="72">
        <v>43427</v>
      </c>
    </row>
    <row r="1469" spans="1:7" x14ac:dyDescent="0.25">
      <c r="C1469" s="107">
        <v>40010</v>
      </c>
      <c r="D1469" s="72">
        <v>43424</v>
      </c>
      <c r="E1469" s="3" t="s">
        <v>842</v>
      </c>
    </row>
    <row r="1470" spans="1:7" x14ac:dyDescent="0.25">
      <c r="C1470" s="3">
        <v>18200</v>
      </c>
      <c r="D1470" s="72">
        <v>43434</v>
      </c>
      <c r="E1470" s="3" t="s">
        <v>842</v>
      </c>
      <c r="F1470" t="s">
        <v>1573</v>
      </c>
    </row>
    <row r="1471" spans="1:7" x14ac:dyDescent="0.25">
      <c r="B1471" s="3">
        <f>SUM(B1466:B1470)</f>
        <v>491036</v>
      </c>
      <c r="C1471" s="3">
        <f>SUM(C1466:C1470)</f>
        <v>494413.9</v>
      </c>
      <c r="E1471" s="75">
        <f>C1471-B1471</f>
        <v>3377.9000000000233</v>
      </c>
      <c r="F1471" s="72">
        <v>43437</v>
      </c>
      <c r="G1471" s="72">
        <v>43438</v>
      </c>
    </row>
    <row r="1473" spans="1:7" x14ac:dyDescent="0.25">
      <c r="A1473" t="s">
        <v>1574</v>
      </c>
      <c r="B1473" s="3">
        <v>471380</v>
      </c>
      <c r="C1473" s="3">
        <v>470000</v>
      </c>
      <c r="D1473" s="72">
        <v>43438</v>
      </c>
      <c r="E1473" s="3" t="s">
        <v>846</v>
      </c>
    </row>
    <row r="1474" spans="1:7" x14ac:dyDescent="0.25">
      <c r="C1474" s="3">
        <v>1380</v>
      </c>
      <c r="D1474" s="72">
        <v>43438</v>
      </c>
      <c r="E1474" s="3" t="s">
        <v>849</v>
      </c>
    </row>
    <row r="1475" spans="1:7" x14ac:dyDescent="0.25">
      <c r="B1475" s="3">
        <f>SUM(B1473:B1474)</f>
        <v>471380</v>
      </c>
      <c r="C1475" s="3">
        <f>SUM(C1473:C1474)</f>
        <v>471380</v>
      </c>
      <c r="E1475" s="3">
        <f>C1475-B1475</f>
        <v>0</v>
      </c>
      <c r="F1475" s="72">
        <v>43438</v>
      </c>
      <c r="G1475" s="72">
        <v>43438</v>
      </c>
    </row>
    <row r="1477" spans="1:7" x14ac:dyDescent="0.25">
      <c r="A1477" t="s">
        <v>1575</v>
      </c>
      <c r="B1477" s="3">
        <v>246428</v>
      </c>
      <c r="C1477" s="3">
        <v>340000</v>
      </c>
      <c r="D1477" s="72">
        <v>43440</v>
      </c>
      <c r="E1477" s="3" t="s">
        <v>846</v>
      </c>
    </row>
    <row r="1478" spans="1:7" x14ac:dyDescent="0.25">
      <c r="B1478" s="3">
        <f>SUM(B1477)</f>
        <v>246428</v>
      </c>
      <c r="C1478" s="3">
        <f>SUM(C1477)</f>
        <v>340000</v>
      </c>
      <c r="E1478" s="95">
        <f>C1478-B1478</f>
        <v>93572</v>
      </c>
      <c r="F1478" s="72">
        <v>43440</v>
      </c>
      <c r="G1478" s="72">
        <v>43441</v>
      </c>
    </row>
    <row r="1480" spans="1:7" x14ac:dyDescent="0.25">
      <c r="A1480" t="s">
        <v>1576</v>
      </c>
      <c r="B1480" s="3">
        <v>410625</v>
      </c>
      <c r="C1480" s="3">
        <v>556000</v>
      </c>
      <c r="D1480" s="72">
        <v>43441</v>
      </c>
      <c r="E1480" s="3" t="s">
        <v>846</v>
      </c>
    </row>
    <row r="1481" spans="1:7" x14ac:dyDescent="0.25">
      <c r="A1481" t="s">
        <v>1577</v>
      </c>
      <c r="B1481" s="3">
        <v>426244</v>
      </c>
      <c r="C1481" s="3">
        <v>169106</v>
      </c>
      <c r="D1481" s="72">
        <v>43441</v>
      </c>
    </row>
    <row r="1482" spans="1:7" x14ac:dyDescent="0.25">
      <c r="C1482" s="95">
        <v>93572</v>
      </c>
      <c r="D1482" s="72">
        <v>43440</v>
      </c>
      <c r="E1482" s="3" t="s">
        <v>842</v>
      </c>
    </row>
    <row r="1483" spans="1:7" x14ac:dyDescent="0.25">
      <c r="C1483" s="75">
        <v>3377.9</v>
      </c>
      <c r="D1483" s="72">
        <v>43437</v>
      </c>
      <c r="E1483" s="3" t="s">
        <v>842</v>
      </c>
    </row>
    <row r="1484" spans="1:7" x14ac:dyDescent="0.25">
      <c r="C1484" s="3">
        <v>47000</v>
      </c>
      <c r="D1484" s="72">
        <v>43412</v>
      </c>
    </row>
    <row r="1485" spans="1:7" x14ac:dyDescent="0.25">
      <c r="C1485" s="3">
        <v>11762</v>
      </c>
      <c r="D1485" s="72">
        <v>43440</v>
      </c>
      <c r="E1485" s="3" t="s">
        <v>1578</v>
      </c>
    </row>
    <row r="1486" spans="1:7" x14ac:dyDescent="0.25">
      <c r="B1486" s="3">
        <f>SUM(B1480:B1485)</f>
        <v>836869</v>
      </c>
      <c r="C1486" s="3">
        <f>SUM(C1480:C1485)</f>
        <v>880817.9</v>
      </c>
      <c r="E1486" s="91">
        <f>C1486-B1486</f>
        <v>43948.900000000023</v>
      </c>
      <c r="F1486" s="72">
        <v>43441</v>
      </c>
      <c r="G1486" s="72">
        <v>43441</v>
      </c>
    </row>
    <row r="1488" spans="1:7" x14ac:dyDescent="0.25">
      <c r="A1488" t="s">
        <v>1579</v>
      </c>
      <c r="B1488" s="3">
        <v>470106</v>
      </c>
      <c r="C1488" s="3">
        <v>400000</v>
      </c>
      <c r="D1488" s="72">
        <v>43444</v>
      </c>
      <c r="E1488" s="3" t="s">
        <v>846</v>
      </c>
    </row>
    <row r="1489" spans="1:7" x14ac:dyDescent="0.25">
      <c r="A1489" t="s">
        <v>1580</v>
      </c>
      <c r="B1489" s="3">
        <v>41380.800000000003</v>
      </c>
      <c r="C1489" s="3">
        <v>393000</v>
      </c>
      <c r="D1489" s="72">
        <v>43444</v>
      </c>
      <c r="E1489" s="3" t="s">
        <v>846</v>
      </c>
    </row>
    <row r="1490" spans="1:7" x14ac:dyDescent="0.25">
      <c r="A1490" t="s">
        <v>1581</v>
      </c>
      <c r="B1490" s="3">
        <v>241776</v>
      </c>
    </row>
    <row r="1491" spans="1:7" x14ac:dyDescent="0.25">
      <c r="A1491" t="s">
        <v>1582</v>
      </c>
      <c r="B1491" s="3">
        <v>35707.839999999997</v>
      </c>
    </row>
    <row r="1492" spans="1:7" x14ac:dyDescent="0.25">
      <c r="B1492" s="3">
        <f>SUM(B1488:B1491)</f>
        <v>788970.64</v>
      </c>
      <c r="C1492" s="3">
        <f>SUM(C1488:C1491)</f>
        <v>793000</v>
      </c>
      <c r="E1492" s="83">
        <f>C1492-B1492</f>
        <v>4029.359999999986</v>
      </c>
      <c r="F1492" s="72">
        <v>43444</v>
      </c>
      <c r="G1492" s="72">
        <v>43445</v>
      </c>
    </row>
    <row r="1494" spans="1:7" x14ac:dyDescent="0.25">
      <c r="A1494" t="s">
        <v>1583</v>
      </c>
      <c r="B1494" s="3">
        <v>237682.5</v>
      </c>
      <c r="C1494" s="3">
        <v>345000</v>
      </c>
      <c r="D1494" s="72">
        <v>43445</v>
      </c>
      <c r="E1494" s="3" t="s">
        <v>846</v>
      </c>
    </row>
    <row r="1495" spans="1:7" x14ac:dyDescent="0.25">
      <c r="B1495" s="3">
        <f>SUM(B1494)</f>
        <v>237682.5</v>
      </c>
      <c r="C1495" s="3">
        <f>SUM(C1494)</f>
        <v>345000</v>
      </c>
      <c r="E1495" s="115">
        <f>C1495-B1495</f>
        <v>107317.5</v>
      </c>
      <c r="F1495" s="72">
        <v>43445</v>
      </c>
      <c r="G1495" s="72">
        <v>43446</v>
      </c>
    </row>
    <row r="1497" spans="1:7" x14ac:dyDescent="0.25">
      <c r="A1497" t="s">
        <v>1584</v>
      </c>
      <c r="B1497" s="3">
        <v>243984</v>
      </c>
      <c r="C1497" s="3">
        <v>400000</v>
      </c>
      <c r="D1497" s="72">
        <v>43447</v>
      </c>
      <c r="E1497" s="3" t="s">
        <v>846</v>
      </c>
    </row>
    <row r="1498" spans="1:7" x14ac:dyDescent="0.25">
      <c r="A1498" t="s">
        <v>1585</v>
      </c>
      <c r="B1498" s="3">
        <v>466835</v>
      </c>
      <c r="C1498" s="3">
        <v>363000</v>
      </c>
      <c r="D1498" s="72">
        <v>43447</v>
      </c>
      <c r="E1498" s="3" t="s">
        <v>846</v>
      </c>
    </row>
    <row r="1499" spans="1:7" x14ac:dyDescent="0.25">
      <c r="B1499" s="3">
        <f>SUM(B1497:B1498)</f>
        <v>710819</v>
      </c>
      <c r="C1499" s="3">
        <f>SUM(C1497:C1498)</f>
        <v>763000</v>
      </c>
      <c r="E1499" s="54">
        <f>C1499-B1499</f>
        <v>52181</v>
      </c>
      <c r="F1499" s="72">
        <v>43447</v>
      </c>
      <c r="G1499" s="72">
        <v>43448</v>
      </c>
    </row>
    <row r="1501" spans="1:7" x14ac:dyDescent="0.25">
      <c r="A1501" t="s">
        <v>1586</v>
      </c>
      <c r="B1501" s="3">
        <v>81142.740000000005</v>
      </c>
      <c r="C1501" s="3">
        <v>330000</v>
      </c>
      <c r="D1501" s="72">
        <v>43448</v>
      </c>
      <c r="E1501" s="3" t="s">
        <v>846</v>
      </c>
    </row>
    <row r="1502" spans="1:7" x14ac:dyDescent="0.25">
      <c r="A1502" t="s">
        <v>1587</v>
      </c>
      <c r="B1502" s="3">
        <v>464940</v>
      </c>
      <c r="C1502" s="91">
        <v>43948.9</v>
      </c>
      <c r="D1502" s="72">
        <v>43441</v>
      </c>
      <c r="E1502" s="3" t="s">
        <v>842</v>
      </c>
    </row>
    <row r="1503" spans="1:7" x14ac:dyDescent="0.25">
      <c r="C1503" s="54">
        <v>52181</v>
      </c>
      <c r="D1503" s="72">
        <v>43447</v>
      </c>
      <c r="E1503" s="3" t="s">
        <v>842</v>
      </c>
    </row>
    <row r="1504" spans="1:7" x14ac:dyDescent="0.25">
      <c r="C1504" s="115">
        <v>107317.5</v>
      </c>
      <c r="D1504" s="72">
        <v>43445</v>
      </c>
      <c r="E1504" s="3" t="s">
        <v>842</v>
      </c>
    </row>
    <row r="1505" spans="1:7" x14ac:dyDescent="0.25">
      <c r="C1505" s="83">
        <v>4029.36</v>
      </c>
      <c r="D1505" s="72">
        <v>43444</v>
      </c>
      <c r="E1505" s="3" t="s">
        <v>842</v>
      </c>
    </row>
    <row r="1506" spans="1:7" x14ac:dyDescent="0.25">
      <c r="C1506" s="3">
        <v>8606</v>
      </c>
      <c r="D1506" s="72">
        <v>43448</v>
      </c>
      <c r="E1506" s="3" t="s">
        <v>849</v>
      </c>
    </row>
    <row r="1507" spans="1:7" x14ac:dyDescent="0.25">
      <c r="B1507" s="3">
        <f>SUM(B1501:B1505)</f>
        <v>546082.74</v>
      </c>
      <c r="C1507" s="3">
        <f>SUM(C1501:C1506)</f>
        <v>546082.76</v>
      </c>
      <c r="E1507" s="3">
        <f>C1507-B1507</f>
        <v>2.0000000018626451E-2</v>
      </c>
      <c r="F1507" s="72">
        <v>43448</v>
      </c>
      <c r="G1507" s="72">
        <v>43449</v>
      </c>
    </row>
    <row r="1509" spans="1:7" x14ac:dyDescent="0.25">
      <c r="A1509" t="s">
        <v>1588</v>
      </c>
      <c r="B1509" s="3">
        <v>238419.5</v>
      </c>
      <c r="C1509" s="3">
        <v>370700</v>
      </c>
      <c r="D1509" s="72">
        <v>43451</v>
      </c>
      <c r="E1509" s="3" t="s">
        <v>846</v>
      </c>
    </row>
    <row r="1510" spans="1:7" x14ac:dyDescent="0.25">
      <c r="A1510" t="s">
        <v>1589</v>
      </c>
      <c r="B1510" s="3">
        <v>482250</v>
      </c>
      <c r="C1510" s="3">
        <v>358300</v>
      </c>
      <c r="D1510" s="72">
        <v>43451</v>
      </c>
      <c r="E1510" s="3" t="s">
        <v>846</v>
      </c>
    </row>
    <row r="1511" spans="1:7" x14ac:dyDescent="0.25">
      <c r="B1511" s="3">
        <f>SUM(B1509:B1510)</f>
        <v>720669.5</v>
      </c>
      <c r="C1511" s="3">
        <f>SUM(C1509:C1510)</f>
        <v>729000</v>
      </c>
      <c r="E1511" s="75">
        <f>C1511-B1511</f>
        <v>8330.5</v>
      </c>
      <c r="F1511" s="72">
        <v>43451</v>
      </c>
      <c r="G1511" s="72">
        <v>43452</v>
      </c>
    </row>
    <row r="1513" spans="1:7" x14ac:dyDescent="0.25">
      <c r="A1513" t="s">
        <v>1590</v>
      </c>
      <c r="B1513" s="3">
        <v>460525.5</v>
      </c>
      <c r="C1513" s="3">
        <v>627000</v>
      </c>
      <c r="D1513" s="72">
        <v>43452</v>
      </c>
      <c r="E1513" s="3" t="s">
        <v>846</v>
      </c>
    </row>
    <row r="1514" spans="1:7" x14ac:dyDescent="0.25">
      <c r="A1514" t="s">
        <v>1591</v>
      </c>
      <c r="B1514" s="3">
        <v>463760</v>
      </c>
      <c r="C1514" s="3">
        <v>386000</v>
      </c>
      <c r="D1514" s="72">
        <v>43452</v>
      </c>
      <c r="E1514" s="3" t="s">
        <v>846</v>
      </c>
    </row>
    <row r="1515" spans="1:7" x14ac:dyDescent="0.25">
      <c r="A1515" t="s">
        <v>1592</v>
      </c>
      <c r="B1515" s="3">
        <v>149787</v>
      </c>
      <c r="C1515" s="3">
        <v>498000</v>
      </c>
      <c r="D1515" s="72">
        <v>43452</v>
      </c>
      <c r="E1515" s="3" t="s">
        <v>846</v>
      </c>
    </row>
    <row r="1516" spans="1:7" x14ac:dyDescent="0.25">
      <c r="A1516" t="s">
        <v>1593</v>
      </c>
      <c r="B1516" s="3">
        <v>244970</v>
      </c>
      <c r="C1516" s="3">
        <v>503000</v>
      </c>
      <c r="D1516" s="72">
        <v>43452</v>
      </c>
      <c r="E1516" s="3" t="s">
        <v>846</v>
      </c>
    </row>
    <row r="1517" spans="1:7" x14ac:dyDescent="0.25">
      <c r="C1517" s="3">
        <v>485000</v>
      </c>
      <c r="D1517" s="72">
        <v>43452</v>
      </c>
      <c r="E1517" s="3" t="s">
        <v>846</v>
      </c>
    </row>
    <row r="1518" spans="1:7" x14ac:dyDescent="0.25">
      <c r="B1518" s="3">
        <f>SUM(B1513:B1517)</f>
        <v>1319042.5</v>
      </c>
      <c r="C1518" s="3">
        <f>SUM(C1513:C1517)</f>
        <v>2499000</v>
      </c>
      <c r="E1518" s="86">
        <f>C1518-B1518</f>
        <v>1179957.5</v>
      </c>
      <c r="F1518" s="72">
        <v>43452</v>
      </c>
      <c r="G1518" s="72">
        <v>43453</v>
      </c>
    </row>
    <row r="1520" spans="1:7" x14ac:dyDescent="0.25">
      <c r="A1520" t="s">
        <v>1594</v>
      </c>
      <c r="B1520" s="3">
        <v>244125</v>
      </c>
      <c r="C1520" s="3">
        <v>4674</v>
      </c>
      <c r="D1520" s="72">
        <v>181218</v>
      </c>
      <c r="E1520" s="3" t="s">
        <v>1595</v>
      </c>
    </row>
    <row r="1521" spans="1:14" x14ac:dyDescent="0.25">
      <c r="A1521" t="s">
        <v>1596</v>
      </c>
      <c r="B1521" s="3">
        <v>155238.29999999999</v>
      </c>
      <c r="C1521" s="3">
        <v>18017</v>
      </c>
      <c r="D1521" s="72">
        <v>43450</v>
      </c>
      <c r="E1521" s="3" t="s">
        <v>861</v>
      </c>
    </row>
    <row r="1522" spans="1:14" x14ac:dyDescent="0.25">
      <c r="C1522" s="3">
        <v>6180</v>
      </c>
      <c r="D1522" s="72">
        <v>43450</v>
      </c>
      <c r="E1522" s="3" t="s">
        <v>1597</v>
      </c>
      <c r="L1522" s="3"/>
      <c r="M1522" s="72"/>
      <c r="N1522" s="72"/>
    </row>
    <row r="1523" spans="1:14" x14ac:dyDescent="0.25">
      <c r="C1523" s="75">
        <v>8330.5</v>
      </c>
      <c r="D1523" s="72">
        <v>43451</v>
      </c>
      <c r="E1523" s="3" t="s">
        <v>842</v>
      </c>
    </row>
    <row r="1524" spans="1:14" x14ac:dyDescent="0.25">
      <c r="C1524" s="107">
        <v>218915</v>
      </c>
      <c r="D1524" s="72">
        <v>43434</v>
      </c>
      <c r="E1524" s="3" t="s">
        <v>842</v>
      </c>
    </row>
    <row r="1525" spans="1:14" x14ac:dyDescent="0.25">
      <c r="C1525" s="3">
        <v>129674</v>
      </c>
      <c r="D1525" s="72">
        <v>43428</v>
      </c>
    </row>
    <row r="1526" spans="1:14" x14ac:dyDescent="0.25">
      <c r="C1526" s="3">
        <v>13573</v>
      </c>
      <c r="D1526" s="72">
        <v>43454</v>
      </c>
      <c r="E1526" s="3" t="s">
        <v>849</v>
      </c>
    </row>
    <row r="1527" spans="1:14" x14ac:dyDescent="0.25">
      <c r="B1527" s="3">
        <f>SUM(B1520:B1526)</f>
        <v>399363.3</v>
      </c>
      <c r="C1527" s="3">
        <f>SUM(C1520:C1526)</f>
        <v>399363.5</v>
      </c>
      <c r="E1527" s="3">
        <f>C1527-B1527</f>
        <v>0.20000000001164153</v>
      </c>
      <c r="F1527" s="72">
        <v>43454</v>
      </c>
      <c r="G1527" s="72">
        <v>43454</v>
      </c>
    </row>
    <row r="1529" spans="1:14" x14ac:dyDescent="0.25">
      <c r="A1529" t="s">
        <v>1598</v>
      </c>
      <c r="B1529" s="3">
        <v>243848</v>
      </c>
      <c r="C1529" s="51">
        <v>241742</v>
      </c>
      <c r="D1529" s="72">
        <v>43419</v>
      </c>
      <c r="E1529" s="3" t="s">
        <v>842</v>
      </c>
    </row>
    <row r="1530" spans="1:14" x14ac:dyDescent="0.25">
      <c r="C1530" s="3">
        <v>2106</v>
      </c>
      <c r="D1530" s="72">
        <v>43454</v>
      </c>
    </row>
    <row r="1531" spans="1:14" x14ac:dyDescent="0.25">
      <c r="B1531" s="3">
        <f>SUM(B1529:B1530)</f>
        <v>243848</v>
      </c>
      <c r="C1531" s="3">
        <f>SUM(C1529:C1530)</f>
        <v>243848</v>
      </c>
      <c r="E1531" s="3">
        <f>C1531-B1531</f>
        <v>0</v>
      </c>
      <c r="F1531" s="72">
        <v>43454</v>
      </c>
      <c r="G1531" s="72">
        <v>43455</v>
      </c>
      <c r="L1531" s="3"/>
      <c r="M1531" s="72"/>
      <c r="N1531" s="72"/>
    </row>
    <row r="1532" spans="1:14" x14ac:dyDescent="0.25">
      <c r="L1532" s="3"/>
      <c r="M1532" s="72"/>
      <c r="N1532" s="72"/>
    </row>
    <row r="1533" spans="1:14" x14ac:dyDescent="0.25">
      <c r="A1533" t="s">
        <v>1599</v>
      </c>
      <c r="B1533" s="3">
        <v>461890</v>
      </c>
      <c r="C1533" s="99">
        <v>165280</v>
      </c>
      <c r="D1533" s="72">
        <v>43430</v>
      </c>
      <c r="E1533" s="3" t="s">
        <v>842</v>
      </c>
      <c r="L1533" s="3"/>
      <c r="M1533" s="72"/>
      <c r="N1533" s="72"/>
    </row>
    <row r="1534" spans="1:14" x14ac:dyDescent="0.25">
      <c r="C1534" s="114">
        <v>138946</v>
      </c>
      <c r="D1534" s="72">
        <v>43426</v>
      </c>
      <c r="E1534" s="3" t="s">
        <v>842</v>
      </c>
    </row>
    <row r="1535" spans="1:14" x14ac:dyDescent="0.25">
      <c r="C1535" s="83">
        <v>142588.20000000001</v>
      </c>
      <c r="D1535" s="72">
        <v>43416</v>
      </c>
      <c r="E1535" s="3" t="s">
        <v>842</v>
      </c>
    </row>
    <row r="1536" spans="1:14" x14ac:dyDescent="0.25">
      <c r="C1536" s="3">
        <v>3696.15</v>
      </c>
      <c r="D1536" s="72">
        <v>43454</v>
      </c>
      <c r="E1536" s="3" t="s">
        <v>1600</v>
      </c>
    </row>
    <row r="1537" spans="1:7" x14ac:dyDescent="0.25">
      <c r="C1537" s="3">
        <v>11380</v>
      </c>
      <c r="D1537" s="72">
        <v>43455</v>
      </c>
      <c r="E1537" s="3" t="s">
        <v>849</v>
      </c>
    </row>
    <row r="1538" spans="1:7" x14ac:dyDescent="0.25">
      <c r="B1538" s="3">
        <f>SUM(B1533:B1537)</f>
        <v>461890</v>
      </c>
      <c r="C1538" s="3">
        <f>SUM(C1533:C1537)</f>
        <v>461890.35000000003</v>
      </c>
      <c r="E1538" s="3">
        <f>C1538-B1538</f>
        <v>0.3500000000349246</v>
      </c>
      <c r="F1538" s="72">
        <v>43455</v>
      </c>
      <c r="G1538" s="72">
        <v>43456</v>
      </c>
    </row>
    <row r="1540" spans="1:7" x14ac:dyDescent="0.25">
      <c r="A1540" t="s">
        <v>1601</v>
      </c>
      <c r="B1540" s="3">
        <v>881144</v>
      </c>
      <c r="C1540" s="3">
        <v>389305.36</v>
      </c>
      <c r="D1540" s="72">
        <v>43458</v>
      </c>
      <c r="E1540" s="3" t="s">
        <v>846</v>
      </c>
    </row>
    <row r="1541" spans="1:7" x14ac:dyDescent="0.25">
      <c r="A1541" t="s">
        <v>1602</v>
      </c>
      <c r="B1541" s="3">
        <v>415320.5</v>
      </c>
      <c r="C1541" s="3">
        <v>436612.46</v>
      </c>
      <c r="D1541" s="72">
        <v>43458</v>
      </c>
      <c r="E1541" s="3" t="s">
        <v>846</v>
      </c>
    </row>
    <row r="1542" spans="1:7" x14ac:dyDescent="0.25">
      <c r="A1542" t="s">
        <v>1603</v>
      </c>
      <c r="B1542" s="3">
        <v>864241</v>
      </c>
      <c r="C1542" s="3">
        <v>382877.18</v>
      </c>
      <c r="D1542" s="72">
        <v>43458</v>
      </c>
      <c r="E1542" s="3" t="s">
        <v>846</v>
      </c>
    </row>
    <row r="1543" spans="1:7" x14ac:dyDescent="0.25">
      <c r="A1543" t="s">
        <v>1604</v>
      </c>
      <c r="B1543" s="3">
        <v>36932.800000000003</v>
      </c>
      <c r="C1543" s="3">
        <v>441558.09</v>
      </c>
      <c r="D1543" s="72">
        <v>43458</v>
      </c>
      <c r="E1543" s="3" t="s">
        <v>846</v>
      </c>
    </row>
    <row r="1544" spans="1:7" x14ac:dyDescent="0.25">
      <c r="A1544" t="s">
        <v>1605</v>
      </c>
      <c r="B1544" s="3">
        <v>75444.100000000006</v>
      </c>
      <c r="C1544" s="3">
        <v>458246.91</v>
      </c>
      <c r="D1544" s="72">
        <v>43458</v>
      </c>
      <c r="E1544" s="3" t="s">
        <v>846</v>
      </c>
    </row>
    <row r="1545" spans="1:7" x14ac:dyDescent="0.25">
      <c r="C1545" s="3">
        <v>394400</v>
      </c>
      <c r="D1545" s="72">
        <v>43458</v>
      </c>
      <c r="E1545" s="3" t="s">
        <v>846</v>
      </c>
    </row>
    <row r="1546" spans="1:7" x14ac:dyDescent="0.25">
      <c r="B1546" s="3">
        <f>SUM(B1540:B1545)</f>
        <v>2273082.4</v>
      </c>
      <c r="C1546" s="3">
        <f>SUM(C1540:C1545)</f>
        <v>2503000</v>
      </c>
      <c r="E1546" s="83">
        <f>C1546-B1546</f>
        <v>229917.60000000009</v>
      </c>
      <c r="F1546" s="72">
        <v>43458</v>
      </c>
      <c r="G1546" s="72">
        <v>43460</v>
      </c>
    </row>
    <row r="1548" spans="1:7" x14ac:dyDescent="0.25">
      <c r="A1548" t="s">
        <v>1606</v>
      </c>
      <c r="B1548" s="3">
        <v>438702</v>
      </c>
      <c r="C1548" s="83">
        <v>229917.6</v>
      </c>
      <c r="D1548" s="72">
        <v>43458</v>
      </c>
      <c r="E1548" s="3" t="s">
        <v>842</v>
      </c>
    </row>
    <row r="1549" spans="1:7" x14ac:dyDescent="0.25">
      <c r="C1549" s="3">
        <v>30274</v>
      </c>
      <c r="D1549" s="72">
        <v>43460</v>
      </c>
      <c r="E1549" s="3" t="s">
        <v>1607</v>
      </c>
    </row>
    <row r="1550" spans="1:7" x14ac:dyDescent="0.25">
      <c r="C1550" s="3">
        <v>146079</v>
      </c>
      <c r="D1550" s="72">
        <v>43455</v>
      </c>
      <c r="E1550" s="3" t="s">
        <v>1608</v>
      </c>
    </row>
    <row r="1551" spans="1:7" x14ac:dyDescent="0.25">
      <c r="C1551" s="3">
        <v>12006</v>
      </c>
      <c r="D1551" s="72">
        <v>43457</v>
      </c>
      <c r="E1551" s="3" t="s">
        <v>1609</v>
      </c>
    </row>
    <row r="1552" spans="1:7" x14ac:dyDescent="0.25">
      <c r="C1552" s="3">
        <v>22297</v>
      </c>
      <c r="D1552" s="72">
        <v>43457</v>
      </c>
      <c r="E1552" s="3" t="s">
        <v>1610</v>
      </c>
    </row>
    <row r="1553" spans="1:7" x14ac:dyDescent="0.25">
      <c r="B1553" s="3">
        <f>SUM(B1548:B1552)</f>
        <v>438702</v>
      </c>
      <c r="C1553" s="3">
        <f>SUM(C1548:C1552)</f>
        <v>440573.6</v>
      </c>
      <c r="E1553" s="117">
        <f>C1553-B1553</f>
        <v>1871.5999999999767</v>
      </c>
      <c r="F1553" s="72">
        <v>43461</v>
      </c>
      <c r="G1553" s="72">
        <v>43461</v>
      </c>
    </row>
    <row r="1555" spans="1:7" x14ac:dyDescent="0.25">
      <c r="A1555" t="s">
        <v>1611</v>
      </c>
      <c r="B1555" s="3">
        <v>853860</v>
      </c>
      <c r="C1555" s="3">
        <v>728000</v>
      </c>
      <c r="D1555" s="72">
        <v>43463</v>
      </c>
      <c r="E1555" s="3" t="s">
        <v>846</v>
      </c>
    </row>
    <row r="1556" spans="1:7" x14ac:dyDescent="0.25">
      <c r="A1556" t="s">
        <v>1612</v>
      </c>
      <c r="B1556" s="3">
        <v>434250</v>
      </c>
      <c r="C1556" s="3">
        <v>590000</v>
      </c>
      <c r="D1556" s="72">
        <v>43463</v>
      </c>
      <c r="E1556" s="3" t="s">
        <v>846</v>
      </c>
    </row>
    <row r="1557" spans="1:7" x14ac:dyDescent="0.25">
      <c r="B1557" s="3">
        <f>SUM(B1555:B1556)</f>
        <v>1288110</v>
      </c>
      <c r="C1557" s="3">
        <f>SUM(C1555:C1556)</f>
        <v>1318000</v>
      </c>
      <c r="E1557" s="118">
        <f>C1557-B1557</f>
        <v>29890</v>
      </c>
      <c r="F1557" s="72">
        <v>43463</v>
      </c>
      <c r="G1557" s="72">
        <v>43463</v>
      </c>
    </row>
    <row r="1559" spans="1:7" x14ac:dyDescent="0.25">
      <c r="A1559" t="s">
        <v>1626</v>
      </c>
      <c r="B1559" s="3">
        <v>844500</v>
      </c>
      <c r="C1559" s="117">
        <v>1871.6</v>
      </c>
      <c r="D1559" s="72">
        <v>43461</v>
      </c>
      <c r="E1559" s="3" t="s">
        <v>842</v>
      </c>
    </row>
    <row r="1560" spans="1:7" x14ac:dyDescent="0.25">
      <c r="C1560" s="118">
        <v>29890</v>
      </c>
      <c r="D1560" s="72">
        <v>43463</v>
      </c>
      <c r="E1560" s="3" t="s">
        <v>842</v>
      </c>
    </row>
    <row r="1561" spans="1:7" x14ac:dyDescent="0.25">
      <c r="C1561" s="3">
        <v>41702</v>
      </c>
      <c r="D1561" s="72">
        <v>43464</v>
      </c>
      <c r="E1561" s="3" t="s">
        <v>1627</v>
      </c>
    </row>
    <row r="1562" spans="1:7" x14ac:dyDescent="0.25">
      <c r="C1562" s="3">
        <v>187563</v>
      </c>
      <c r="D1562" s="72">
        <v>43464</v>
      </c>
      <c r="E1562" s="3" t="s">
        <v>1628</v>
      </c>
    </row>
    <row r="1563" spans="1:7" x14ac:dyDescent="0.25">
      <c r="C1563" s="3">
        <v>10591</v>
      </c>
      <c r="D1563" s="72">
        <v>43461</v>
      </c>
      <c r="E1563" s="3" t="s">
        <v>1629</v>
      </c>
    </row>
    <row r="1564" spans="1:7" x14ac:dyDescent="0.25">
      <c r="C1564" s="3">
        <v>10747</v>
      </c>
      <c r="D1564" s="72">
        <v>43465</v>
      </c>
      <c r="E1564" s="3" t="s">
        <v>1630</v>
      </c>
    </row>
    <row r="1565" spans="1:7" x14ac:dyDescent="0.25">
      <c r="C1565" s="3">
        <v>21246</v>
      </c>
      <c r="D1565" s="72">
        <v>43465</v>
      </c>
      <c r="E1565" s="3" t="s">
        <v>1631</v>
      </c>
    </row>
    <row r="1566" spans="1:7" x14ac:dyDescent="0.25">
      <c r="C1566" s="3">
        <v>300000</v>
      </c>
      <c r="D1566" s="72">
        <v>43468</v>
      </c>
      <c r="E1566" s="3" t="s">
        <v>846</v>
      </c>
    </row>
    <row r="1567" spans="1:7" x14ac:dyDescent="0.25">
      <c r="C1567" s="3">
        <v>391000</v>
      </c>
      <c r="D1567" s="72">
        <v>43468</v>
      </c>
      <c r="E1567" s="3" t="s">
        <v>846</v>
      </c>
    </row>
    <row r="1568" spans="1:7" x14ac:dyDescent="0.25">
      <c r="B1568" s="3">
        <f>SUM(B1559:B1567)</f>
        <v>844500</v>
      </c>
      <c r="C1568" s="3">
        <f>SUM(C1559:C1567)</f>
        <v>994610.6</v>
      </c>
      <c r="E1568" s="54">
        <f>C1568-B1568</f>
        <v>150110.59999999998</v>
      </c>
      <c r="F1568" s="72">
        <v>43468</v>
      </c>
      <c r="G1568" s="72">
        <v>43469</v>
      </c>
    </row>
    <row r="1570" spans="1:7" x14ac:dyDescent="0.25">
      <c r="A1570" t="s">
        <v>1676</v>
      </c>
      <c r="B1570" s="3">
        <v>447527.5</v>
      </c>
      <c r="C1570" s="3">
        <v>333443</v>
      </c>
      <c r="D1570" s="72">
        <v>43472</v>
      </c>
      <c r="E1570" s="3" t="s">
        <v>846</v>
      </c>
    </row>
    <row r="1571" spans="1:7" x14ac:dyDescent="0.25">
      <c r="A1571" t="s">
        <v>1677</v>
      </c>
      <c r="B1571" s="3">
        <v>432000</v>
      </c>
      <c r="C1571" s="3">
        <v>306557</v>
      </c>
      <c r="D1571" s="72">
        <v>43472</v>
      </c>
      <c r="E1571" s="3" t="s">
        <v>846</v>
      </c>
    </row>
    <row r="1572" spans="1:7" x14ac:dyDescent="0.25">
      <c r="A1572" t="s">
        <v>1678</v>
      </c>
      <c r="B1572" s="3">
        <v>743138</v>
      </c>
      <c r="C1572" s="3">
        <v>360000</v>
      </c>
      <c r="D1572" s="72">
        <v>43472</v>
      </c>
      <c r="E1572" s="3" t="s">
        <v>846</v>
      </c>
    </row>
    <row r="1573" spans="1:7" x14ac:dyDescent="0.25">
      <c r="C1573" s="3">
        <v>396000</v>
      </c>
      <c r="D1573" s="72">
        <v>43472</v>
      </c>
      <c r="E1573" s="3" t="s">
        <v>846</v>
      </c>
    </row>
    <row r="1574" spans="1:7" x14ac:dyDescent="0.25">
      <c r="C1574" s="3">
        <v>25000</v>
      </c>
      <c r="D1574" s="72">
        <v>43472</v>
      </c>
      <c r="E1574" s="3" t="s">
        <v>846</v>
      </c>
    </row>
    <row r="1575" spans="1:7" x14ac:dyDescent="0.25">
      <c r="C1575" s="54">
        <v>150111.6</v>
      </c>
      <c r="D1575" s="72">
        <v>43468</v>
      </c>
      <c r="E1575" s="3" t="s">
        <v>842</v>
      </c>
    </row>
    <row r="1576" spans="1:7" x14ac:dyDescent="0.25">
      <c r="C1576" s="3">
        <v>24744</v>
      </c>
      <c r="D1576" s="72">
        <v>43470</v>
      </c>
      <c r="E1576" s="3" t="s">
        <v>1679</v>
      </c>
    </row>
    <row r="1577" spans="1:7" x14ac:dyDescent="0.25">
      <c r="C1577" s="3">
        <v>36643</v>
      </c>
      <c r="D1577" s="72">
        <v>43472</v>
      </c>
      <c r="E1577" s="3" t="s">
        <v>1680</v>
      </c>
    </row>
    <row r="1578" spans="1:7" x14ac:dyDescent="0.25">
      <c r="B1578" s="3">
        <f>SUM(B1570:B1574)</f>
        <v>1622665.5</v>
      </c>
      <c r="C1578" s="3">
        <f>SUM(C1570:C1577)</f>
        <v>1632498.6</v>
      </c>
      <c r="E1578" s="113">
        <f>C1578-B1578</f>
        <v>9833.1000000000931</v>
      </c>
      <c r="F1578" s="72">
        <v>43472</v>
      </c>
      <c r="G1578" s="72">
        <v>43108</v>
      </c>
    </row>
    <row r="1580" spans="1:7" x14ac:dyDescent="0.25">
      <c r="A1580" t="s">
        <v>1713</v>
      </c>
      <c r="B1580" s="3">
        <v>237116</v>
      </c>
      <c r="C1580" s="86">
        <v>1179957.5</v>
      </c>
      <c r="D1580" s="72">
        <v>43452</v>
      </c>
      <c r="E1580" s="3" t="s">
        <v>842</v>
      </c>
    </row>
    <row r="1581" spans="1:7" x14ac:dyDescent="0.25">
      <c r="A1581" t="s">
        <v>1714</v>
      </c>
      <c r="B1581" s="3">
        <v>418875</v>
      </c>
    </row>
    <row r="1582" spans="1:7" x14ac:dyDescent="0.25">
      <c r="A1582" t="s">
        <v>1715</v>
      </c>
      <c r="B1582" s="3">
        <v>227018</v>
      </c>
    </row>
    <row r="1583" spans="1:7" x14ac:dyDescent="0.25">
      <c r="A1583" t="s">
        <v>1716</v>
      </c>
      <c r="B1583" s="3">
        <v>215050</v>
      </c>
    </row>
    <row r="1584" spans="1:7" x14ac:dyDescent="0.25">
      <c r="B1584" s="3">
        <f>SUM(B1580:B1583)</f>
        <v>1098059</v>
      </c>
      <c r="C1584" s="3">
        <f>SUM(C1580:C1583)</f>
        <v>1179957.5</v>
      </c>
      <c r="E1584" s="132">
        <f>C1584-B1584</f>
        <v>81898.5</v>
      </c>
      <c r="F1584" s="72">
        <v>43475</v>
      </c>
      <c r="G1584" s="72">
        <v>43476</v>
      </c>
    </row>
    <row r="1586" spans="1:14" x14ac:dyDescent="0.25">
      <c r="A1586" t="s">
        <v>1832</v>
      </c>
      <c r="B1586" s="3">
        <v>369759</v>
      </c>
      <c r="C1586" s="3">
        <v>430220</v>
      </c>
      <c r="D1586" s="72">
        <v>43479</v>
      </c>
      <c r="E1586" s="3" t="s">
        <v>846</v>
      </c>
    </row>
    <row r="1587" spans="1:14" x14ac:dyDescent="0.25">
      <c r="A1587" t="s">
        <v>1833</v>
      </c>
      <c r="B1587" s="3">
        <v>413660</v>
      </c>
      <c r="C1587" s="3">
        <v>324326</v>
      </c>
      <c r="D1587" s="72">
        <v>43479</v>
      </c>
      <c r="E1587" s="3" t="s">
        <v>846</v>
      </c>
    </row>
    <row r="1588" spans="1:14" x14ac:dyDescent="0.25">
      <c r="C1588" s="3">
        <v>443346</v>
      </c>
      <c r="D1588" s="72">
        <v>43479</v>
      </c>
      <c r="E1588" s="3" t="s">
        <v>846</v>
      </c>
    </row>
    <row r="1589" spans="1:14" x14ac:dyDescent="0.25">
      <c r="C1589" s="3">
        <v>124108</v>
      </c>
      <c r="D1589" s="72">
        <v>43479</v>
      </c>
      <c r="E1589" s="3" t="s">
        <v>846</v>
      </c>
    </row>
    <row r="1590" spans="1:14" x14ac:dyDescent="0.25">
      <c r="C1590" s="132">
        <v>81898.5</v>
      </c>
      <c r="D1590" s="72">
        <v>43475</v>
      </c>
      <c r="E1590" s="3" t="s">
        <v>842</v>
      </c>
    </row>
    <row r="1591" spans="1:14" x14ac:dyDescent="0.25">
      <c r="C1591" s="113">
        <v>9833.1</v>
      </c>
      <c r="D1591" s="72">
        <v>43472</v>
      </c>
      <c r="E1591" s="3" t="s">
        <v>842</v>
      </c>
    </row>
    <row r="1592" spans="1:14" x14ac:dyDescent="0.25">
      <c r="C1592" s="3">
        <v>32342</v>
      </c>
      <c r="D1592" s="72">
        <v>43475</v>
      </c>
      <c r="E1592" s="3" t="s">
        <v>1834</v>
      </c>
    </row>
    <row r="1593" spans="1:14" x14ac:dyDescent="0.25">
      <c r="C1593" s="3">
        <v>8360</v>
      </c>
      <c r="D1593" s="72">
        <v>43473</v>
      </c>
      <c r="E1593" s="3" t="s">
        <v>1835</v>
      </c>
    </row>
    <row r="1594" spans="1:14" x14ac:dyDescent="0.25">
      <c r="B1594" s="3">
        <f>SUM(B1586:B1593)</f>
        <v>783419</v>
      </c>
      <c r="C1594" s="3">
        <f>SUM(C1586:C1593)</f>
        <v>1454433.6</v>
      </c>
      <c r="E1594" s="3">
        <f>C1594-B1594</f>
        <v>671014.60000000009</v>
      </c>
      <c r="F1594" s="72">
        <v>43479</v>
      </c>
      <c r="G1594" s="72">
        <v>43480</v>
      </c>
      <c r="H1594" s="48"/>
    </row>
    <row r="1596" spans="1:14" x14ac:dyDescent="0.25">
      <c r="A1596" t="s">
        <v>1847</v>
      </c>
      <c r="B1596" s="3">
        <v>41830.800000000003</v>
      </c>
      <c r="C1596" s="3">
        <v>354000</v>
      </c>
      <c r="D1596" s="72">
        <v>43480</v>
      </c>
      <c r="E1596" s="3" t="s">
        <v>846</v>
      </c>
    </row>
    <row r="1597" spans="1:14" x14ac:dyDescent="0.25">
      <c r="A1597" t="s">
        <v>1848</v>
      </c>
      <c r="B1597" s="3">
        <v>218670</v>
      </c>
    </row>
    <row r="1598" spans="1:14" x14ac:dyDescent="0.25">
      <c r="B1598" s="3">
        <f>SUM(B1596:B1597)</f>
        <v>260500.8</v>
      </c>
      <c r="C1598" s="3">
        <f>SUM(C1596:C1597)</f>
        <v>354000</v>
      </c>
      <c r="E1598" s="50">
        <f>C1598-B1598</f>
        <v>93499.200000000012</v>
      </c>
      <c r="F1598" s="72">
        <v>43480</v>
      </c>
      <c r="G1598" s="72">
        <v>43481</v>
      </c>
      <c r="L1598" s="3"/>
      <c r="M1598" s="72"/>
      <c r="N1598" s="72"/>
    </row>
    <row r="1600" spans="1:14" x14ac:dyDescent="0.25">
      <c r="A1600" t="s">
        <v>1855</v>
      </c>
      <c r="B1600" s="3">
        <v>217777</v>
      </c>
      <c r="C1600" s="3">
        <v>101000</v>
      </c>
      <c r="D1600" s="72">
        <v>43481</v>
      </c>
      <c r="E1600" s="3" t="s">
        <v>846</v>
      </c>
    </row>
    <row r="1601" spans="1:7" x14ac:dyDescent="0.25">
      <c r="C1601" s="3">
        <v>23956</v>
      </c>
      <c r="D1601" s="72">
        <v>43481</v>
      </c>
      <c r="E1601" s="3" t="s">
        <v>1856</v>
      </c>
    </row>
    <row r="1602" spans="1:7" x14ac:dyDescent="0.25">
      <c r="C1602" s="50">
        <v>93499.199999999997</v>
      </c>
      <c r="D1602" s="72">
        <v>43480</v>
      </c>
      <c r="E1602" s="3" t="s">
        <v>842</v>
      </c>
    </row>
    <row r="1603" spans="1:7" x14ac:dyDescent="0.25">
      <c r="B1603" s="3">
        <f>SUM(B1600:B1602)</f>
        <v>217777</v>
      </c>
      <c r="C1603" s="3">
        <f>SUM(C1600:C1602)</f>
        <v>218455.2</v>
      </c>
      <c r="E1603" s="83">
        <f>C1603-B1603</f>
        <v>678.20000000001164</v>
      </c>
      <c r="F1603" s="72">
        <v>43481</v>
      </c>
      <c r="G1603" s="72">
        <v>43482</v>
      </c>
    </row>
    <row r="1605" spans="1:7" x14ac:dyDescent="0.25">
      <c r="A1605" t="s">
        <v>1866</v>
      </c>
      <c r="B1605" s="3">
        <v>429885</v>
      </c>
      <c r="C1605" s="3">
        <v>373000</v>
      </c>
      <c r="D1605" s="72">
        <v>43482</v>
      </c>
      <c r="E1605" s="3" t="s">
        <v>846</v>
      </c>
    </row>
    <row r="1606" spans="1:7" x14ac:dyDescent="0.25">
      <c r="C1606" s="3">
        <v>9641</v>
      </c>
      <c r="D1606" s="72">
        <v>43480</v>
      </c>
      <c r="E1606" s="3" t="s">
        <v>1867</v>
      </c>
    </row>
    <row r="1607" spans="1:7" x14ac:dyDescent="0.25">
      <c r="C1607" s="3">
        <v>42673</v>
      </c>
      <c r="D1607" s="72">
        <v>43479</v>
      </c>
      <c r="E1607" s="3" t="s">
        <v>1868</v>
      </c>
    </row>
    <row r="1608" spans="1:7" x14ac:dyDescent="0.25">
      <c r="C1608" s="83">
        <v>678.2</v>
      </c>
      <c r="D1608" s="72">
        <v>43481</v>
      </c>
      <c r="E1608" s="3" t="s">
        <v>842</v>
      </c>
    </row>
    <row r="1609" spans="1:7" x14ac:dyDescent="0.25">
      <c r="C1609" s="3">
        <v>3893</v>
      </c>
      <c r="D1609" s="72">
        <v>43482</v>
      </c>
    </row>
    <row r="1610" spans="1:7" x14ac:dyDescent="0.25">
      <c r="B1610" s="3">
        <f>SUM(B1605:B1609)</f>
        <v>429885</v>
      </c>
      <c r="C1610" s="3">
        <f>SUM(C1605:C1609)</f>
        <v>429885.2</v>
      </c>
      <c r="E1610" s="3">
        <f>C1610-B1610</f>
        <v>0.20000000001164153</v>
      </c>
      <c r="F1610" s="72">
        <v>43482</v>
      </c>
      <c r="G1610" s="72">
        <v>43483</v>
      </c>
    </row>
    <row r="1612" spans="1:7" x14ac:dyDescent="0.25">
      <c r="A1612" t="s">
        <v>1970</v>
      </c>
      <c r="B1612" s="3">
        <v>440076</v>
      </c>
      <c r="C1612" s="3">
        <v>500000</v>
      </c>
      <c r="D1612" s="72">
        <v>43491</v>
      </c>
      <c r="E1612" s="3" t="s">
        <v>846</v>
      </c>
    </row>
    <row r="1613" spans="1:7" x14ac:dyDescent="0.25">
      <c r="A1613" t="s">
        <v>1971</v>
      </c>
      <c r="B1613" s="3">
        <v>423696</v>
      </c>
      <c r="C1613" s="3">
        <v>500000</v>
      </c>
      <c r="D1613" s="72">
        <v>43491</v>
      </c>
      <c r="E1613" s="3" t="s">
        <v>846</v>
      </c>
    </row>
    <row r="1614" spans="1:7" x14ac:dyDescent="0.25">
      <c r="A1614" t="s">
        <v>1972</v>
      </c>
      <c r="B1614" s="3">
        <v>404430</v>
      </c>
      <c r="C1614" s="3">
        <v>500000</v>
      </c>
      <c r="D1614" s="72">
        <v>43491</v>
      </c>
      <c r="E1614" s="3" t="s">
        <v>846</v>
      </c>
    </row>
    <row r="1615" spans="1:7" x14ac:dyDescent="0.25">
      <c r="A1615" t="s">
        <v>1973</v>
      </c>
      <c r="B1615" s="3">
        <v>364536</v>
      </c>
      <c r="C1615" s="3">
        <v>500000</v>
      </c>
      <c r="D1615" s="72">
        <v>43491</v>
      </c>
      <c r="E1615" s="3" t="s">
        <v>846</v>
      </c>
    </row>
    <row r="1616" spans="1:7" x14ac:dyDescent="0.25">
      <c r="A1616" t="s">
        <v>1974</v>
      </c>
      <c r="B1616" s="3">
        <v>243820</v>
      </c>
      <c r="C1616" s="3">
        <v>347000</v>
      </c>
      <c r="D1616" s="72">
        <v>43491</v>
      </c>
      <c r="E1616" s="3" t="s">
        <v>846</v>
      </c>
    </row>
    <row r="1617" spans="1:7" x14ac:dyDescent="0.25">
      <c r="A1617" t="s">
        <v>1975</v>
      </c>
      <c r="B1617" s="3">
        <v>402600</v>
      </c>
      <c r="C1617" s="3">
        <v>350000</v>
      </c>
      <c r="D1617" s="72">
        <v>43491</v>
      </c>
      <c r="E1617" s="3" t="s">
        <v>846</v>
      </c>
    </row>
    <row r="1618" spans="1:7" x14ac:dyDescent="0.25">
      <c r="A1618" t="s">
        <v>1976</v>
      </c>
      <c r="B1618" s="3">
        <v>60979</v>
      </c>
      <c r="C1618" s="3">
        <v>48000</v>
      </c>
      <c r="D1618" s="72">
        <v>43491</v>
      </c>
      <c r="E1618" s="3" t="s">
        <v>846</v>
      </c>
    </row>
    <row r="1619" spans="1:7" x14ac:dyDescent="0.25">
      <c r="A1619" t="s">
        <v>1977</v>
      </c>
      <c r="B1619" s="3">
        <v>220890</v>
      </c>
    </row>
    <row r="1620" spans="1:7" x14ac:dyDescent="0.25">
      <c r="B1620" s="3">
        <f>SUM(B1612:B1619)</f>
        <v>2561027</v>
      </c>
      <c r="C1620" s="3">
        <f>SUM(C1612:C1619)</f>
        <v>2745000</v>
      </c>
      <c r="E1620" s="51">
        <f>C1620-B1620</f>
        <v>183973</v>
      </c>
      <c r="F1620" s="72">
        <v>43491</v>
      </c>
      <c r="G1620" s="72">
        <v>43493</v>
      </c>
    </row>
    <row r="1622" spans="1:7" x14ac:dyDescent="0.25">
      <c r="A1622" t="s">
        <v>2049</v>
      </c>
      <c r="B1622" s="3">
        <v>427780</v>
      </c>
      <c r="C1622" s="3">
        <v>200000</v>
      </c>
      <c r="D1622" s="72">
        <v>43495</v>
      </c>
      <c r="E1622" s="3" t="s">
        <v>846</v>
      </c>
    </row>
    <row r="1623" spans="1:7" x14ac:dyDescent="0.25">
      <c r="A1623" t="s">
        <v>2050</v>
      </c>
      <c r="B1623" s="3">
        <v>213246</v>
      </c>
      <c r="C1623" s="3">
        <v>539000</v>
      </c>
      <c r="D1623" s="72">
        <v>43495</v>
      </c>
      <c r="E1623" s="3" t="s">
        <v>846</v>
      </c>
    </row>
    <row r="1624" spans="1:7" x14ac:dyDescent="0.25">
      <c r="B1624" s="3">
        <f>SUM(B1622:B1623)</f>
        <v>641026</v>
      </c>
      <c r="C1624" s="3">
        <f>SUM(C1622:C1623)</f>
        <v>739000</v>
      </c>
      <c r="E1624" s="83">
        <f>C1624-B1624</f>
        <v>97974</v>
      </c>
      <c r="F1624" s="72">
        <v>43496</v>
      </c>
      <c r="G1624" s="72">
        <v>43496</v>
      </c>
    </row>
    <row r="1626" spans="1:7" x14ac:dyDescent="0.25">
      <c r="A1626" t="s">
        <v>2102</v>
      </c>
      <c r="B1626" s="3">
        <v>31985.5</v>
      </c>
      <c r="C1626" s="83">
        <v>97974</v>
      </c>
      <c r="D1626" s="72">
        <v>43496</v>
      </c>
      <c r="E1626" s="3" t="s">
        <v>842</v>
      </c>
    </row>
    <row r="1627" spans="1:7" x14ac:dyDescent="0.25">
      <c r="A1627" t="s">
        <v>2103</v>
      </c>
      <c r="B1627" s="3">
        <v>459360</v>
      </c>
      <c r="C1627" s="51">
        <v>183973</v>
      </c>
      <c r="D1627" s="72">
        <v>43491</v>
      </c>
      <c r="E1627" s="3" t="s">
        <v>842</v>
      </c>
    </row>
    <row r="1628" spans="1:7" x14ac:dyDescent="0.25">
      <c r="C1628" s="3">
        <v>35277</v>
      </c>
      <c r="D1628" s="72">
        <v>43494</v>
      </c>
      <c r="E1628" s="3" t="s">
        <v>2104</v>
      </c>
    </row>
    <row r="1629" spans="1:7" x14ac:dyDescent="0.25">
      <c r="C1629" s="3">
        <v>265000</v>
      </c>
      <c r="D1629" s="72">
        <v>43496</v>
      </c>
      <c r="E1629" s="3" t="s">
        <v>2105</v>
      </c>
    </row>
    <row r="1630" spans="1:7" x14ac:dyDescent="0.25">
      <c r="B1630" s="3">
        <f>SUM(B1626:B1629)</f>
        <v>491345.5</v>
      </c>
      <c r="C1630" s="3">
        <f>SUM(C1626:C1629)</f>
        <v>582224</v>
      </c>
      <c r="E1630" s="99">
        <f>C1630-B1630</f>
        <v>90878.5</v>
      </c>
      <c r="F1630" s="72">
        <v>43497</v>
      </c>
      <c r="G1630" s="72">
        <v>43497</v>
      </c>
    </row>
    <row r="1632" spans="1:7" x14ac:dyDescent="0.25">
      <c r="A1632" t="s">
        <v>2199</v>
      </c>
      <c r="B1632" s="3">
        <v>522.6</v>
      </c>
      <c r="C1632" s="3">
        <v>550000</v>
      </c>
      <c r="D1632" s="72">
        <v>43501</v>
      </c>
      <c r="E1632" s="3" t="s">
        <v>846</v>
      </c>
    </row>
    <row r="1633" spans="1:7" x14ac:dyDescent="0.25">
      <c r="A1633" t="s">
        <v>2200</v>
      </c>
      <c r="B1633" s="3">
        <v>355632</v>
      </c>
      <c r="C1633" s="3">
        <v>500000</v>
      </c>
      <c r="D1633" s="72">
        <v>43501</v>
      </c>
      <c r="E1633" s="3" t="s">
        <v>846</v>
      </c>
    </row>
    <row r="1634" spans="1:7" x14ac:dyDescent="0.25">
      <c r="A1634" t="s">
        <v>2201</v>
      </c>
      <c r="B1634" s="3">
        <v>220067</v>
      </c>
      <c r="C1634" s="3">
        <v>500000</v>
      </c>
      <c r="D1634" s="72">
        <v>43501</v>
      </c>
      <c r="E1634" s="3" t="s">
        <v>846</v>
      </c>
    </row>
    <row r="1635" spans="1:7" x14ac:dyDescent="0.25">
      <c r="A1635" t="s">
        <v>2202</v>
      </c>
      <c r="B1635" s="3">
        <v>19241.2</v>
      </c>
      <c r="C1635" s="99">
        <v>90878.5</v>
      </c>
      <c r="D1635" s="72">
        <v>43497</v>
      </c>
      <c r="E1635" s="3" t="s">
        <v>842</v>
      </c>
    </row>
    <row r="1636" spans="1:7" x14ac:dyDescent="0.25">
      <c r="A1636" t="s">
        <v>2203</v>
      </c>
      <c r="B1636" s="3">
        <v>386631</v>
      </c>
    </row>
    <row r="1637" spans="1:7" x14ac:dyDescent="0.25">
      <c r="A1637" t="s">
        <v>2204</v>
      </c>
      <c r="B1637" s="3">
        <v>428287</v>
      </c>
    </row>
    <row r="1638" spans="1:7" x14ac:dyDescent="0.25">
      <c r="B1638" s="3">
        <f>SUM(B1632:B1637)</f>
        <v>1410380.7999999998</v>
      </c>
      <c r="C1638" s="3">
        <f>SUM(C1632:C1636)</f>
        <v>1640878.5</v>
      </c>
      <c r="E1638" s="86">
        <f>C1638-B1638</f>
        <v>230497.70000000019</v>
      </c>
      <c r="F1638" s="72">
        <v>43501</v>
      </c>
      <c r="G1638" s="72">
        <v>43501</v>
      </c>
    </row>
    <row r="1640" spans="1:7" x14ac:dyDescent="0.25">
      <c r="A1640" t="s">
        <v>2208</v>
      </c>
      <c r="B1640" s="3">
        <v>199963</v>
      </c>
      <c r="C1640" s="86">
        <v>230497.7</v>
      </c>
      <c r="D1640" s="72">
        <v>43501</v>
      </c>
      <c r="E1640" s="3" t="s">
        <v>842</v>
      </c>
    </row>
    <row r="1641" spans="1:7" x14ac:dyDescent="0.25">
      <c r="B1641" s="3">
        <f>SUM(B1640)</f>
        <v>199963</v>
      </c>
      <c r="C1641" s="3">
        <f>SUM(C1640)</f>
        <v>230497.7</v>
      </c>
      <c r="E1641" s="63">
        <f>C1641-B1641</f>
        <v>30534.700000000012</v>
      </c>
      <c r="F1641" s="72">
        <v>43501</v>
      </c>
      <c r="G1641" s="72">
        <v>43502</v>
      </c>
    </row>
    <row r="1643" spans="1:7" x14ac:dyDescent="0.25">
      <c r="A1643" t="s">
        <v>2214</v>
      </c>
      <c r="B1643" s="3">
        <v>413209</v>
      </c>
      <c r="C1643" s="3">
        <v>420000</v>
      </c>
      <c r="D1643" s="72">
        <v>43440</v>
      </c>
      <c r="E1643" s="3" t="s">
        <v>846</v>
      </c>
    </row>
    <row r="1644" spans="1:7" x14ac:dyDescent="0.25">
      <c r="B1644" s="3">
        <f>SUM(B1643)</f>
        <v>413209</v>
      </c>
      <c r="C1644" s="3">
        <f>SUM(C1643)</f>
        <v>420000</v>
      </c>
      <c r="E1644" s="96">
        <f>C1644-B1644</f>
        <v>6791</v>
      </c>
      <c r="F1644" s="72">
        <v>43502</v>
      </c>
      <c r="G1644" s="72">
        <v>43503</v>
      </c>
    </row>
    <row r="1646" spans="1:7" x14ac:dyDescent="0.25">
      <c r="A1646" t="s">
        <v>2283</v>
      </c>
      <c r="B1646" s="3">
        <v>230478</v>
      </c>
      <c r="C1646" s="3">
        <v>339000</v>
      </c>
      <c r="D1646" s="72">
        <v>43507</v>
      </c>
      <c r="E1646" s="3" t="s">
        <v>846</v>
      </c>
    </row>
    <row r="1647" spans="1:7" x14ac:dyDescent="0.25">
      <c r="A1647" t="s">
        <v>2284</v>
      </c>
      <c r="B1647" s="3">
        <v>408901</v>
      </c>
      <c r="C1647" s="3">
        <v>421000</v>
      </c>
      <c r="D1647" s="72">
        <v>43507</v>
      </c>
      <c r="E1647" s="3" t="s">
        <v>846</v>
      </c>
    </row>
    <row r="1648" spans="1:7" x14ac:dyDescent="0.25">
      <c r="A1648" t="s">
        <v>2285</v>
      </c>
      <c r="B1648" s="3">
        <v>234100.5</v>
      </c>
      <c r="C1648" s="3">
        <v>409000</v>
      </c>
      <c r="D1648" s="72">
        <v>43507</v>
      </c>
      <c r="E1648" s="3" t="s">
        <v>846</v>
      </c>
    </row>
    <row r="1649" spans="1:7" x14ac:dyDescent="0.25">
      <c r="A1649" t="s">
        <v>2286</v>
      </c>
      <c r="B1649" s="3">
        <v>22212</v>
      </c>
    </row>
    <row r="1650" spans="1:7" x14ac:dyDescent="0.25">
      <c r="B1650" s="3">
        <f>SUM(B1646:B1649)</f>
        <v>895691.5</v>
      </c>
      <c r="C1650" s="3">
        <f>SUM(C1646:C1649)</f>
        <v>1169000</v>
      </c>
      <c r="E1650" s="50">
        <f>C1650-B1650</f>
        <v>273308.5</v>
      </c>
      <c r="F1650" s="72">
        <v>43507</v>
      </c>
      <c r="G1650" s="72">
        <v>43508</v>
      </c>
    </row>
    <row r="1652" spans="1:7" x14ac:dyDescent="0.25">
      <c r="A1652" t="s">
        <v>2300</v>
      </c>
      <c r="B1652" s="3">
        <v>401793</v>
      </c>
      <c r="C1652" s="3">
        <v>290000</v>
      </c>
      <c r="D1652" s="72">
        <v>43508</v>
      </c>
      <c r="E1652" s="3" t="s">
        <v>846</v>
      </c>
    </row>
    <row r="1653" spans="1:7" x14ac:dyDescent="0.25">
      <c r="A1653" t="s">
        <v>2301</v>
      </c>
      <c r="B1653" s="3">
        <v>219349</v>
      </c>
      <c r="C1653" s="96">
        <v>6791</v>
      </c>
      <c r="D1653" s="72">
        <v>43502</v>
      </c>
      <c r="E1653" s="3" t="s">
        <v>842</v>
      </c>
    </row>
    <row r="1654" spans="1:7" x14ac:dyDescent="0.25">
      <c r="C1654" s="63">
        <v>30534.7</v>
      </c>
      <c r="D1654" s="72">
        <v>43501</v>
      </c>
      <c r="E1654" s="3" t="s">
        <v>842</v>
      </c>
    </row>
    <row r="1655" spans="1:7" x14ac:dyDescent="0.25">
      <c r="C1655" s="50">
        <v>273308.5</v>
      </c>
      <c r="D1655" s="72">
        <v>43507</v>
      </c>
      <c r="E1655" s="3" t="s">
        <v>842</v>
      </c>
    </row>
    <row r="1656" spans="1:7" x14ac:dyDescent="0.25">
      <c r="C1656" s="3">
        <v>5967</v>
      </c>
      <c r="D1656" s="72">
        <v>43504</v>
      </c>
      <c r="E1656" s="3" t="s">
        <v>2302</v>
      </c>
    </row>
    <row r="1657" spans="1:7" x14ac:dyDescent="0.25">
      <c r="C1657" s="3">
        <v>12477</v>
      </c>
      <c r="D1657" s="72">
        <v>43507</v>
      </c>
      <c r="E1657" s="3" t="s">
        <v>2303</v>
      </c>
    </row>
    <row r="1658" spans="1:7" x14ac:dyDescent="0.25">
      <c r="C1658" s="3">
        <v>2064</v>
      </c>
      <c r="D1658" s="72">
        <v>43508</v>
      </c>
      <c r="E1658" s="3" t="s">
        <v>849</v>
      </c>
    </row>
    <row r="1659" spans="1:7" x14ac:dyDescent="0.25">
      <c r="B1659" s="3">
        <f>SUM(B1652:B1658)</f>
        <v>621142</v>
      </c>
      <c r="C1659" s="3">
        <f>SUM(C1652:C1658)</f>
        <v>621142.19999999995</v>
      </c>
      <c r="E1659" s="3">
        <f>C1659-B1659</f>
        <v>0.19999999995343387</v>
      </c>
      <c r="F1659" s="72">
        <v>43508</v>
      </c>
      <c r="G1659" s="72">
        <v>43508</v>
      </c>
    </row>
    <row r="1661" spans="1:7" x14ac:dyDescent="0.25">
      <c r="A1661" t="s">
        <v>2316</v>
      </c>
      <c r="B1661" s="3">
        <v>455930</v>
      </c>
      <c r="C1661" s="3">
        <v>307000</v>
      </c>
      <c r="D1661" s="72">
        <v>43510</v>
      </c>
      <c r="E1661" s="3" t="s">
        <v>846</v>
      </c>
    </row>
    <row r="1662" spans="1:7" x14ac:dyDescent="0.25">
      <c r="C1662" s="3">
        <v>330000</v>
      </c>
      <c r="D1662" s="72">
        <v>43510</v>
      </c>
      <c r="E1662" s="3" t="s">
        <v>846</v>
      </c>
    </row>
    <row r="1663" spans="1:7" x14ac:dyDescent="0.25">
      <c r="B1663" s="3">
        <f>SUM(B1661)</f>
        <v>455930</v>
      </c>
      <c r="C1663" s="3">
        <f>SUM(C1661:C1662)</f>
        <v>637000</v>
      </c>
      <c r="D1663" s="72"/>
      <c r="E1663" s="92">
        <f>C1663-B1663</f>
        <v>181070</v>
      </c>
      <c r="F1663" s="72">
        <v>43510</v>
      </c>
      <c r="G1663" s="72">
        <v>43511</v>
      </c>
    </row>
    <row r="1665" spans="1:7" x14ac:dyDescent="0.25">
      <c r="A1665" t="s">
        <v>2370</v>
      </c>
      <c r="B1665" s="3">
        <v>24242.400000000001</v>
      </c>
      <c r="C1665" s="3">
        <v>524000</v>
      </c>
      <c r="D1665" s="72">
        <v>43512</v>
      </c>
      <c r="E1665" s="3" t="s">
        <v>846</v>
      </c>
    </row>
    <row r="1666" spans="1:7" x14ac:dyDescent="0.25">
      <c r="A1666" t="s">
        <v>2373</v>
      </c>
      <c r="B1666" s="3">
        <v>27367.200000000001</v>
      </c>
      <c r="C1666" s="92">
        <v>181070</v>
      </c>
      <c r="D1666" s="72">
        <v>43510</v>
      </c>
      <c r="E1666" s="3" t="s">
        <v>842</v>
      </c>
    </row>
    <row r="1667" spans="1:7" x14ac:dyDescent="0.25">
      <c r="A1667" t="s">
        <v>2371</v>
      </c>
      <c r="B1667" s="3">
        <v>243761</v>
      </c>
    </row>
    <row r="1668" spans="1:7" x14ac:dyDescent="0.25">
      <c r="A1668" t="s">
        <v>2372</v>
      </c>
      <c r="B1668" s="3">
        <v>396501</v>
      </c>
    </row>
    <row r="1669" spans="1:7" x14ac:dyDescent="0.25">
      <c r="B1669" s="3">
        <f>SUM(B1665:B1668)</f>
        <v>691871.6</v>
      </c>
      <c r="C1669" s="3">
        <f>SUM(C1665:C1668)</f>
        <v>705070</v>
      </c>
      <c r="E1669" s="110">
        <f>C1669-B1669</f>
        <v>13198.400000000023</v>
      </c>
      <c r="F1669" s="72">
        <v>43512</v>
      </c>
      <c r="G1669" s="72">
        <v>43514</v>
      </c>
    </row>
    <row r="1671" spans="1:7" x14ac:dyDescent="0.25">
      <c r="A1671" t="s">
        <v>2384</v>
      </c>
      <c r="B1671" s="3">
        <v>460238</v>
      </c>
      <c r="C1671" s="3">
        <v>512000</v>
      </c>
      <c r="D1671" s="72">
        <v>43514</v>
      </c>
      <c r="E1671" s="3" t="s">
        <v>846</v>
      </c>
    </row>
    <row r="1672" spans="1:7" x14ac:dyDescent="0.25">
      <c r="B1672" s="3">
        <f>SUM(B1671)</f>
        <v>460238</v>
      </c>
      <c r="C1672" s="3">
        <f>SUM(C1671)</f>
        <v>512000</v>
      </c>
      <c r="E1672" s="96">
        <f>C1672-B1672</f>
        <v>51762</v>
      </c>
      <c r="F1672" s="72">
        <v>43515</v>
      </c>
      <c r="G1672" s="72">
        <v>43515</v>
      </c>
    </row>
    <row r="1674" spans="1:7" x14ac:dyDescent="0.25">
      <c r="A1674" t="s">
        <v>2393</v>
      </c>
      <c r="B1674" s="3">
        <v>218520</v>
      </c>
      <c r="C1674" s="3">
        <v>359000</v>
      </c>
      <c r="D1674" s="72">
        <v>43515</v>
      </c>
      <c r="E1674" s="3" t="s">
        <v>846</v>
      </c>
    </row>
    <row r="1675" spans="1:7" x14ac:dyDescent="0.25">
      <c r="B1675" s="3">
        <f>SUM(B1674)</f>
        <v>218520</v>
      </c>
      <c r="C1675" s="3">
        <f>SUM(C1674)</f>
        <v>359000</v>
      </c>
      <c r="E1675" s="155">
        <f>C1675-B1675</f>
        <v>140480</v>
      </c>
      <c r="F1675" s="72">
        <v>43515</v>
      </c>
      <c r="G1675" s="72">
        <v>43516</v>
      </c>
    </row>
    <row r="1677" spans="1:7" x14ac:dyDescent="0.25">
      <c r="A1677" t="s">
        <v>2406</v>
      </c>
      <c r="B1677" s="3">
        <v>437152</v>
      </c>
      <c r="C1677" s="3">
        <v>848000</v>
      </c>
      <c r="D1677" s="72">
        <v>43518</v>
      </c>
    </row>
    <row r="1678" spans="1:7" x14ac:dyDescent="0.25">
      <c r="A1678" t="s">
        <v>2407</v>
      </c>
      <c r="B1678" s="3">
        <v>391294</v>
      </c>
    </row>
    <row r="1679" spans="1:7" x14ac:dyDescent="0.25">
      <c r="A1679" t="s">
        <v>2408</v>
      </c>
      <c r="B1679" s="3">
        <v>7742.4</v>
      </c>
    </row>
    <row r="1680" spans="1:7" x14ac:dyDescent="0.25">
      <c r="B1680" s="3">
        <f>SUM(B1677:B1679)</f>
        <v>836188.4</v>
      </c>
      <c r="C1680" s="3">
        <f>SUM(C1677:C1679)</f>
        <v>848000</v>
      </c>
      <c r="E1680" s="101">
        <f>C1680-B1680</f>
        <v>11811.599999999977</v>
      </c>
      <c r="F1680" s="72">
        <v>43518</v>
      </c>
      <c r="G1680" s="72">
        <v>43519</v>
      </c>
    </row>
    <row r="1682" spans="1:7" x14ac:dyDescent="0.25">
      <c r="A1682" t="s">
        <v>2425</v>
      </c>
      <c r="B1682" s="3">
        <v>483527.5</v>
      </c>
      <c r="C1682" s="3">
        <v>245000</v>
      </c>
      <c r="D1682" s="72">
        <v>43519</v>
      </c>
      <c r="E1682" s="3" t="s">
        <v>846</v>
      </c>
    </row>
    <row r="1683" spans="1:7" x14ac:dyDescent="0.25">
      <c r="C1683" s="110">
        <v>13198.4</v>
      </c>
      <c r="D1683" s="72">
        <v>43512</v>
      </c>
      <c r="E1683" s="3" t="s">
        <v>842</v>
      </c>
    </row>
    <row r="1684" spans="1:7" x14ac:dyDescent="0.25">
      <c r="C1684" s="101">
        <v>11811.6</v>
      </c>
      <c r="D1684" s="72">
        <v>43518</v>
      </c>
      <c r="E1684" s="3" t="s">
        <v>842</v>
      </c>
    </row>
    <row r="1685" spans="1:7" x14ac:dyDescent="0.25">
      <c r="C1685" s="155">
        <v>140480</v>
      </c>
      <c r="D1685" s="72">
        <v>43515</v>
      </c>
      <c r="E1685" s="3" t="s">
        <v>842</v>
      </c>
    </row>
    <row r="1686" spans="1:7" x14ac:dyDescent="0.25">
      <c r="C1686" s="96">
        <v>51762</v>
      </c>
      <c r="D1686" s="72">
        <v>43515</v>
      </c>
      <c r="E1686" s="3" t="s">
        <v>842</v>
      </c>
    </row>
    <row r="1687" spans="1:7" x14ac:dyDescent="0.25">
      <c r="C1687" s="3">
        <v>6486</v>
      </c>
      <c r="D1687" s="72">
        <v>43508</v>
      </c>
      <c r="E1687" s="3" t="s">
        <v>959</v>
      </c>
    </row>
    <row r="1688" spans="1:7" x14ac:dyDescent="0.25">
      <c r="C1688" s="3">
        <v>13464</v>
      </c>
      <c r="D1688" s="72">
        <v>43511</v>
      </c>
      <c r="E1688" s="3" t="s">
        <v>2426</v>
      </c>
    </row>
    <row r="1689" spans="1:7" x14ac:dyDescent="0.25">
      <c r="C1689" s="3">
        <v>1325</v>
      </c>
      <c r="D1689" s="72">
        <v>43519</v>
      </c>
      <c r="E1689" s="3" t="s">
        <v>849</v>
      </c>
    </row>
    <row r="1690" spans="1:7" x14ac:dyDescent="0.25">
      <c r="B1690" s="3">
        <f>SUM(B1682:B1689)</f>
        <v>483527.5</v>
      </c>
      <c r="C1690" s="3">
        <f>SUM(C1682:C1689)</f>
        <v>483527</v>
      </c>
      <c r="E1690" s="3">
        <f>C1690-B1690</f>
        <v>-0.5</v>
      </c>
      <c r="F1690" s="72">
        <v>43519</v>
      </c>
      <c r="G1690" s="72">
        <v>43521</v>
      </c>
    </row>
    <row r="1692" spans="1:7" x14ac:dyDescent="0.25">
      <c r="A1692" t="s">
        <v>2460</v>
      </c>
      <c r="B1692" s="3">
        <v>441056</v>
      </c>
      <c r="C1692" s="3">
        <v>560000</v>
      </c>
      <c r="D1692" s="72">
        <v>43521</v>
      </c>
      <c r="E1692" s="3" t="s">
        <v>846</v>
      </c>
    </row>
    <row r="1693" spans="1:7" x14ac:dyDescent="0.25">
      <c r="B1693" s="3">
        <f>SUM(B1692)</f>
        <v>441056</v>
      </c>
      <c r="C1693" s="3">
        <f>SUM(C1692)</f>
        <v>560000</v>
      </c>
      <c r="E1693" s="92">
        <f>C1693-B1693</f>
        <v>118944</v>
      </c>
      <c r="F1693" s="72">
        <v>43521</v>
      </c>
      <c r="G1693" s="72">
        <v>39869</v>
      </c>
    </row>
    <row r="1695" spans="1:7" x14ac:dyDescent="0.25">
      <c r="A1695" t="s">
        <v>2490</v>
      </c>
      <c r="B1695" s="3">
        <v>215759</v>
      </c>
      <c r="C1695" s="3">
        <v>122000</v>
      </c>
      <c r="D1695" s="72">
        <v>43524</v>
      </c>
      <c r="E1695" s="3" t="s">
        <v>846</v>
      </c>
    </row>
    <row r="1696" spans="1:7" x14ac:dyDescent="0.25">
      <c r="A1696" t="s">
        <v>2491</v>
      </c>
      <c r="B1696" s="3">
        <v>233416</v>
      </c>
      <c r="C1696" s="3">
        <v>600000</v>
      </c>
      <c r="D1696" s="72">
        <v>43524</v>
      </c>
      <c r="E1696" s="3" t="s">
        <v>846</v>
      </c>
    </row>
    <row r="1697" spans="1:7" x14ac:dyDescent="0.25">
      <c r="A1697" t="s">
        <v>2492</v>
      </c>
      <c r="B1697" s="3">
        <v>243043</v>
      </c>
    </row>
    <row r="1698" spans="1:7" x14ac:dyDescent="0.25">
      <c r="B1698" s="3">
        <f>SUM(B1695:B1697)</f>
        <v>692218</v>
      </c>
      <c r="C1698" s="3">
        <f>SUM(C1695:C1697)</f>
        <v>722000</v>
      </c>
      <c r="E1698" s="75">
        <f>C1698-B1698</f>
        <v>29782</v>
      </c>
      <c r="F1698" s="72">
        <v>43525</v>
      </c>
      <c r="G1698" s="72">
        <v>43525</v>
      </c>
    </row>
    <row r="1700" spans="1:7" x14ac:dyDescent="0.25">
      <c r="A1700" t="s">
        <v>2528</v>
      </c>
      <c r="B1700" s="3">
        <v>424697</v>
      </c>
      <c r="C1700" s="3">
        <v>380981</v>
      </c>
      <c r="D1700" s="72">
        <v>43526</v>
      </c>
      <c r="E1700" s="3" t="s">
        <v>846</v>
      </c>
    </row>
    <row r="1701" spans="1:7" x14ac:dyDescent="0.25">
      <c r="A1701" t="s">
        <v>2529</v>
      </c>
      <c r="B1701" s="3">
        <v>427086</v>
      </c>
      <c r="C1701" s="3">
        <v>320019</v>
      </c>
      <c r="D1701" s="72">
        <v>43526</v>
      </c>
      <c r="E1701" s="3" t="s">
        <v>846</v>
      </c>
    </row>
    <row r="1702" spans="1:7" x14ac:dyDescent="0.25">
      <c r="C1702" s="3">
        <v>3013</v>
      </c>
      <c r="D1702" s="72">
        <v>39870</v>
      </c>
      <c r="E1702" s="3" t="s">
        <v>2530</v>
      </c>
    </row>
    <row r="1703" spans="1:7" x14ac:dyDescent="0.25">
      <c r="C1703" s="92">
        <v>118944</v>
      </c>
      <c r="D1703" s="72">
        <v>43521</v>
      </c>
      <c r="E1703" s="3" t="s">
        <v>842</v>
      </c>
    </row>
    <row r="1704" spans="1:7" x14ac:dyDescent="0.25">
      <c r="C1704" s="3">
        <v>68723</v>
      </c>
      <c r="D1704" s="72">
        <v>43521</v>
      </c>
      <c r="E1704" s="3" t="s">
        <v>2531</v>
      </c>
    </row>
    <row r="1705" spans="1:7" x14ac:dyDescent="0.25">
      <c r="C1705" s="3">
        <v>9663</v>
      </c>
      <c r="D1705" s="72">
        <v>43520</v>
      </c>
      <c r="E1705" s="3" t="s">
        <v>2532</v>
      </c>
    </row>
    <row r="1706" spans="1:7" x14ac:dyDescent="0.25">
      <c r="C1706" s="3">
        <v>2385</v>
      </c>
      <c r="D1706" s="72">
        <v>43521</v>
      </c>
      <c r="E1706" s="3" t="s">
        <v>2533</v>
      </c>
    </row>
    <row r="1707" spans="1:7" x14ac:dyDescent="0.25">
      <c r="C1707" s="75">
        <v>29782</v>
      </c>
      <c r="D1707" s="72">
        <v>43525</v>
      </c>
      <c r="E1707" s="3" t="s">
        <v>842</v>
      </c>
    </row>
    <row r="1708" spans="1:7" x14ac:dyDescent="0.25">
      <c r="B1708" s="3">
        <f>SUM(B1700:B1707)</f>
        <v>851783</v>
      </c>
      <c r="C1708" s="3">
        <f>SUM(C1700:C1707)</f>
        <v>933510</v>
      </c>
      <c r="E1708" s="51">
        <f>C1708-B1708</f>
        <v>81727</v>
      </c>
      <c r="F1708" s="72">
        <v>43526</v>
      </c>
      <c r="G1708" s="72">
        <v>43526</v>
      </c>
    </row>
    <row r="1710" spans="1:7" x14ac:dyDescent="0.25">
      <c r="A1710" t="s">
        <v>2554</v>
      </c>
      <c r="B1710" s="3">
        <v>420926</v>
      </c>
      <c r="C1710" s="3">
        <v>551000</v>
      </c>
      <c r="D1710" s="72">
        <v>43528</v>
      </c>
      <c r="E1710" s="3" t="s">
        <v>846</v>
      </c>
    </row>
    <row r="1711" spans="1:7" x14ac:dyDescent="0.25">
      <c r="A1711" t="s">
        <v>2555</v>
      </c>
      <c r="B1711" s="3">
        <v>210439.5</v>
      </c>
      <c r="C1711" s="51">
        <v>81727</v>
      </c>
      <c r="D1711" s="72">
        <v>43526</v>
      </c>
      <c r="E1711" s="3" t="s">
        <v>842</v>
      </c>
    </row>
    <row r="1712" spans="1:7" x14ac:dyDescent="0.25">
      <c r="B1712" s="3">
        <f>SUM(B1710:B1711)</f>
        <v>631365.5</v>
      </c>
      <c r="C1712" s="3">
        <f>SUM(C1710:C1711)</f>
        <v>632727</v>
      </c>
      <c r="E1712" s="83">
        <f>C1712-B1712</f>
        <v>1361.5</v>
      </c>
      <c r="F1712" s="72">
        <v>43528</v>
      </c>
      <c r="G1712" s="72">
        <v>43529</v>
      </c>
    </row>
    <row r="1714" spans="1:7" x14ac:dyDescent="0.25">
      <c r="A1714" t="s">
        <v>2599</v>
      </c>
      <c r="B1714" s="3">
        <v>247736</v>
      </c>
      <c r="C1714" s="3">
        <v>234000</v>
      </c>
      <c r="D1714" s="72">
        <v>43530</v>
      </c>
      <c r="E1714" s="3" t="s">
        <v>846</v>
      </c>
    </row>
    <row r="1715" spans="1:7" x14ac:dyDescent="0.25">
      <c r="A1715" t="s">
        <v>2600</v>
      </c>
      <c r="B1715" s="3">
        <v>13730.2</v>
      </c>
      <c r="C1715" s="3">
        <v>2094</v>
      </c>
      <c r="D1715" s="72">
        <v>43529</v>
      </c>
      <c r="E1715" s="3" t="s">
        <v>2601</v>
      </c>
    </row>
    <row r="1716" spans="1:7" x14ac:dyDescent="0.25">
      <c r="C1716" s="3">
        <v>9596</v>
      </c>
      <c r="D1716" s="72">
        <v>43529</v>
      </c>
      <c r="E1716" s="3" t="s">
        <v>2602</v>
      </c>
    </row>
    <row r="1717" spans="1:7" x14ac:dyDescent="0.25">
      <c r="C1717" s="83">
        <v>1361.5</v>
      </c>
      <c r="D1717" s="72">
        <v>43528</v>
      </c>
      <c r="E1717" s="3" t="s">
        <v>842</v>
      </c>
    </row>
    <row r="1718" spans="1:7" x14ac:dyDescent="0.25">
      <c r="C1718" s="3">
        <v>14415</v>
      </c>
    </row>
    <row r="1719" spans="1:7" x14ac:dyDescent="0.25">
      <c r="B1719" s="3">
        <f>SUM(B1714:B1718)</f>
        <v>261466.2</v>
      </c>
      <c r="C1719" s="3">
        <f>SUM(C1714:C1718)</f>
        <v>261466.5</v>
      </c>
      <c r="E1719" s="3">
        <f>C1719-B1719</f>
        <v>0.29999999998835847</v>
      </c>
      <c r="F1719" s="72">
        <v>43530</v>
      </c>
      <c r="G1719" s="72">
        <v>43531</v>
      </c>
    </row>
    <row r="1721" spans="1:7" x14ac:dyDescent="0.25">
      <c r="A1721" t="s">
        <v>2629</v>
      </c>
      <c r="B1721" s="3">
        <v>214560</v>
      </c>
      <c r="C1721" s="3">
        <v>521000</v>
      </c>
      <c r="D1721" s="72">
        <v>43532</v>
      </c>
      <c r="E1721" s="3" t="s">
        <v>846</v>
      </c>
    </row>
    <row r="1722" spans="1:7" x14ac:dyDescent="0.25">
      <c r="A1722" t="s">
        <v>2630</v>
      </c>
      <c r="B1722" s="3">
        <v>231762</v>
      </c>
    </row>
    <row r="1723" spans="1:7" x14ac:dyDescent="0.25">
      <c r="B1723" s="3">
        <f>SUM(B1721:B1722)</f>
        <v>446322</v>
      </c>
      <c r="C1723" s="3">
        <f>SUM(C1721:C1722)</f>
        <v>521000</v>
      </c>
      <c r="E1723" s="86">
        <f>C1723-B1723</f>
        <v>74678</v>
      </c>
      <c r="F1723" s="72">
        <v>43532</v>
      </c>
      <c r="G1723" s="72">
        <v>43535</v>
      </c>
    </row>
    <row r="1725" spans="1:7" x14ac:dyDescent="0.25">
      <c r="A1725" t="s">
        <v>2678</v>
      </c>
      <c r="B1725" s="3">
        <v>455322</v>
      </c>
      <c r="C1725" s="3">
        <v>400000</v>
      </c>
      <c r="D1725" s="72">
        <v>43535</v>
      </c>
      <c r="E1725" s="3" t="s">
        <v>846</v>
      </c>
    </row>
    <row r="1726" spans="1:7" x14ac:dyDescent="0.25">
      <c r="A1726" t="s">
        <v>2679</v>
      </c>
      <c r="B1726" s="3">
        <v>235800</v>
      </c>
      <c r="C1726" s="3">
        <v>369000</v>
      </c>
      <c r="D1726" s="72">
        <v>43535</v>
      </c>
      <c r="E1726" s="3" t="s">
        <v>846</v>
      </c>
    </row>
    <row r="1727" spans="1:7" x14ac:dyDescent="0.25">
      <c r="A1727" t="s">
        <v>2680</v>
      </c>
      <c r="B1727" s="3">
        <v>17899.2</v>
      </c>
    </row>
    <row r="1728" spans="1:7" x14ac:dyDescent="0.25">
      <c r="B1728" s="3">
        <f>SUM(B1725:B1727)</f>
        <v>709021.2</v>
      </c>
      <c r="C1728" s="3">
        <f>SUM(C1725:C1727)</f>
        <v>769000</v>
      </c>
      <c r="E1728" s="63">
        <f>C1728-B1728</f>
        <v>59978.800000000047</v>
      </c>
      <c r="F1728" s="72">
        <v>43535</v>
      </c>
      <c r="G1728" s="72">
        <v>43535</v>
      </c>
    </row>
    <row r="1730" spans="1:7" x14ac:dyDescent="0.25">
      <c r="A1730" t="s">
        <v>2695</v>
      </c>
      <c r="B1730" s="3">
        <v>253467.5</v>
      </c>
      <c r="C1730" s="63">
        <v>59978.8</v>
      </c>
      <c r="D1730" s="72">
        <v>43535</v>
      </c>
      <c r="E1730" s="3" t="s">
        <v>842</v>
      </c>
    </row>
    <row r="1731" spans="1:7" x14ac:dyDescent="0.25">
      <c r="C1731" s="86">
        <v>74678</v>
      </c>
      <c r="D1731" s="72">
        <v>43532</v>
      </c>
      <c r="E1731" s="3" t="s">
        <v>842</v>
      </c>
    </row>
    <row r="1732" spans="1:7" x14ac:dyDescent="0.25">
      <c r="C1732" s="3">
        <v>7704</v>
      </c>
      <c r="D1732" s="72">
        <v>43530</v>
      </c>
      <c r="E1732" s="3" t="s">
        <v>2696</v>
      </c>
    </row>
    <row r="1733" spans="1:7" x14ac:dyDescent="0.25">
      <c r="C1733" s="3">
        <v>30219</v>
      </c>
      <c r="D1733" s="72">
        <v>43535</v>
      </c>
      <c r="E1733" s="3" t="s">
        <v>2697</v>
      </c>
    </row>
    <row r="1734" spans="1:7" x14ac:dyDescent="0.25">
      <c r="C1734" s="3">
        <v>65029</v>
      </c>
      <c r="D1734" s="72">
        <v>43535</v>
      </c>
      <c r="E1734" s="3" t="s">
        <v>2698</v>
      </c>
    </row>
    <row r="1735" spans="1:7" x14ac:dyDescent="0.25">
      <c r="C1735" s="3">
        <v>56778</v>
      </c>
      <c r="D1735" s="72">
        <v>43536</v>
      </c>
      <c r="E1735" s="3" t="s">
        <v>2699</v>
      </c>
    </row>
    <row r="1736" spans="1:7" x14ac:dyDescent="0.25">
      <c r="B1736" s="3">
        <f>SUM(B1730:B1735)</f>
        <v>253467.5</v>
      </c>
      <c r="C1736" s="3">
        <f>SUM(C1730:C1735)</f>
        <v>294386.8</v>
      </c>
      <c r="E1736" s="94">
        <f>C1736-B1736</f>
        <v>40919.299999999988</v>
      </c>
      <c r="F1736" s="72">
        <v>43536</v>
      </c>
      <c r="G1736" s="72">
        <v>43536</v>
      </c>
    </row>
    <row r="1737" spans="1:7" x14ac:dyDescent="0.25">
      <c r="D1737" s="62"/>
    </row>
    <row r="1738" spans="1:7" x14ac:dyDescent="0.25">
      <c r="A1738" t="s">
        <v>2705</v>
      </c>
      <c r="B1738" s="3">
        <v>221250</v>
      </c>
      <c r="C1738" s="3">
        <v>321000</v>
      </c>
      <c r="D1738" s="72">
        <v>43536</v>
      </c>
      <c r="E1738" s="3" t="s">
        <v>846</v>
      </c>
    </row>
    <row r="1739" spans="1:7" x14ac:dyDescent="0.25">
      <c r="A1739" t="s">
        <v>2706</v>
      </c>
      <c r="B1739" s="3">
        <v>403237</v>
      </c>
      <c r="C1739" s="3">
        <v>285000</v>
      </c>
      <c r="D1739" s="72">
        <v>43537</v>
      </c>
      <c r="E1739" s="3" t="s">
        <v>846</v>
      </c>
    </row>
    <row r="1740" spans="1:7" x14ac:dyDescent="0.25">
      <c r="C1740" s="94">
        <v>40919.300000000003</v>
      </c>
      <c r="D1740" s="72">
        <v>43536</v>
      </c>
      <c r="E1740" s="3" t="s">
        <v>842</v>
      </c>
    </row>
    <row r="1741" spans="1:7" x14ac:dyDescent="0.25">
      <c r="B1741" s="3">
        <f>SUM(B1738:B1740)</f>
        <v>624487</v>
      </c>
      <c r="C1741" s="3">
        <f>SUM(C1738:C1740)</f>
        <v>646919.30000000005</v>
      </c>
      <c r="E1741" s="50">
        <f>C1741-B1741</f>
        <v>22432.300000000047</v>
      </c>
      <c r="F1741" s="72">
        <v>43537</v>
      </c>
      <c r="G1741" s="72">
        <v>43538</v>
      </c>
    </row>
    <row r="1743" spans="1:7" x14ac:dyDescent="0.25">
      <c r="A1743" t="s">
        <v>2718</v>
      </c>
      <c r="B1743" s="3">
        <v>254172</v>
      </c>
      <c r="C1743" s="3">
        <v>290000</v>
      </c>
      <c r="D1743" s="72">
        <v>43538</v>
      </c>
      <c r="E1743" s="3" t="s">
        <v>963</v>
      </c>
    </row>
    <row r="1744" spans="1:7" x14ac:dyDescent="0.25">
      <c r="A1744" t="s">
        <v>2719</v>
      </c>
      <c r="B1744" s="3">
        <v>68114.16</v>
      </c>
      <c r="C1744" s="3">
        <v>3000</v>
      </c>
      <c r="D1744" s="72">
        <v>43537</v>
      </c>
      <c r="E1744" s="3" t="s">
        <v>2720</v>
      </c>
    </row>
    <row r="1745" spans="1:7" x14ac:dyDescent="0.25">
      <c r="C1745" s="50">
        <v>22432.3</v>
      </c>
      <c r="D1745" s="72">
        <v>43537</v>
      </c>
      <c r="E1745" s="3" t="s">
        <v>842</v>
      </c>
    </row>
    <row r="1746" spans="1:7" x14ac:dyDescent="0.25">
      <c r="C1746" s="3">
        <v>6854</v>
      </c>
      <c r="D1746" s="72">
        <v>43539</v>
      </c>
    </row>
    <row r="1747" spans="1:7" x14ac:dyDescent="0.25">
      <c r="B1747" s="3">
        <f>SUM(B1743:B1745)</f>
        <v>322286.16000000003</v>
      </c>
      <c r="C1747" s="3">
        <f>SUM(C1743:C1746)</f>
        <v>322286.3</v>
      </c>
      <c r="E1747" s="3">
        <f>C1747-B1747</f>
        <v>0.13999999995576218</v>
      </c>
      <c r="F1747" s="72">
        <v>43539</v>
      </c>
      <c r="G1747" s="72">
        <v>43540</v>
      </c>
    </row>
    <row r="1749" spans="1:7" x14ac:dyDescent="0.25">
      <c r="A1749" t="s">
        <v>2749</v>
      </c>
      <c r="B1749" s="3">
        <v>417480</v>
      </c>
      <c r="C1749" s="3">
        <v>581000</v>
      </c>
      <c r="D1749" s="72">
        <v>43540</v>
      </c>
      <c r="E1749" s="3" t="s">
        <v>846</v>
      </c>
    </row>
    <row r="1750" spans="1:7" x14ac:dyDescent="0.25">
      <c r="B1750" s="3">
        <f>SUM(B1749)</f>
        <v>417480</v>
      </c>
      <c r="C1750" s="3">
        <f>SUM(C1749)</f>
        <v>581000</v>
      </c>
      <c r="E1750" s="167">
        <f>C1750-B1750</f>
        <v>163520</v>
      </c>
      <c r="F1750" s="72">
        <v>43543</v>
      </c>
      <c r="G1750" s="72">
        <v>43543</v>
      </c>
    </row>
    <row r="1752" spans="1:7" x14ac:dyDescent="0.25">
      <c r="A1752" t="s">
        <v>2810</v>
      </c>
      <c r="B1752" s="3">
        <v>60450.9</v>
      </c>
      <c r="C1752" s="3">
        <v>362000</v>
      </c>
      <c r="D1752" s="72">
        <v>43545</v>
      </c>
      <c r="E1752" s="3" t="s">
        <v>846</v>
      </c>
    </row>
    <row r="1753" spans="1:7" x14ac:dyDescent="0.25">
      <c r="A1753" t="s">
        <v>2811</v>
      </c>
      <c r="B1753" s="3">
        <v>252048</v>
      </c>
      <c r="C1753" s="3">
        <v>300781</v>
      </c>
      <c r="D1753" s="72">
        <v>43545</v>
      </c>
      <c r="E1753" s="3" t="s">
        <v>846</v>
      </c>
    </row>
    <row r="1754" spans="1:7" x14ac:dyDescent="0.25">
      <c r="A1754" t="s">
        <v>2812</v>
      </c>
      <c r="B1754" s="3">
        <v>405055</v>
      </c>
      <c r="C1754" s="3">
        <v>326084</v>
      </c>
      <c r="D1754" s="72">
        <v>43545</v>
      </c>
      <c r="E1754" s="3" t="s">
        <v>846</v>
      </c>
    </row>
    <row r="1755" spans="1:7" x14ac:dyDescent="0.25">
      <c r="A1755" t="s">
        <v>2813</v>
      </c>
      <c r="B1755" s="3">
        <v>446748</v>
      </c>
      <c r="C1755" s="3">
        <v>333135</v>
      </c>
      <c r="D1755" s="72">
        <v>43545</v>
      </c>
      <c r="E1755" s="3" t="s">
        <v>846</v>
      </c>
    </row>
    <row r="1756" spans="1:7" x14ac:dyDescent="0.25">
      <c r="B1756" s="3">
        <f>SUM(B1752:B1755)</f>
        <v>1164301.8999999999</v>
      </c>
      <c r="C1756" s="3">
        <f>SUM(C1752:C1755)</f>
        <v>1322000</v>
      </c>
      <c r="E1756" s="96">
        <f>C1756-B1756</f>
        <v>157698.10000000009</v>
      </c>
      <c r="F1756" s="72">
        <v>43545</v>
      </c>
      <c r="G1756" s="72">
        <v>43546</v>
      </c>
    </row>
    <row r="1758" spans="1:7" x14ac:dyDescent="0.25">
      <c r="A1758" t="s">
        <v>2827</v>
      </c>
      <c r="B1758" s="3">
        <v>372208.5</v>
      </c>
      <c r="C1758" s="3">
        <v>235000</v>
      </c>
      <c r="D1758" s="72">
        <v>43546</v>
      </c>
      <c r="E1758" s="3" t="s">
        <v>846</v>
      </c>
    </row>
    <row r="1759" spans="1:7" x14ac:dyDescent="0.25">
      <c r="C1759" s="167">
        <v>163520</v>
      </c>
      <c r="D1759" s="72">
        <v>43543</v>
      </c>
      <c r="E1759" s="3" t="s">
        <v>842</v>
      </c>
    </row>
    <row r="1760" spans="1:7" x14ac:dyDescent="0.25">
      <c r="A1760" t="s">
        <v>2822</v>
      </c>
      <c r="B1760" s="3">
        <v>226560</v>
      </c>
      <c r="C1760" s="96">
        <v>157698</v>
      </c>
      <c r="D1760" s="72">
        <v>43545</v>
      </c>
      <c r="E1760" s="3" t="s">
        <v>842</v>
      </c>
    </row>
    <row r="1761" spans="1:14" x14ac:dyDescent="0.25">
      <c r="C1761" s="3">
        <v>834</v>
      </c>
      <c r="D1761" s="72">
        <v>43546</v>
      </c>
      <c r="E1761" s="3" t="s">
        <v>2823</v>
      </c>
    </row>
    <row r="1762" spans="1:14" x14ac:dyDescent="0.25">
      <c r="C1762" s="3">
        <v>8280</v>
      </c>
      <c r="D1762" s="72">
        <v>43546</v>
      </c>
      <c r="E1762" s="3" t="s">
        <v>2824</v>
      </c>
    </row>
    <row r="1763" spans="1:14" x14ac:dyDescent="0.25">
      <c r="C1763" s="3">
        <v>17512</v>
      </c>
      <c r="D1763" s="72">
        <v>43539</v>
      </c>
      <c r="E1763" s="3" t="s">
        <v>2825</v>
      </c>
    </row>
    <row r="1764" spans="1:14" x14ac:dyDescent="0.25">
      <c r="C1764" s="3">
        <v>23961</v>
      </c>
      <c r="D1764" s="72">
        <v>43543</v>
      </c>
      <c r="E1764" s="3" t="s">
        <v>2826</v>
      </c>
    </row>
    <row r="1765" spans="1:14" x14ac:dyDescent="0.25">
      <c r="B1765" s="3">
        <f>SUM(B1758:B1764)</f>
        <v>598768.5</v>
      </c>
      <c r="C1765" s="3">
        <f>SUM(C1758:C1764)</f>
        <v>606805</v>
      </c>
      <c r="D1765" s="72"/>
      <c r="E1765" s="3">
        <f>C1765-B1765</f>
        <v>8036.5</v>
      </c>
      <c r="F1765" s="72">
        <v>43546</v>
      </c>
      <c r="G1765" s="72">
        <v>43547</v>
      </c>
      <c r="H1765" s="48"/>
    </row>
    <row r="1766" spans="1:14" x14ac:dyDescent="0.25">
      <c r="D1766" s="72"/>
    </row>
    <row r="1767" spans="1:14" x14ac:dyDescent="0.25">
      <c r="A1767" t="s">
        <v>2848</v>
      </c>
      <c r="B1767" s="3">
        <v>223020</v>
      </c>
      <c r="C1767" s="3">
        <v>467000</v>
      </c>
      <c r="D1767" s="72">
        <v>43547</v>
      </c>
      <c r="E1767" s="3" t="s">
        <v>846</v>
      </c>
    </row>
    <row r="1768" spans="1:14" x14ac:dyDescent="0.25">
      <c r="A1768" t="s">
        <v>2849</v>
      </c>
      <c r="B1768" s="3">
        <v>230454</v>
      </c>
      <c r="D1768" s="72"/>
    </row>
    <row r="1769" spans="1:14" x14ac:dyDescent="0.25">
      <c r="B1769" s="3">
        <f>SUM(B1767:B1768)</f>
        <v>453474</v>
      </c>
      <c r="C1769" s="3">
        <f>SUM(C1767:C1768)</f>
        <v>467000</v>
      </c>
      <c r="D1769" s="72"/>
      <c r="E1769" s="111">
        <f>C1769-B1769</f>
        <v>13526</v>
      </c>
      <c r="F1769" s="72">
        <v>43547</v>
      </c>
      <c r="G1769" s="72">
        <v>43549</v>
      </c>
    </row>
    <row r="1770" spans="1:14" x14ac:dyDescent="0.25">
      <c r="F1770" s="72"/>
    </row>
    <row r="1771" spans="1:14" x14ac:dyDescent="0.25">
      <c r="A1771" t="s">
        <v>2854</v>
      </c>
      <c r="B1771" s="3">
        <v>479500</v>
      </c>
      <c r="C1771" s="3">
        <v>469000</v>
      </c>
      <c r="D1771" s="72">
        <v>43549</v>
      </c>
      <c r="E1771" s="3" t="s">
        <v>846</v>
      </c>
    </row>
    <row r="1772" spans="1:14" x14ac:dyDescent="0.25">
      <c r="C1772" s="111">
        <v>13526</v>
      </c>
      <c r="D1772" s="72">
        <v>43547</v>
      </c>
      <c r="E1772" s="3" t="s">
        <v>842</v>
      </c>
    </row>
    <row r="1773" spans="1:14" x14ac:dyDescent="0.25">
      <c r="B1773" s="3">
        <f>SUM(B1771)</f>
        <v>479500</v>
      </c>
      <c r="C1773" s="3">
        <f>SUM(C1771:C1772)</f>
        <v>482526</v>
      </c>
      <c r="E1773" s="3">
        <f>C1773-B1773</f>
        <v>3026</v>
      </c>
      <c r="F1773" s="72">
        <v>43529</v>
      </c>
      <c r="G1773" s="72">
        <v>43549</v>
      </c>
      <c r="H1773" s="48"/>
    </row>
    <row r="1774" spans="1:14" x14ac:dyDescent="0.25">
      <c r="J1774" t="s">
        <v>1613</v>
      </c>
      <c r="L1774" s="3">
        <v>13361.1</v>
      </c>
      <c r="M1774" s="72">
        <v>43276</v>
      </c>
      <c r="N1774" s="72">
        <v>43276</v>
      </c>
    </row>
    <row r="1775" spans="1:14" x14ac:dyDescent="0.25">
      <c r="A1775" t="s">
        <v>2950</v>
      </c>
      <c r="B1775" s="3">
        <v>232783</v>
      </c>
      <c r="C1775" s="3">
        <v>375000</v>
      </c>
      <c r="D1775" s="72">
        <v>43550</v>
      </c>
      <c r="E1775" s="3" t="s">
        <v>846</v>
      </c>
      <c r="L1775" s="3">
        <v>21404.400000000001</v>
      </c>
      <c r="M1775" s="72">
        <v>43278</v>
      </c>
      <c r="N1775" s="72">
        <v>43308</v>
      </c>
    </row>
    <row r="1776" spans="1:14" x14ac:dyDescent="0.25">
      <c r="B1776" s="3">
        <f>SUM(B1775)</f>
        <v>232783</v>
      </c>
      <c r="C1776" s="3">
        <f>SUM(C1775)</f>
        <v>375000</v>
      </c>
      <c r="E1776" s="3">
        <f>C1776-B1776</f>
        <v>142217</v>
      </c>
      <c r="F1776" s="72">
        <v>43551</v>
      </c>
      <c r="G1776" s="72">
        <v>43552</v>
      </c>
      <c r="H1776" s="48"/>
      <c r="L1776" s="3">
        <v>1014.2</v>
      </c>
      <c r="M1776" s="72">
        <v>43323</v>
      </c>
      <c r="N1776" s="72">
        <v>43323</v>
      </c>
    </row>
    <row r="1777" spans="1:14" x14ac:dyDescent="0.25">
      <c r="L1777" s="3">
        <v>5928</v>
      </c>
      <c r="M1777" s="72">
        <v>43325</v>
      </c>
      <c r="N1777" s="72">
        <v>43325</v>
      </c>
    </row>
    <row r="1778" spans="1:14" x14ac:dyDescent="0.25">
      <c r="A1778" t="s">
        <v>2952</v>
      </c>
      <c r="B1778" s="3">
        <v>213500</v>
      </c>
      <c r="C1778" s="3">
        <v>268000</v>
      </c>
      <c r="D1778" s="72">
        <v>43551</v>
      </c>
      <c r="E1778" s="3" t="s">
        <v>846</v>
      </c>
      <c r="L1778" s="3">
        <v>8048</v>
      </c>
      <c r="M1778" s="72">
        <v>43326</v>
      </c>
      <c r="N1778" s="72">
        <v>43326</v>
      </c>
    </row>
    <row r="1779" spans="1:14" x14ac:dyDescent="0.25">
      <c r="B1779" s="3">
        <f>SUM(B1778)</f>
        <v>213500</v>
      </c>
      <c r="C1779" s="3">
        <f>SUM(C1778)</f>
        <v>268000</v>
      </c>
      <c r="E1779" s="3">
        <f>C1779-B1779</f>
        <v>54500</v>
      </c>
      <c r="F1779" s="72">
        <v>43551</v>
      </c>
      <c r="G1779" s="72">
        <v>43552</v>
      </c>
      <c r="H1779" s="48"/>
      <c r="L1779" s="3">
        <v>1391</v>
      </c>
      <c r="M1779" s="72">
        <v>43330</v>
      </c>
      <c r="N1779" s="72">
        <v>43330</v>
      </c>
    </row>
    <row r="1780" spans="1:14" x14ac:dyDescent="0.25">
      <c r="L1780" s="3">
        <v>671014.6</v>
      </c>
      <c r="M1780" s="72">
        <v>43479</v>
      </c>
      <c r="N1780" s="72">
        <v>43480</v>
      </c>
    </row>
    <row r="1781" spans="1:14" x14ac:dyDescent="0.25">
      <c r="A1781" t="s">
        <v>2956</v>
      </c>
      <c r="B1781" s="3">
        <v>414400</v>
      </c>
      <c r="C1781" s="3">
        <v>344000</v>
      </c>
      <c r="D1781" s="72">
        <v>43552</v>
      </c>
      <c r="E1781" s="3" t="s">
        <v>846</v>
      </c>
    </row>
    <row r="1782" spans="1:14" x14ac:dyDescent="0.25">
      <c r="C1782" s="3">
        <v>54500</v>
      </c>
      <c r="D1782" s="72">
        <v>43551</v>
      </c>
      <c r="E1782" s="3" t="s">
        <v>842</v>
      </c>
    </row>
    <row r="1783" spans="1:14" x14ac:dyDescent="0.25">
      <c r="C1783" s="3">
        <v>3026</v>
      </c>
      <c r="D1783" s="72">
        <v>43549</v>
      </c>
      <c r="E1783" s="3" t="s">
        <v>842</v>
      </c>
    </row>
    <row r="1784" spans="1:14" x14ac:dyDescent="0.25">
      <c r="C1784" s="3">
        <v>8036.5</v>
      </c>
      <c r="D1784" s="72">
        <v>43546</v>
      </c>
      <c r="E1784" s="3" t="s">
        <v>842</v>
      </c>
    </row>
    <row r="1785" spans="1:14" x14ac:dyDescent="0.25">
      <c r="C1785" s="3">
        <v>2400</v>
      </c>
      <c r="D1785" s="72">
        <v>43548</v>
      </c>
      <c r="E1785" s="3" t="s">
        <v>2957</v>
      </c>
    </row>
    <row r="1786" spans="1:14" x14ac:dyDescent="0.25">
      <c r="C1786" s="3">
        <v>2400</v>
      </c>
      <c r="D1786" s="72">
        <v>43552</v>
      </c>
      <c r="E1786" s="3" t="s">
        <v>2958</v>
      </c>
    </row>
    <row r="1787" spans="1:14" x14ac:dyDescent="0.25">
      <c r="A1787" t="s">
        <v>2959</v>
      </c>
      <c r="B1787" s="3">
        <v>212800</v>
      </c>
      <c r="C1787" s="3">
        <v>142217</v>
      </c>
      <c r="D1787" s="72">
        <v>43551</v>
      </c>
      <c r="E1787" s="3" t="s">
        <v>842</v>
      </c>
    </row>
    <row r="1788" spans="1:14" x14ac:dyDescent="0.25">
      <c r="C1788" s="3">
        <v>21441</v>
      </c>
      <c r="D1788" s="72">
        <v>43551</v>
      </c>
      <c r="E1788" s="3" t="s">
        <v>2960</v>
      </c>
    </row>
    <row r="1789" spans="1:14" x14ac:dyDescent="0.25">
      <c r="C1789" s="3">
        <v>25347</v>
      </c>
      <c r="D1789" s="72">
        <v>43549</v>
      </c>
      <c r="E1789" s="3" t="s">
        <v>2961</v>
      </c>
    </row>
    <row r="1790" spans="1:14" x14ac:dyDescent="0.25">
      <c r="C1790" s="3">
        <v>17962</v>
      </c>
      <c r="D1790" s="72">
        <v>43551</v>
      </c>
      <c r="E1790" s="3" t="s">
        <v>2962</v>
      </c>
    </row>
    <row r="1791" spans="1:14" x14ac:dyDescent="0.25">
      <c r="C1791" s="3">
        <v>5870</v>
      </c>
      <c r="D1791" s="72">
        <v>43552</v>
      </c>
      <c r="E1791" s="3" t="s">
        <v>849</v>
      </c>
    </row>
    <row r="1792" spans="1:14" x14ac:dyDescent="0.25">
      <c r="B1792" s="3">
        <f>SUM(B1781:B1789)</f>
        <v>627200</v>
      </c>
      <c r="C1792" s="3">
        <f>SUM(C1781:C1791)</f>
        <v>627199.5</v>
      </c>
      <c r="E1792" s="3">
        <f>C1792-B1792</f>
        <v>-0.5</v>
      </c>
      <c r="F1792" s="72">
        <v>43552</v>
      </c>
      <c r="G1792" s="72">
        <v>43554</v>
      </c>
    </row>
    <row r="1793" spans="12:12" x14ac:dyDescent="0.25">
      <c r="L1793" s="6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AEDE-A07F-4101-ABD0-C7A2DB6889CA}">
  <dimension ref="A1"/>
  <sheetViews>
    <sheetView workbookViewId="0">
      <selection activeCell="H36" sqref="H3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56B-B74B-4F4C-8C75-74A322186F44}">
  <dimension ref="A2:AF91"/>
  <sheetViews>
    <sheetView topLeftCell="A49" zoomScale="80" zoomScaleNormal="80" workbookViewId="0">
      <selection activeCell="R87" sqref="R87"/>
    </sheetView>
  </sheetViews>
  <sheetFormatPr baseColWidth="10" defaultRowHeight="15" x14ac:dyDescent="0.25"/>
  <cols>
    <col min="1" max="1" width="4" customWidth="1"/>
    <col min="2" max="2" width="16.5703125" customWidth="1"/>
    <col min="3" max="3" width="13.5703125" customWidth="1"/>
    <col min="4" max="4" width="18.85546875" bestFit="1" customWidth="1"/>
    <col min="9" max="9" width="11.140625" customWidth="1"/>
    <col min="13" max="13" width="3.85546875" customWidth="1"/>
    <col min="14" max="14" width="9.42578125" customWidth="1"/>
    <col min="18" max="18" width="13" customWidth="1"/>
    <col min="22" max="22" width="6" customWidth="1"/>
    <col min="23" max="23" width="9.28515625" customWidth="1"/>
    <col min="24" max="24" width="0" hidden="1" customWidth="1"/>
    <col min="26" max="26" width="14.85546875" customWidth="1"/>
  </cols>
  <sheetData>
    <row r="2" spans="1:32" x14ac:dyDescent="0.25">
      <c r="A2" s="1" t="s">
        <v>1989</v>
      </c>
      <c r="S2" s="2"/>
      <c r="W2" s="2"/>
      <c r="Z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32" x14ac:dyDescent="0.25">
      <c r="A4" s="130"/>
      <c r="B4" s="27" t="s">
        <v>30</v>
      </c>
      <c r="C4" s="28" t="s">
        <v>31</v>
      </c>
      <c r="D4" s="28" t="s">
        <v>31</v>
      </c>
      <c r="E4" t="s">
        <v>32</v>
      </c>
      <c r="F4" s="29">
        <f>41199*0.4536</f>
        <v>18687.866399999999</v>
      </c>
      <c r="G4" s="30">
        <v>18672.72</v>
      </c>
      <c r="H4" s="30">
        <f>G4-F4</f>
        <v>-15.146399999997811</v>
      </c>
      <c r="I4" s="28" t="s">
        <v>1656</v>
      </c>
      <c r="J4" s="52" t="s">
        <v>196</v>
      </c>
      <c r="K4" s="31">
        <v>43496</v>
      </c>
      <c r="L4" s="31">
        <v>43497</v>
      </c>
      <c r="M4" s="28" t="s">
        <v>45</v>
      </c>
      <c r="N4" s="28" t="s">
        <v>1759</v>
      </c>
      <c r="O4" s="2"/>
      <c r="P4" s="32">
        <v>0.56140000000000001</v>
      </c>
      <c r="Q4" s="140">
        <v>26000</v>
      </c>
      <c r="R4" s="2">
        <v>89061</v>
      </c>
      <c r="S4" s="68">
        <v>19.190000000000001</v>
      </c>
      <c r="T4" s="141">
        <f>X4*F4*0.005</f>
        <v>2806.2378670820567</v>
      </c>
      <c r="V4" s="2">
        <v>0.12</v>
      </c>
      <c r="W4" s="2">
        <v>0.3</v>
      </c>
      <c r="X4" s="2">
        <f t="shared" ref="X4" si="0">IF(O4&gt;0,O4,((P4*2.2046*S4)+(Q4+R4)/G4)+V4)</f>
        <v>30.03272612310688</v>
      </c>
      <c r="Y4" s="2">
        <f t="shared" ref="Y4" si="1">IF(O4&gt;0,O4,((P4*2.2046*S4)+(Q4+R4+T4)/G4)+V4+W4)</f>
        <v>30.483011559137733</v>
      </c>
      <c r="Z4" s="3">
        <f t="shared" ref="Z4" si="2">Y4*F4</f>
        <v>569662.44748682156</v>
      </c>
      <c r="AA4" s="34">
        <v>43488</v>
      </c>
      <c r="AB4" s="3" t="s">
        <v>2068</v>
      </c>
      <c r="AC4" s="35"/>
    </row>
    <row r="5" spans="1:32" x14ac:dyDescent="0.25">
      <c r="A5" s="130"/>
      <c r="B5" s="27" t="s">
        <v>26</v>
      </c>
      <c r="C5" t="s">
        <v>27</v>
      </c>
      <c r="D5" s="28" t="s">
        <v>44</v>
      </c>
      <c r="E5">
        <v>235</v>
      </c>
      <c r="F5" s="29">
        <v>20719.099999999999</v>
      </c>
      <c r="G5" s="30">
        <v>20740</v>
      </c>
      <c r="H5" s="30">
        <f t="shared" ref="H5:H8" si="3">G5-F5</f>
        <v>20.900000000001455</v>
      </c>
      <c r="I5" t="s">
        <v>2215</v>
      </c>
      <c r="K5" s="31"/>
      <c r="L5" s="31">
        <v>43497</v>
      </c>
      <c r="M5" s="28" t="s">
        <v>45</v>
      </c>
      <c r="O5" s="2">
        <v>34.200000000000003</v>
      </c>
      <c r="P5" s="32"/>
      <c r="Q5" s="138">
        <v>21300</v>
      </c>
      <c r="R5" s="2"/>
      <c r="S5" s="33"/>
      <c r="T5" s="141">
        <f>X5*F5*0.0045</f>
        <v>3286.4918035925261</v>
      </c>
      <c r="U5" s="2">
        <f>E5*5</f>
        <v>1175</v>
      </c>
      <c r="W5" s="2">
        <v>0.3</v>
      </c>
      <c r="X5" s="2">
        <f>((O5*F5)+Q5+R5+S5+U5)/G5</f>
        <v>35.249190935390551</v>
      </c>
      <c r="Y5" s="2">
        <f>((O5*F5)+Q5+R5+S5+T5+U5)/G5+W5</f>
        <v>35.707652449546408</v>
      </c>
      <c r="Z5" s="3">
        <f>Y5*G5</f>
        <v>740576.71180359251</v>
      </c>
      <c r="AA5" s="34">
        <v>43503</v>
      </c>
      <c r="AB5" s="3"/>
      <c r="AC5" s="35"/>
    </row>
    <row r="6" spans="1:32" x14ac:dyDescent="0.25">
      <c r="A6" s="130"/>
      <c r="B6" s="27" t="s">
        <v>26</v>
      </c>
      <c r="C6" t="s">
        <v>27</v>
      </c>
      <c r="D6" s="28" t="s">
        <v>1829</v>
      </c>
      <c r="E6">
        <v>130</v>
      </c>
      <c r="F6" s="29">
        <v>13580</v>
      </c>
      <c r="G6" s="30">
        <v>10710</v>
      </c>
      <c r="H6" s="30">
        <f t="shared" si="3"/>
        <v>-2870</v>
      </c>
      <c r="I6" s="28" t="s">
        <v>2089</v>
      </c>
      <c r="K6" s="31"/>
      <c r="L6" s="31">
        <v>43497</v>
      </c>
      <c r="M6" s="28" t="s">
        <v>45</v>
      </c>
      <c r="O6" s="2">
        <v>26.5</v>
      </c>
      <c r="P6" s="32"/>
      <c r="Q6" s="140">
        <v>16900</v>
      </c>
      <c r="R6" s="2">
        <f>72*E6</f>
        <v>9360</v>
      </c>
      <c r="S6" s="153">
        <f>-38*E6</f>
        <v>-4940</v>
      </c>
      <c r="T6" s="141">
        <f>X6*F6*0.0045</f>
        <v>2175.0252941176468</v>
      </c>
      <c r="U6" s="2"/>
      <c r="W6" s="2">
        <v>0.3</v>
      </c>
      <c r="X6" s="2">
        <f>((O6*F6)+Q6+R6+S6+U6)/G6</f>
        <v>35.591970121381884</v>
      </c>
      <c r="Y6" s="2">
        <f>((O6*F6)+Q6+R6+S6+T6+U6)/G6+W6</f>
        <v>36.095053715603882</v>
      </c>
      <c r="Z6" s="3">
        <f>Y6*G6</f>
        <v>386578.02529411757</v>
      </c>
      <c r="AA6" s="34">
        <v>43510</v>
      </c>
      <c r="AB6" s="3"/>
      <c r="AC6" s="35" t="s">
        <v>2145</v>
      </c>
    </row>
    <row r="7" spans="1:32" x14ac:dyDescent="0.25">
      <c r="A7" s="130"/>
      <c r="B7" s="27" t="s">
        <v>2225</v>
      </c>
      <c r="C7" t="s">
        <v>2226</v>
      </c>
      <c r="D7" s="28" t="s">
        <v>1806</v>
      </c>
      <c r="E7" t="s">
        <v>2227</v>
      </c>
      <c r="F7" s="29">
        <v>217.92</v>
      </c>
      <c r="G7" s="30">
        <v>217.92</v>
      </c>
      <c r="H7" s="30">
        <f t="shared" si="3"/>
        <v>0</v>
      </c>
      <c r="I7" s="28" t="s">
        <v>2228</v>
      </c>
      <c r="K7" s="31"/>
      <c r="L7" s="31">
        <v>43498</v>
      </c>
      <c r="M7" s="28" t="s">
        <v>46</v>
      </c>
      <c r="O7" s="2">
        <v>26</v>
      </c>
      <c r="P7" s="32"/>
      <c r="Q7" s="2"/>
      <c r="R7" s="2"/>
      <c r="S7" s="33"/>
      <c r="T7" s="33"/>
      <c r="U7" s="2"/>
      <c r="W7" s="2"/>
      <c r="X7" s="2">
        <f>IF(O7&gt;0,O7,((P7*2.2046*S7)+(Q7+R7)/G7)+V7)</f>
        <v>26</v>
      </c>
      <c r="Y7" s="2">
        <f>IF(O7&gt;0,O7,((P7*2.2046*S7)+(Q7+R7+T7)/G7)+V7+W7)</f>
        <v>26</v>
      </c>
      <c r="Z7" s="3">
        <f>Y7*F7</f>
        <v>5665.92</v>
      </c>
      <c r="AA7" s="34">
        <v>43504</v>
      </c>
      <c r="AB7" s="3"/>
      <c r="AC7" s="35"/>
    </row>
    <row r="8" spans="1:32" x14ac:dyDescent="0.25">
      <c r="A8" s="130"/>
      <c r="B8" s="27" t="s">
        <v>30</v>
      </c>
      <c r="C8" t="s">
        <v>40</v>
      </c>
      <c r="D8" s="28" t="s">
        <v>40</v>
      </c>
      <c r="E8" t="s">
        <v>37</v>
      </c>
      <c r="F8" s="29">
        <f>42204*0.4536</f>
        <v>19143.734400000001</v>
      </c>
      <c r="G8" s="30">
        <v>19125.05</v>
      </c>
      <c r="H8" s="30">
        <f t="shared" si="3"/>
        <v>-18.684400000001915</v>
      </c>
      <c r="I8" s="28" t="s">
        <v>2002</v>
      </c>
      <c r="J8" s="52" t="s">
        <v>196</v>
      </c>
      <c r="K8" s="31">
        <v>43497</v>
      </c>
      <c r="L8" s="31">
        <v>43498</v>
      </c>
      <c r="M8" s="28" t="s">
        <v>46</v>
      </c>
      <c r="N8" s="28" t="s">
        <v>1760</v>
      </c>
      <c r="O8" s="2"/>
      <c r="P8" s="32">
        <f>0.4783+0.105</f>
        <v>0.58330000000000004</v>
      </c>
      <c r="Q8" s="140">
        <v>26000</v>
      </c>
      <c r="R8" s="2">
        <v>89640</v>
      </c>
      <c r="S8" s="68">
        <v>18.981000000000002</v>
      </c>
      <c r="T8" s="141">
        <f>X8*F8*0.005</f>
        <v>2926.5991276329009</v>
      </c>
      <c r="V8" s="2">
        <v>0.12</v>
      </c>
      <c r="W8" s="2">
        <v>0.3</v>
      </c>
      <c r="X8" s="2">
        <f>IF(O8&gt;0,O8,((P8*2.2046*S8)+(Q8+R8)/G8)+V8)</f>
        <v>30.575007639396635</v>
      </c>
      <c r="Y8" s="2">
        <f>IF(O8&gt;0,O8,((P8*2.2046*S8)+(Q8+R8+T8)/G8)+V8+W8)</f>
        <v>31.028032030320208</v>
      </c>
      <c r="Z8" s="3">
        <f>Y8*F8</f>
        <v>593992.40414314286</v>
      </c>
      <c r="AA8" s="34">
        <v>43493</v>
      </c>
      <c r="AB8" s="3"/>
      <c r="AC8" s="35"/>
    </row>
    <row r="9" spans="1:32" x14ac:dyDescent="0.25">
      <c r="A9" s="130"/>
      <c r="B9" s="27" t="s">
        <v>30</v>
      </c>
      <c r="C9" s="28" t="s">
        <v>1790</v>
      </c>
      <c r="D9" s="28" t="s">
        <v>1790</v>
      </c>
      <c r="E9" t="s">
        <v>32</v>
      </c>
      <c r="F9" s="29">
        <f>40983*0.4536</f>
        <v>18589.888800000001</v>
      </c>
      <c r="G9" s="30">
        <v>18479.93</v>
      </c>
      <c r="H9" s="30">
        <f>G9-F9</f>
        <v>-109.95880000000034</v>
      </c>
      <c r="I9" s="28" t="s">
        <v>2039</v>
      </c>
      <c r="J9" s="52" t="s">
        <v>196</v>
      </c>
      <c r="K9" s="31">
        <v>43497</v>
      </c>
      <c r="L9" s="31">
        <v>43498</v>
      </c>
      <c r="M9" s="28" t="s">
        <v>46</v>
      </c>
      <c r="N9" s="28" t="s">
        <v>2040</v>
      </c>
      <c r="O9" s="2"/>
      <c r="P9" s="137">
        <f>0.4684+0.095</f>
        <v>0.56340000000000001</v>
      </c>
      <c r="Q9" s="140">
        <v>26000</v>
      </c>
      <c r="R9" s="2">
        <v>94158</v>
      </c>
      <c r="S9" s="68">
        <v>19.065000000000001</v>
      </c>
      <c r="T9" s="141">
        <f>X9*F9*0.005</f>
        <v>2816.5704783694127</v>
      </c>
      <c r="V9" s="2">
        <v>0.12</v>
      </c>
      <c r="W9" s="2">
        <v>0.3</v>
      </c>
      <c r="X9" s="2">
        <f>IF(O9&gt;0,O9,((P9*2.2046*S9)+(Q9+R9)/G9)+V9)</f>
        <v>30.30217672275062</v>
      </c>
      <c r="Y9" s="2">
        <f>IF(O9&gt;0,O9,((P9*2.2046*S9)+(Q9+R9+T9)/G9)+V9+W9)</f>
        <v>30.754589122492906</v>
      </c>
      <c r="Z9" s="3">
        <f>Y9*F9</f>
        <v>571724.3918768327</v>
      </c>
      <c r="AA9" s="34">
        <v>43493</v>
      </c>
      <c r="AB9" s="137"/>
      <c r="AC9" s="35"/>
    </row>
    <row r="10" spans="1:32" ht="15.75" thickBot="1" x14ac:dyDescent="0.3">
      <c r="A10" s="131"/>
      <c r="B10" s="41"/>
      <c r="C10" s="4"/>
      <c r="D10" s="4"/>
      <c r="E10" s="4"/>
      <c r="F10" s="42"/>
      <c r="G10" s="42"/>
      <c r="H10" s="42"/>
      <c r="I10" s="7"/>
      <c r="J10" s="4"/>
      <c r="K10" s="8"/>
      <c r="L10" s="8"/>
      <c r="M10" s="4"/>
      <c r="N10" s="4"/>
      <c r="O10" s="9"/>
      <c r="P10" s="10"/>
      <c r="Q10" s="9"/>
      <c r="R10" s="9"/>
      <c r="S10" s="9"/>
      <c r="T10" s="9"/>
      <c r="U10" s="9"/>
      <c r="V10" s="9"/>
      <c r="W10" s="9"/>
      <c r="X10" s="9"/>
      <c r="Y10" s="9"/>
      <c r="Z10" s="13"/>
      <c r="AA10" s="43"/>
      <c r="AB10" s="3"/>
      <c r="AC10" s="35"/>
    </row>
    <row r="11" spans="1:32" ht="15.75" thickTop="1" x14ac:dyDescent="0.25">
      <c r="A11" s="143"/>
      <c r="B11" s="14" t="s">
        <v>26</v>
      </c>
      <c r="C11" s="14" t="s">
        <v>27</v>
      </c>
      <c r="D11" s="15" t="s">
        <v>1682</v>
      </c>
      <c r="E11" s="14">
        <v>196</v>
      </c>
      <c r="F11" s="16">
        <v>21950</v>
      </c>
      <c r="G11" s="17">
        <v>17940</v>
      </c>
      <c r="H11" s="18">
        <f t="shared" ref="H11:H13" si="4">G11-F11</f>
        <v>-4010</v>
      </c>
      <c r="I11" s="19" t="s">
        <v>2191</v>
      </c>
      <c r="J11" s="121">
        <v>200</v>
      </c>
      <c r="K11" s="20"/>
      <c r="L11" s="20">
        <v>43499</v>
      </c>
      <c r="M11" s="15" t="s">
        <v>28</v>
      </c>
      <c r="N11" s="14"/>
      <c r="O11" s="21">
        <v>26.5</v>
      </c>
      <c r="P11" s="22"/>
      <c r="Q11" s="139">
        <v>21300</v>
      </c>
      <c r="R11" s="2">
        <f>72*E11</f>
        <v>14112</v>
      </c>
      <c r="S11" s="21">
        <f>-38*E11</f>
        <v>-7448</v>
      </c>
      <c r="T11" s="157">
        <f>X11*F11*0.0045</f>
        <v>3361.9783570234108</v>
      </c>
      <c r="U11" s="21">
        <f>E11*5</f>
        <v>980</v>
      </c>
      <c r="V11" s="14"/>
      <c r="W11" s="21">
        <v>0.3</v>
      </c>
      <c r="X11" s="21">
        <f>((O11*F11)+Q11+R11+S11+U11)/G11</f>
        <v>34.036733556298771</v>
      </c>
      <c r="Y11" s="24">
        <f>((O11*F11)+Q11+R11+S11+T11+U11)/G11+W11</f>
        <v>34.524134802509664</v>
      </c>
      <c r="Z11" s="24">
        <f>Y11*G11</f>
        <v>619362.97835702333</v>
      </c>
      <c r="AA11" s="25">
        <v>43514</v>
      </c>
      <c r="AB11" s="3">
        <v>35.799999999999997</v>
      </c>
      <c r="AC11" s="3"/>
    </row>
    <row r="12" spans="1:32" x14ac:dyDescent="0.25">
      <c r="A12" s="144"/>
      <c r="B12" s="27" t="s">
        <v>26</v>
      </c>
      <c r="C12" t="s">
        <v>27</v>
      </c>
      <c r="D12" s="28" t="s">
        <v>1718</v>
      </c>
      <c r="E12">
        <v>129</v>
      </c>
      <c r="F12" s="29">
        <v>15200</v>
      </c>
      <c r="G12" s="30">
        <v>11510</v>
      </c>
      <c r="H12" s="30">
        <f t="shared" si="4"/>
        <v>-3690</v>
      </c>
      <c r="I12" s="28" t="s">
        <v>2192</v>
      </c>
      <c r="J12" s="55">
        <v>124</v>
      </c>
      <c r="K12" s="31"/>
      <c r="L12" s="31">
        <v>43499</v>
      </c>
      <c r="M12" s="28" t="s">
        <v>28</v>
      </c>
      <c r="O12" s="2">
        <v>26.5</v>
      </c>
      <c r="P12" s="32"/>
      <c r="Q12" s="140">
        <v>16900</v>
      </c>
      <c r="R12" s="2">
        <f>72*E12</f>
        <v>9288</v>
      </c>
      <c r="S12" s="33">
        <f>-38*E12</f>
        <v>-4902</v>
      </c>
      <c r="T12" s="141">
        <f>X12*F12*0.0045</f>
        <v>2524.0313119026932</v>
      </c>
      <c r="U12" s="2">
        <f>E12*5</f>
        <v>645</v>
      </c>
      <c r="W12" s="2">
        <v>0.3</v>
      </c>
      <c r="X12" s="2">
        <f>((O12*F12)+Q12+R12+S12+U12)/G12</f>
        <v>36.901042571676804</v>
      </c>
      <c r="Y12" s="2">
        <f>((O12*F12)+Q12+R12+S12+T12+U12)/G12+W12</f>
        <v>37.420332868106222</v>
      </c>
      <c r="Z12" s="3">
        <f>Y12*G12</f>
        <v>430708.03131190263</v>
      </c>
      <c r="AA12" s="34">
        <v>43514</v>
      </c>
      <c r="AB12" s="3"/>
      <c r="AC12" s="35" t="s">
        <v>2205</v>
      </c>
    </row>
    <row r="13" spans="1:32" x14ac:dyDescent="0.25">
      <c r="A13" s="144"/>
      <c r="B13" s="27" t="s">
        <v>26</v>
      </c>
      <c r="C13" t="s">
        <v>27</v>
      </c>
      <c r="D13" s="28" t="s">
        <v>2193</v>
      </c>
      <c r="E13">
        <f>220+30</f>
        <v>250</v>
      </c>
      <c r="F13" s="29">
        <f>22470+3550</f>
        <v>26020</v>
      </c>
      <c r="G13" s="30">
        <f>15080+5570</f>
        <v>20650</v>
      </c>
      <c r="H13" s="30">
        <f t="shared" si="4"/>
        <v>-5370</v>
      </c>
      <c r="I13" s="28" t="s">
        <v>2194</v>
      </c>
      <c r="J13" s="55">
        <v>249</v>
      </c>
      <c r="K13" s="31"/>
      <c r="L13" s="31">
        <v>43500</v>
      </c>
      <c r="M13" s="28" t="s">
        <v>29</v>
      </c>
      <c r="O13" s="2">
        <v>26.5</v>
      </c>
      <c r="P13" s="32"/>
      <c r="Q13" s="138">
        <v>21300</v>
      </c>
      <c r="R13" s="2">
        <f>72*E13</f>
        <v>18000</v>
      </c>
      <c r="S13" s="33">
        <f>-38*E13</f>
        <v>-9500</v>
      </c>
      <c r="T13" s="141">
        <f>X13*F13*0.0045</f>
        <v>4085.8456271186437</v>
      </c>
      <c r="U13" s="2">
        <f>E13*5</f>
        <v>1250</v>
      </c>
      <c r="W13" s="2">
        <v>0.3</v>
      </c>
      <c r="X13" s="2">
        <f>((O13*F13)+Q13+R13+S13+U13)/G13</f>
        <v>34.89491525423729</v>
      </c>
      <c r="Y13" s="2">
        <f>((O13*F13)+Q13+R13+S13+T13+U13)/G13+W13</f>
        <v>35.392777027947631</v>
      </c>
      <c r="Z13" s="3">
        <f>Y13*G13</f>
        <v>730860.8456271186</v>
      </c>
      <c r="AA13" s="34">
        <v>43514</v>
      </c>
      <c r="AB13" s="3"/>
      <c r="AC13" s="35" t="s">
        <v>2206</v>
      </c>
    </row>
    <row r="14" spans="1:32" x14ac:dyDescent="0.25">
      <c r="A14" s="144"/>
      <c r="B14" s="27" t="s">
        <v>26</v>
      </c>
      <c r="C14" t="s">
        <v>27</v>
      </c>
      <c r="D14" s="28" t="s">
        <v>1684</v>
      </c>
      <c r="E14">
        <v>249</v>
      </c>
      <c r="F14" s="29">
        <v>29325</v>
      </c>
      <c r="G14" s="30">
        <f>16870+6530</f>
        <v>23400</v>
      </c>
      <c r="H14" s="30">
        <f>G14-F14</f>
        <v>-5925</v>
      </c>
      <c r="I14" s="28" t="s">
        <v>2212</v>
      </c>
      <c r="K14" s="31"/>
      <c r="L14" s="31">
        <v>43501</v>
      </c>
      <c r="M14" s="28" t="s">
        <v>48</v>
      </c>
      <c r="O14" s="2">
        <v>26.5</v>
      </c>
      <c r="P14" s="32"/>
      <c r="Q14" s="138">
        <v>21300</v>
      </c>
      <c r="R14" s="2">
        <f>72*E14</f>
        <v>17928</v>
      </c>
      <c r="S14" s="33">
        <f>-38*E14</f>
        <v>-9462</v>
      </c>
      <c r="T14" s="141">
        <f>X14*F14*0.005</f>
        <v>5063.7225721153845</v>
      </c>
      <c r="U14" s="2">
        <f>E14*5</f>
        <v>1245</v>
      </c>
      <c r="W14" s="2">
        <v>0.3</v>
      </c>
      <c r="X14" s="2">
        <f>((O14*F14)+Q14+R14+S14+U14)/G14</f>
        <v>34.535192307692306</v>
      </c>
      <c r="Y14" s="2">
        <f>((O14*F14)+Q14+R14+S14+T14+U14)/G14+W14</f>
        <v>35.051590708210057</v>
      </c>
      <c r="Z14" s="3">
        <f>Y14*G14</f>
        <v>820207.22257211537</v>
      </c>
      <c r="AA14" s="34">
        <v>43515</v>
      </c>
      <c r="AB14" s="3"/>
      <c r="AC14" s="35" t="s">
        <v>2213</v>
      </c>
      <c r="AF14" s="30"/>
    </row>
    <row r="15" spans="1:32" x14ac:dyDescent="0.25">
      <c r="A15" s="144"/>
      <c r="B15" s="27" t="s">
        <v>1732</v>
      </c>
      <c r="C15" t="s">
        <v>1733</v>
      </c>
      <c r="D15" s="28" t="s">
        <v>1735</v>
      </c>
      <c r="E15" t="s">
        <v>2222</v>
      </c>
      <c r="F15" s="29">
        <v>3266.4</v>
      </c>
      <c r="G15" s="30">
        <v>3266.4</v>
      </c>
      <c r="H15" s="30">
        <f>G15-F15</f>
        <v>0</v>
      </c>
      <c r="I15" s="28" t="s">
        <v>2223</v>
      </c>
      <c r="K15" s="31"/>
      <c r="L15" s="31">
        <v>43137</v>
      </c>
      <c r="M15" s="28" t="s">
        <v>33</v>
      </c>
      <c r="O15" s="2">
        <v>65</v>
      </c>
      <c r="P15" s="32"/>
      <c r="Q15" s="2"/>
      <c r="R15" s="2"/>
      <c r="S15" s="33"/>
      <c r="T15" s="33"/>
      <c r="U15" s="2"/>
      <c r="W15" s="2"/>
      <c r="X15" s="2">
        <f>IF(O15&gt;0,O15,((P15*2.2046*S15)+(Q15+R15)/G15)+V15)</f>
        <v>65</v>
      </c>
      <c r="Y15" s="2">
        <f>IF(O15&gt;0,O15,((P15*2.2046*S15)+(Q15+R15+T15)/G15)+V15+W15)</f>
        <v>65</v>
      </c>
      <c r="Z15" s="3">
        <f>Y15*F15</f>
        <v>212316</v>
      </c>
      <c r="AA15" s="34">
        <v>43509</v>
      </c>
      <c r="AB15" s="3"/>
      <c r="AC15" s="35"/>
      <c r="AF15" s="30"/>
    </row>
    <row r="16" spans="1:32" x14ac:dyDescent="0.25">
      <c r="A16" s="144"/>
      <c r="B16" s="27" t="s">
        <v>30</v>
      </c>
      <c r="C16" s="28" t="s">
        <v>31</v>
      </c>
      <c r="D16" s="28" t="s">
        <v>31</v>
      </c>
      <c r="E16" t="s">
        <v>32</v>
      </c>
      <c r="F16" s="29">
        <f>40778*0.4536</f>
        <v>18496.900799999999</v>
      </c>
      <c r="G16" s="30">
        <v>18473.400000000001</v>
      </c>
      <c r="H16" s="30">
        <f t="shared" ref="H16:H17" si="5">G16-F16</f>
        <v>-23.50079999999798</v>
      </c>
      <c r="I16" s="28" t="s">
        <v>1657</v>
      </c>
      <c r="J16" s="52" t="s">
        <v>2207</v>
      </c>
      <c r="K16" s="31">
        <v>43501</v>
      </c>
      <c r="L16" s="31">
        <v>43503</v>
      </c>
      <c r="M16" s="28" t="s">
        <v>41</v>
      </c>
      <c r="N16" s="28" t="s">
        <v>2090</v>
      </c>
      <c r="O16" s="2"/>
      <c r="P16" s="32">
        <f t="shared" ref="P16:P17" si="6">0.4704+0.1</f>
        <v>0.57040000000000002</v>
      </c>
      <c r="Q16" s="140">
        <v>24400</v>
      </c>
      <c r="R16" s="2">
        <v>89840</v>
      </c>
      <c r="S16" s="68">
        <v>19.116</v>
      </c>
      <c r="T16" s="141">
        <f t="shared" ref="T16:T17" si="7">X16*F16*0.005</f>
        <v>2806.2083036449262</v>
      </c>
      <c r="V16" s="2">
        <v>0.12</v>
      </c>
      <c r="W16" s="2">
        <v>0.3</v>
      </c>
      <c r="X16" s="2">
        <f>IF(O16&gt;0,O16,((P16*2.2046*S16)+(Q16+R16)/G16)+V16)</f>
        <v>30.342470168244898</v>
      </c>
      <c r="Y16" s="2">
        <f>IF(O16&gt;0,O16,((P16*2.2046*S16)+(Q16+R16+T16)/G16)+V16+W16)</f>
        <v>30.79437551883791</v>
      </c>
      <c r="Z16" s="3">
        <f>Y16*F16</f>
        <v>569600.50916989334</v>
      </c>
      <c r="AA16" s="34">
        <v>43495</v>
      </c>
      <c r="AB16" s="3"/>
      <c r="AC16" s="35"/>
    </row>
    <row r="17" spans="1:29" x14ac:dyDescent="0.25">
      <c r="A17" s="144"/>
      <c r="B17" s="27" t="s">
        <v>30</v>
      </c>
      <c r="C17" s="28" t="s">
        <v>31</v>
      </c>
      <c r="D17" s="28" t="s">
        <v>31</v>
      </c>
      <c r="E17" t="s">
        <v>32</v>
      </c>
      <c r="F17" s="29">
        <f>40911*0.4536</f>
        <v>18557.229599999999</v>
      </c>
      <c r="G17" s="30">
        <v>18529.96</v>
      </c>
      <c r="H17" s="30">
        <f t="shared" si="5"/>
        <v>-27.269599999999627</v>
      </c>
      <c r="I17" s="28" t="s">
        <v>1658</v>
      </c>
      <c r="J17" s="52" t="s">
        <v>196</v>
      </c>
      <c r="K17" s="31">
        <v>43501</v>
      </c>
      <c r="L17" s="31">
        <v>43502</v>
      </c>
      <c r="M17" s="28" t="s">
        <v>33</v>
      </c>
      <c r="N17" s="28" t="s">
        <v>2090</v>
      </c>
      <c r="O17" s="2"/>
      <c r="P17" s="32">
        <f t="shared" si="6"/>
        <v>0.57040000000000002</v>
      </c>
      <c r="Q17" s="140">
        <v>26000</v>
      </c>
      <c r="R17" s="2">
        <v>89084</v>
      </c>
      <c r="S17" s="68">
        <v>19.116</v>
      </c>
      <c r="T17" s="141">
        <f t="shared" si="7"/>
        <v>2817.8357216242894</v>
      </c>
      <c r="V17" s="2">
        <v>0.12</v>
      </c>
      <c r="W17" s="2">
        <v>0.3</v>
      </c>
      <c r="X17" s="2">
        <f t="shared" ref="X17" si="8">IF(O17&gt;0,O17,((P17*2.2046*S17)+(Q17+R17)/G17)+V17)</f>
        <v>30.369142187304615</v>
      </c>
      <c r="Y17" s="2">
        <f t="shared" ref="Y17" si="9">IF(O17&gt;0,O17,((P17*2.2046*S17)+(Q17+R17+T17)/G17)+V17+W17)</f>
        <v>30.821211361853521</v>
      </c>
      <c r="Z17" s="3">
        <f t="shared" ref="Z17" si="10">Y17*F17</f>
        <v>571956.29579204449</v>
      </c>
      <c r="AA17" s="34">
        <v>43495</v>
      </c>
      <c r="AB17" s="3"/>
      <c r="AC17" s="35"/>
    </row>
    <row r="18" spans="1:29" x14ac:dyDescent="0.25">
      <c r="A18" s="144"/>
      <c r="B18" s="27" t="s">
        <v>30</v>
      </c>
      <c r="C18" s="28" t="s">
        <v>35</v>
      </c>
      <c r="D18" s="28" t="s">
        <v>36</v>
      </c>
      <c r="E18" t="s">
        <v>37</v>
      </c>
      <c r="F18" s="29">
        <f>41302*0.4536</f>
        <v>18734.587200000002</v>
      </c>
      <c r="G18" s="30">
        <v>18570.07</v>
      </c>
      <c r="H18" s="30">
        <f>G18-F18</f>
        <v>-164.51720000000205</v>
      </c>
      <c r="I18" t="s">
        <v>1969</v>
      </c>
      <c r="J18" s="52" t="s">
        <v>196</v>
      </c>
      <c r="K18" s="31">
        <v>43501</v>
      </c>
      <c r="L18" s="31">
        <v>43502</v>
      </c>
      <c r="M18" s="28" t="s">
        <v>33</v>
      </c>
      <c r="N18" s="28" t="s">
        <v>2090</v>
      </c>
      <c r="O18" s="2"/>
      <c r="P18" s="32">
        <f>0.4704+0.1</f>
        <v>0.57040000000000002</v>
      </c>
      <c r="Q18" s="140">
        <v>26000</v>
      </c>
      <c r="R18" s="2">
        <v>94145</v>
      </c>
      <c r="S18" s="68">
        <v>19.09</v>
      </c>
      <c r="T18" s="141">
        <f>X18*F18*0.005</f>
        <v>2865.976659881404</v>
      </c>
      <c r="V18" s="2">
        <v>0.12</v>
      </c>
      <c r="W18" s="2">
        <v>0.3</v>
      </c>
      <c r="X18" s="2">
        <f>IF(O18&gt;0,O18,((P18*2.2046*S18)+(Q18+R18)/G18)+V18)</f>
        <v>30.595567751622553</v>
      </c>
      <c r="Y18" s="2">
        <f>IF(O18&gt;0,O18,((P18*2.2046*S18)+(Q18+R18+T18)/G18)+V18+W18)</f>
        <v>31.049900861830615</v>
      </c>
      <c r="Z18" s="3">
        <f>Y18*F18</f>
        <v>581707.07524732081</v>
      </c>
      <c r="AA18" s="34">
        <v>43502</v>
      </c>
      <c r="AB18" s="3"/>
      <c r="AC18" s="35"/>
    </row>
    <row r="19" spans="1:29" x14ac:dyDescent="0.25">
      <c r="A19" s="144"/>
      <c r="B19" s="27" t="s">
        <v>30</v>
      </c>
      <c r="C19" s="28" t="s">
        <v>35</v>
      </c>
      <c r="D19" s="28" t="s">
        <v>36</v>
      </c>
      <c r="E19" t="s">
        <v>37</v>
      </c>
      <c r="F19" s="29">
        <f>41055*0.4536</f>
        <v>18622.547999999999</v>
      </c>
      <c r="G19" s="30">
        <v>18489.87</v>
      </c>
      <c r="H19" s="30">
        <f>G19-F19</f>
        <v>-132.67799999999988</v>
      </c>
      <c r="I19" t="s">
        <v>2108</v>
      </c>
      <c r="J19" s="52" t="s">
        <v>1690</v>
      </c>
      <c r="K19" s="31">
        <v>43501</v>
      </c>
      <c r="L19" s="31">
        <v>43502</v>
      </c>
      <c r="M19" s="28" t="s">
        <v>33</v>
      </c>
      <c r="N19" s="28" t="s">
        <v>2090</v>
      </c>
      <c r="O19" s="2"/>
      <c r="P19" s="32">
        <v>0.57040000000000002</v>
      </c>
      <c r="Q19" s="140">
        <v>26000</v>
      </c>
      <c r="R19" s="2">
        <v>92664</v>
      </c>
      <c r="S19" s="68">
        <v>19.122</v>
      </c>
      <c r="T19" s="141">
        <f>X19*F19*0.005</f>
        <v>2847.7388914043063</v>
      </c>
      <c r="V19" s="2">
        <v>0.12</v>
      </c>
      <c r="W19" s="2">
        <v>0.3</v>
      </c>
      <c r="X19" s="2">
        <f>IF(O19&gt;0,O19,((P19*2.2046*S19)+(Q19+R19)/G19)+V19)</f>
        <v>30.583772869365742</v>
      </c>
      <c r="Y19" s="2">
        <f>IF(O19&gt;0,O19,((P19*2.2046*S19)+(Q19+R19+T19)/G19)+V19+W19)</f>
        <v>31.03778903559105</v>
      </c>
      <c r="Z19" s="3">
        <f>Y19*F19</f>
        <v>578002.71612916805</v>
      </c>
      <c r="AA19" s="34">
        <v>43503</v>
      </c>
      <c r="AB19" s="3">
        <v>30.93</v>
      </c>
      <c r="AC19" s="35"/>
    </row>
    <row r="20" spans="1:29" x14ac:dyDescent="0.25">
      <c r="A20" s="144"/>
      <c r="B20" s="27" t="s">
        <v>26</v>
      </c>
      <c r="C20" t="s">
        <v>27</v>
      </c>
      <c r="D20" s="28" t="s">
        <v>2313</v>
      </c>
      <c r="E20">
        <f>220+30</f>
        <v>250</v>
      </c>
      <c r="F20" s="29">
        <f>25270+3395</f>
        <v>28665</v>
      </c>
      <c r="G20" s="30">
        <f>16180+6420</f>
        <v>22600</v>
      </c>
      <c r="H20" s="30">
        <f t="shared" ref="H20" si="11">G20-F20</f>
        <v>-6065</v>
      </c>
      <c r="I20" s="28" t="s">
        <v>2216</v>
      </c>
      <c r="K20" s="55">
        <v>249</v>
      </c>
      <c r="L20" s="31">
        <v>43502</v>
      </c>
      <c r="M20" s="28" t="s">
        <v>33</v>
      </c>
      <c r="O20" s="2">
        <v>26.5</v>
      </c>
      <c r="P20" s="32"/>
      <c r="Q20" s="138">
        <v>21300</v>
      </c>
      <c r="R20" s="2">
        <f>72*E20</f>
        <v>18000</v>
      </c>
      <c r="S20" s="33">
        <f>-38*E20</f>
        <v>-9500</v>
      </c>
      <c r="T20" s="141">
        <f t="shared" ref="T20" si="12">X20*F20*0.005</f>
        <v>5014.2980558628315</v>
      </c>
      <c r="U20" s="2">
        <f>E20*5</f>
        <v>1250</v>
      </c>
      <c r="W20" s="2">
        <v>0.3</v>
      </c>
      <c r="X20" s="2">
        <f t="shared" ref="X20" si="13">((O20*F20)+Q20+R20+S20+U20)/G20</f>
        <v>34.985508849557519</v>
      </c>
      <c r="Y20" s="2">
        <f>((O20*F20)+Q20+R20+S20+T20+U20)/G20+W20</f>
        <v>35.507380444949675</v>
      </c>
      <c r="Z20" s="3">
        <f>Y20*G20</f>
        <v>802466.79805586266</v>
      </c>
      <c r="AA20" s="34">
        <v>43515</v>
      </c>
      <c r="AB20" s="3"/>
      <c r="AC20" s="35" t="s">
        <v>2219</v>
      </c>
    </row>
    <row r="21" spans="1:29" x14ac:dyDescent="0.25">
      <c r="A21" s="144"/>
      <c r="B21" s="27" t="s">
        <v>30</v>
      </c>
      <c r="C21" s="28" t="s">
        <v>40</v>
      </c>
      <c r="D21" s="28" t="s">
        <v>40</v>
      </c>
      <c r="E21" t="s">
        <v>37</v>
      </c>
      <c r="F21" s="29">
        <f>42625*0.4536</f>
        <v>19334.7</v>
      </c>
      <c r="G21" s="30">
        <v>19214.72</v>
      </c>
      <c r="H21" s="30">
        <f>G21-F21</f>
        <v>-119.97999999999956</v>
      </c>
      <c r="I21" t="s">
        <v>2109</v>
      </c>
      <c r="J21" s="52" t="s">
        <v>196</v>
      </c>
      <c r="K21" s="31">
        <v>43502</v>
      </c>
      <c r="L21" s="31">
        <v>43503</v>
      </c>
      <c r="M21" s="28" t="s">
        <v>41</v>
      </c>
      <c r="N21" s="28" t="s">
        <v>2091</v>
      </c>
      <c r="O21" s="2"/>
      <c r="P21" s="32">
        <f>0.4627+0.105</f>
        <v>0.56769999999999998</v>
      </c>
      <c r="Q21" s="140">
        <v>26000</v>
      </c>
      <c r="R21" s="2">
        <v>93224</v>
      </c>
      <c r="S21" s="68">
        <v>19.038</v>
      </c>
      <c r="T21" s="141">
        <f>X21*F21*0.005</f>
        <v>2914.8860536589546</v>
      </c>
      <c r="V21" s="2">
        <v>0.12</v>
      </c>
      <c r="W21" s="2">
        <v>0.3</v>
      </c>
      <c r="X21" s="2">
        <f>IF(O21&gt;0,O21,((P21*2.2046*S21)+(Q21+R21)/G21)+V21)</f>
        <v>30.151862233796795</v>
      </c>
      <c r="Y21" s="2">
        <f>IF(O21&gt;0,O21,((P21*2.2046*S21)+(Q21+R21+T21)/G21)+V21+W21)</f>
        <v>30.60356291190498</v>
      </c>
      <c r="Z21" s="3">
        <f>Y21*F21</f>
        <v>591710.70783280919</v>
      </c>
      <c r="AA21" s="34">
        <v>43496</v>
      </c>
      <c r="AB21" s="3"/>
      <c r="AC21" s="35"/>
    </row>
    <row r="22" spans="1:29" x14ac:dyDescent="0.25">
      <c r="A22" s="144"/>
      <c r="B22" s="27" t="s">
        <v>26</v>
      </c>
      <c r="C22" t="s">
        <v>27</v>
      </c>
      <c r="D22" s="28" t="s">
        <v>1829</v>
      </c>
      <c r="E22">
        <v>251</v>
      </c>
      <c r="F22" s="29">
        <v>28115</v>
      </c>
      <c r="G22" s="30">
        <v>23620</v>
      </c>
      <c r="H22" s="30">
        <f t="shared" ref="H22:H25" si="14">G22-F22</f>
        <v>-4495</v>
      </c>
      <c r="I22" t="s">
        <v>2220</v>
      </c>
      <c r="J22" s="55">
        <v>250</v>
      </c>
      <c r="K22" s="31"/>
      <c r="L22" s="31">
        <v>43503</v>
      </c>
      <c r="M22" s="28" t="s">
        <v>41</v>
      </c>
      <c r="O22" s="2">
        <v>26.5</v>
      </c>
      <c r="P22" s="32"/>
      <c r="Q22" s="138">
        <v>21300</v>
      </c>
      <c r="R22" s="2">
        <f>72*E22</f>
        <v>18072</v>
      </c>
      <c r="S22" s="33">
        <f>-38*E22</f>
        <v>-9538</v>
      </c>
      <c r="T22" s="141">
        <f>X22*F22*0.0045</f>
        <v>4157.275598592294</v>
      </c>
      <c r="U22" s="2">
        <f>E22*5</f>
        <v>1255</v>
      </c>
      <c r="W22" s="2">
        <v>0.3</v>
      </c>
      <c r="X22" s="2">
        <f t="shared" ref="X22" si="15">((O22*F22)+Q22+R22+S22+U22)/G22</f>
        <v>32.859292972057581</v>
      </c>
      <c r="Y22" s="2">
        <f>((O22*F22)+Q22+R22+S22+T22+U22)/G22+W22</f>
        <v>33.335299559635573</v>
      </c>
      <c r="Z22" s="3">
        <f>Y22*G22</f>
        <v>787379.77559859224</v>
      </c>
      <c r="AA22" s="34">
        <v>43516</v>
      </c>
      <c r="AB22" s="3"/>
      <c r="AC22" s="35"/>
    </row>
    <row r="23" spans="1:29" x14ac:dyDescent="0.25">
      <c r="A23" s="144"/>
      <c r="B23" s="27" t="s">
        <v>26</v>
      </c>
      <c r="C23" t="s">
        <v>27</v>
      </c>
      <c r="D23" s="28" t="s">
        <v>1682</v>
      </c>
      <c r="E23">
        <v>130</v>
      </c>
      <c r="F23" s="29">
        <v>16430</v>
      </c>
      <c r="G23" s="30">
        <v>11390</v>
      </c>
      <c r="H23" s="30">
        <f t="shared" si="14"/>
        <v>-5040</v>
      </c>
      <c r="I23" t="s">
        <v>2221</v>
      </c>
      <c r="J23" s="55">
        <v>131</v>
      </c>
      <c r="K23" s="31"/>
      <c r="L23" s="31">
        <v>43503</v>
      </c>
      <c r="M23" s="28" t="s">
        <v>41</v>
      </c>
      <c r="O23" s="2">
        <v>26.5</v>
      </c>
      <c r="P23" s="32"/>
      <c r="Q23" s="140">
        <v>16900</v>
      </c>
      <c r="R23" s="2">
        <f>72*E23</f>
        <v>9360</v>
      </c>
      <c r="S23" s="33">
        <f>-38*E23</f>
        <v>-4940</v>
      </c>
      <c r="T23" s="141">
        <f>X23*F23*0.0045</f>
        <v>2968.857003950834</v>
      </c>
      <c r="U23" s="2">
        <f>E23*5</f>
        <v>650</v>
      </c>
      <c r="W23" s="2">
        <v>0.3</v>
      </c>
      <c r="X23" s="2">
        <f>((O23*F23)+Q23+R23+S23+U23)/G23</f>
        <v>40.154960491659352</v>
      </c>
      <c r="Y23" s="2">
        <f>((O23*F23)+Q23+R23+S23+T23+U23)/G23+W23</f>
        <v>40.715615189108938</v>
      </c>
      <c r="Z23" s="3">
        <f>Y23*G23</f>
        <v>463750.8570039508</v>
      </c>
      <c r="AA23" s="34">
        <v>43516</v>
      </c>
      <c r="AB23" s="3">
        <v>35.729999999999997</v>
      </c>
      <c r="AC23" s="35" t="s">
        <v>2245</v>
      </c>
    </row>
    <row r="24" spans="1:29" x14ac:dyDescent="0.25">
      <c r="A24" s="144"/>
      <c r="B24" s="27" t="s">
        <v>2225</v>
      </c>
      <c r="C24" t="s">
        <v>2006</v>
      </c>
      <c r="D24" s="28" t="s">
        <v>1806</v>
      </c>
      <c r="E24" t="s">
        <v>2311</v>
      </c>
      <c r="F24" s="29">
        <v>408.6</v>
      </c>
      <c r="G24" s="30">
        <v>408.6</v>
      </c>
      <c r="H24" s="30">
        <f t="shared" si="14"/>
        <v>0</v>
      </c>
      <c r="I24" t="s">
        <v>2312</v>
      </c>
      <c r="K24" s="31"/>
      <c r="L24" s="31">
        <v>43503</v>
      </c>
      <c r="M24" s="28" t="s">
        <v>41</v>
      </c>
      <c r="O24" s="2">
        <v>26</v>
      </c>
      <c r="P24" s="32"/>
      <c r="Q24" s="2"/>
      <c r="R24" s="2"/>
      <c r="S24" s="33"/>
      <c r="T24" s="33"/>
      <c r="U24" s="2"/>
      <c r="W24" s="2"/>
      <c r="X24" s="2">
        <f>IF(O24&gt;0,O24,((P24*2.2046*S24)+(Q24+R24)/G24)+V24)</f>
        <v>26</v>
      </c>
      <c r="Y24" s="2">
        <f>IF(O24&gt;0,O24,((P24*2.2046*S24)+(Q24+R24+T24)/G24)+V24+W24)</f>
        <v>26</v>
      </c>
      <c r="Z24" s="3">
        <f>Y24*F24</f>
        <v>10623.6</v>
      </c>
      <c r="AA24" s="34">
        <v>43510</v>
      </c>
      <c r="AB24" s="3"/>
      <c r="AC24" s="35"/>
    </row>
    <row r="25" spans="1:29" x14ac:dyDescent="0.25">
      <c r="A25" s="144"/>
      <c r="B25" s="27" t="s">
        <v>1909</v>
      </c>
      <c r="C25" t="s">
        <v>2006</v>
      </c>
      <c r="D25" s="28" t="s">
        <v>1806</v>
      </c>
      <c r="E25" t="s">
        <v>1815</v>
      </c>
      <c r="F25" s="29">
        <v>2619</v>
      </c>
      <c r="G25" s="30">
        <v>2619</v>
      </c>
      <c r="H25" s="30">
        <f t="shared" si="14"/>
        <v>0</v>
      </c>
      <c r="I25" t="s">
        <v>2354</v>
      </c>
      <c r="K25" s="31"/>
      <c r="L25" s="31">
        <v>43503</v>
      </c>
      <c r="M25" s="28" t="s">
        <v>41</v>
      </c>
      <c r="O25" s="2">
        <v>18.3</v>
      </c>
      <c r="P25" s="32"/>
      <c r="Q25" s="2"/>
      <c r="R25" s="2"/>
      <c r="S25" s="33"/>
      <c r="T25" s="33"/>
      <c r="U25" s="2"/>
      <c r="W25" s="2"/>
      <c r="X25" s="2">
        <f>IF(O25&gt;0,O25,((P25*2.2046*S25)+(Q25+R25)/G25)+V25)</f>
        <v>18.3</v>
      </c>
      <c r="Y25" s="2">
        <f>IF(O25&gt;0,O25,((P25*2.2046*S25)+(Q25+R25+T25)/G25)+V25+W25)</f>
        <v>18.3</v>
      </c>
      <c r="Z25" s="3">
        <f>Y25*F25</f>
        <v>47927.700000000004</v>
      </c>
      <c r="AA25" s="34">
        <v>43510</v>
      </c>
      <c r="AB25" s="3"/>
      <c r="AC25" s="35"/>
    </row>
    <row r="26" spans="1:29" x14ac:dyDescent="0.25">
      <c r="A26" s="144"/>
      <c r="B26" s="27" t="s">
        <v>30</v>
      </c>
      <c r="C26" s="28" t="s">
        <v>1790</v>
      </c>
      <c r="D26" s="28" t="s">
        <v>1790</v>
      </c>
      <c r="E26" t="s">
        <v>32</v>
      </c>
      <c r="F26" s="29">
        <f>42446*0.4536</f>
        <v>19253.5056</v>
      </c>
      <c r="G26" s="30">
        <v>19223.96</v>
      </c>
      <c r="H26" s="30">
        <f>G26-F26</f>
        <v>-29.545600000001286</v>
      </c>
      <c r="I26" s="28" t="s">
        <v>2110</v>
      </c>
      <c r="J26" s="52" t="s">
        <v>196</v>
      </c>
      <c r="K26" s="31">
        <v>43503</v>
      </c>
      <c r="L26" s="31">
        <v>43504</v>
      </c>
      <c r="M26" s="28" t="s">
        <v>45</v>
      </c>
      <c r="N26" s="28" t="s">
        <v>2092</v>
      </c>
      <c r="O26" s="2"/>
      <c r="P26" s="32">
        <f>0.4627+0.095</f>
        <v>0.55769999999999997</v>
      </c>
      <c r="Q26" s="140">
        <v>26000</v>
      </c>
      <c r="R26" s="2">
        <v>91147</v>
      </c>
      <c r="S26" s="68">
        <v>19.135000000000002</v>
      </c>
      <c r="T26" s="141">
        <f>X26*F26*0.005</f>
        <v>2863.0336253757919</v>
      </c>
      <c r="V26" s="2">
        <v>0.12</v>
      </c>
      <c r="W26" s="2">
        <v>0.3</v>
      </c>
      <c r="X26" s="2">
        <f>IF(O26&gt;0,O26,((P26*2.2046*S26)+(Q26+R26)/G26)+V26)</f>
        <v>29.740387905003566</v>
      </c>
      <c r="Y26" s="2">
        <f>IF(O26&gt;0,O26,((P26*2.2046*S26)+(Q26+R26+T26)/G26)+V26+W26)</f>
        <v>30.189318386828113</v>
      </c>
      <c r="Z26" s="3">
        <f>Y26*F26</f>
        <v>581250.21062097803</v>
      </c>
      <c r="AA26" s="34">
        <v>43504</v>
      </c>
      <c r="AB26" s="3"/>
      <c r="AC26" s="35"/>
    </row>
    <row r="27" spans="1:29" x14ac:dyDescent="0.25">
      <c r="A27" s="144"/>
      <c r="B27" s="27" t="s">
        <v>30</v>
      </c>
      <c r="C27" s="28" t="s">
        <v>35</v>
      </c>
      <c r="D27" s="28" t="s">
        <v>36</v>
      </c>
      <c r="E27" t="s">
        <v>37</v>
      </c>
      <c r="F27" s="29">
        <f>41711*0.4536</f>
        <v>18920.1096</v>
      </c>
      <c r="G27" s="30">
        <v>18731.27</v>
      </c>
      <c r="H27" s="30">
        <f>G27-F27</f>
        <v>-188.83959999999934</v>
      </c>
      <c r="I27" t="s">
        <v>2111</v>
      </c>
      <c r="J27" s="52" t="s">
        <v>196</v>
      </c>
      <c r="K27" s="31">
        <v>43503</v>
      </c>
      <c r="L27" s="31">
        <v>43504</v>
      </c>
      <c r="M27" s="28" t="s">
        <v>45</v>
      </c>
      <c r="N27" s="28" t="s">
        <v>2093</v>
      </c>
      <c r="O27" s="2"/>
      <c r="P27" s="32">
        <f>0.4627+0.1-0.0027</f>
        <v>0.55999999999999994</v>
      </c>
      <c r="Q27" s="140">
        <v>26000</v>
      </c>
      <c r="R27" s="2">
        <v>89169</v>
      </c>
      <c r="S27" s="68">
        <v>19.097999999999999</v>
      </c>
      <c r="T27" s="141">
        <f>X27*F27*0.005</f>
        <v>2823.4877866839738</v>
      </c>
      <c r="V27" s="2">
        <v>0.12</v>
      </c>
      <c r="W27" s="2">
        <v>0.3</v>
      </c>
      <c r="X27" s="2">
        <f>IF(O27&gt;0,O27,((P27*2.2046*S27)+(Q27+R27)/G27)+V27)</f>
        <v>29.846421044875701</v>
      </c>
      <c r="Y27" s="2">
        <f>IF(O27&gt;0,O27,((P27*2.2046*S27)+(Q27+R27+T27)/G27)+V27+W27)</f>
        <v>30.297157635970912</v>
      </c>
      <c r="Z27" s="3">
        <f>Y27*F27</f>
        <v>573225.54304104659</v>
      </c>
      <c r="AA27" s="34">
        <v>43507</v>
      </c>
      <c r="AB27" s="3">
        <v>30.8</v>
      </c>
      <c r="AC27" s="35"/>
    </row>
    <row r="28" spans="1:29" x14ac:dyDescent="0.25">
      <c r="A28" s="144"/>
      <c r="B28" s="27" t="s">
        <v>26</v>
      </c>
      <c r="C28" t="s">
        <v>27</v>
      </c>
      <c r="D28" s="28" t="s">
        <v>44</v>
      </c>
      <c r="E28">
        <v>250</v>
      </c>
      <c r="F28" s="29">
        <v>22080</v>
      </c>
      <c r="G28" s="30">
        <v>22090</v>
      </c>
      <c r="H28" s="30">
        <f t="shared" ref="H28:H31" si="16">G28-F28</f>
        <v>10</v>
      </c>
      <c r="I28" t="s">
        <v>2328</v>
      </c>
      <c r="K28" s="31"/>
      <c r="L28" s="31">
        <v>43504</v>
      </c>
      <c r="M28" s="28" t="s">
        <v>45</v>
      </c>
      <c r="O28" s="2">
        <v>34.200000000000003</v>
      </c>
      <c r="P28" s="32"/>
      <c r="Q28" s="138">
        <v>21300</v>
      </c>
      <c r="R28" s="2"/>
      <c r="S28" s="33"/>
      <c r="T28" s="141">
        <f>X28*F28*0.0045</f>
        <v>3498.0027596197374</v>
      </c>
      <c r="U28" s="2">
        <f>E28*5</f>
        <v>1250</v>
      </c>
      <c r="W28" s="2">
        <v>0.3</v>
      </c>
      <c r="X28" s="2">
        <f>((O28*F28)+Q28+R28+S28+U28)/G28</f>
        <v>35.205341783612496</v>
      </c>
      <c r="Y28" s="2">
        <f>((O28*F28)+Q28+R28+S28+T28+U28)/G28+W28</f>
        <v>35.663694104102298</v>
      </c>
      <c r="Z28" s="3">
        <f>Y28*G28</f>
        <v>787811.00275961973</v>
      </c>
      <c r="AA28" s="34">
        <v>43509</v>
      </c>
      <c r="AB28" s="3"/>
      <c r="AC28" s="35"/>
    </row>
    <row r="29" spans="1:29" x14ac:dyDescent="0.25">
      <c r="A29" s="144"/>
      <c r="B29" s="27" t="s">
        <v>26</v>
      </c>
      <c r="C29" t="s">
        <v>27</v>
      </c>
      <c r="D29" s="28" t="s">
        <v>1829</v>
      </c>
      <c r="E29">
        <v>129</v>
      </c>
      <c r="F29" s="29">
        <v>14195</v>
      </c>
      <c r="G29" s="30">
        <v>11130</v>
      </c>
      <c r="H29" s="30">
        <f t="shared" si="16"/>
        <v>-3065</v>
      </c>
      <c r="I29" s="28" t="s">
        <v>2231</v>
      </c>
      <c r="J29" s="55">
        <v>128</v>
      </c>
      <c r="K29" s="31"/>
      <c r="L29" s="31">
        <v>43504</v>
      </c>
      <c r="M29" s="28" t="s">
        <v>45</v>
      </c>
      <c r="O29" s="2">
        <v>26.5</v>
      </c>
      <c r="P29" s="32"/>
      <c r="Q29" s="140">
        <v>16900</v>
      </c>
      <c r="R29" s="2">
        <f>72*E29</f>
        <v>9288</v>
      </c>
      <c r="S29" s="33">
        <f>-38*E29</f>
        <v>-4902</v>
      </c>
      <c r="T29" s="141">
        <f>X29*F29*0.0045</f>
        <v>2284.7742078840965</v>
      </c>
      <c r="U29" s="2">
        <f>E29*5</f>
        <v>645</v>
      </c>
      <c r="W29" s="2">
        <v>0.3</v>
      </c>
      <c r="X29" s="2">
        <f>((O29*F29)+Q29+R29+S29+U29)/G29</f>
        <v>35.768059299191371</v>
      </c>
      <c r="Y29" s="2">
        <f>((O29*F29)+Q29+R29+S29+T29+U29)/G29+W29</f>
        <v>36.273340000708359</v>
      </c>
      <c r="Z29" s="3">
        <f>Y29*G29</f>
        <v>403722.27420788404</v>
      </c>
      <c r="AA29" s="34">
        <v>43517</v>
      </c>
      <c r="AB29" s="3"/>
      <c r="AC29" s="35" t="s">
        <v>2252</v>
      </c>
    </row>
    <row r="30" spans="1:29" x14ac:dyDescent="0.25">
      <c r="A30" s="144"/>
      <c r="B30" s="27" t="s">
        <v>1909</v>
      </c>
      <c r="C30" t="s">
        <v>2006</v>
      </c>
      <c r="D30" s="28" t="s">
        <v>1806</v>
      </c>
      <c r="E30" t="s">
        <v>2007</v>
      </c>
      <c r="F30" s="29">
        <f>840+884</f>
        <v>1724</v>
      </c>
      <c r="G30" s="30">
        <v>1724</v>
      </c>
      <c r="H30" s="30">
        <f t="shared" si="16"/>
        <v>0</v>
      </c>
      <c r="I30" t="s">
        <v>2356</v>
      </c>
      <c r="K30" s="31"/>
      <c r="L30" s="31">
        <v>43505</v>
      </c>
      <c r="M30" s="28" t="s">
        <v>46</v>
      </c>
      <c r="O30" s="2">
        <v>18.3</v>
      </c>
      <c r="P30" s="32"/>
      <c r="Q30" s="2"/>
      <c r="R30" s="2"/>
      <c r="S30" s="33"/>
      <c r="T30" s="33"/>
      <c r="U30" s="2"/>
      <c r="W30" s="2"/>
      <c r="X30" s="2">
        <f>IF(O30&gt;0,O30,((P30*2.2046*S30)+(Q30+R30)/G30)+V30)</f>
        <v>18.3</v>
      </c>
      <c r="Y30" s="2">
        <f>IF(O30&gt;0,O30,((P30*2.2046*S30)+(Q30+R30+T30)/G30)+V30+W30)</f>
        <v>18.3</v>
      </c>
      <c r="Z30" s="3">
        <f>Y30*F30</f>
        <v>31549.200000000001</v>
      </c>
      <c r="AA30" s="34">
        <v>43514</v>
      </c>
      <c r="AB30" s="3"/>
      <c r="AC30" s="35"/>
    </row>
    <row r="31" spans="1:29" x14ac:dyDescent="0.25">
      <c r="A31" s="144"/>
      <c r="B31" s="27" t="s">
        <v>30</v>
      </c>
      <c r="C31" t="s">
        <v>40</v>
      </c>
      <c r="D31" s="28" t="s">
        <v>40</v>
      </c>
      <c r="E31" t="s">
        <v>37</v>
      </c>
      <c r="F31" s="29">
        <f>42967*0.4536</f>
        <v>19489.831200000001</v>
      </c>
      <c r="G31" s="30">
        <v>19522.61</v>
      </c>
      <c r="H31" s="30">
        <f t="shared" si="16"/>
        <v>32.778800000000047</v>
      </c>
      <c r="I31" s="28" t="s">
        <v>2112</v>
      </c>
      <c r="J31" s="52" t="s">
        <v>196</v>
      </c>
      <c r="K31" s="31">
        <v>43504</v>
      </c>
      <c r="L31" s="31">
        <v>43505</v>
      </c>
      <c r="M31" s="28" t="s">
        <v>46</v>
      </c>
      <c r="N31" s="28" t="s">
        <v>2094</v>
      </c>
      <c r="O31" s="2"/>
      <c r="P31" s="32">
        <f>0.4346+0.105</f>
        <v>0.53959999999999997</v>
      </c>
      <c r="Q31" s="140">
        <v>26000</v>
      </c>
      <c r="R31" s="2">
        <v>89243</v>
      </c>
      <c r="S31" s="68">
        <v>19.13</v>
      </c>
      <c r="T31" s="141">
        <f>X31*F31*0.005</f>
        <v>2804.6005710930222</v>
      </c>
      <c r="V31" s="2">
        <v>0.12</v>
      </c>
      <c r="W31" s="2">
        <v>0.3</v>
      </c>
      <c r="X31" s="2">
        <f>IF(O31&gt;0,O31,((P31*2.2046*S31)+(Q31+R31)/G31)+V31)</f>
        <v>28.780142242514874</v>
      </c>
      <c r="Y31" s="2">
        <f>IF(O31&gt;0,O31,((P31*2.2046*S31)+(Q31+R31+T31)/G31)+V31+W31)</f>
        <v>29.223801341943332</v>
      </c>
      <c r="Z31" s="3">
        <f>Y31*F31</f>
        <v>569566.95517680899</v>
      </c>
      <c r="AA31" s="34">
        <v>43501</v>
      </c>
      <c r="AB31" s="3">
        <v>30.62</v>
      </c>
      <c r="AC31" s="35"/>
    </row>
    <row r="32" spans="1:29" ht="15.75" thickBot="1" x14ac:dyDescent="0.3">
      <c r="A32" s="145"/>
      <c r="B32" s="41"/>
      <c r="C32" s="4"/>
      <c r="D32" s="4"/>
      <c r="E32" s="4"/>
      <c r="F32" s="42"/>
      <c r="G32" s="42"/>
      <c r="H32" s="42"/>
      <c r="I32" s="7"/>
      <c r="J32" s="4"/>
      <c r="K32" s="8"/>
      <c r="L32" s="8"/>
      <c r="M32" s="4"/>
      <c r="N32" s="4"/>
      <c r="O32" s="9"/>
      <c r="P32" s="10"/>
      <c r="Q32" s="9"/>
      <c r="R32" s="9"/>
      <c r="S32" s="9"/>
      <c r="T32" s="9"/>
      <c r="U32" s="9"/>
      <c r="V32" s="9"/>
      <c r="W32" s="9"/>
      <c r="X32" s="9"/>
      <c r="Y32" s="9"/>
      <c r="Z32" s="13"/>
      <c r="AA32" s="43"/>
      <c r="AB32" s="3"/>
      <c r="AC32" s="35"/>
    </row>
    <row r="33" spans="1:32" ht="15.75" thickTop="1" x14ac:dyDescent="0.25">
      <c r="A33" s="146"/>
      <c r="B33" s="14" t="s">
        <v>26</v>
      </c>
      <c r="C33" s="14" t="s">
        <v>27</v>
      </c>
      <c r="D33" s="15" t="s">
        <v>1871</v>
      </c>
      <c r="E33" s="14">
        <v>250</v>
      </c>
      <c r="F33" s="16">
        <v>30955</v>
      </c>
      <c r="G33" s="17">
        <v>24550</v>
      </c>
      <c r="H33" s="18">
        <f t="shared" ref="H33:H36" si="17">G33-F33</f>
        <v>-6405</v>
      </c>
      <c r="I33" s="19" t="s">
        <v>2281</v>
      </c>
      <c r="J33" s="14"/>
      <c r="K33" s="20"/>
      <c r="L33" s="20">
        <v>43506</v>
      </c>
      <c r="M33" s="15" t="s">
        <v>28</v>
      </c>
      <c r="N33" s="14"/>
      <c r="O33" s="21">
        <v>26.5</v>
      </c>
      <c r="P33" s="22"/>
      <c r="Q33" s="139">
        <v>21300</v>
      </c>
      <c r="R33" s="2">
        <f>72*E33</f>
        <v>18000</v>
      </c>
      <c r="S33" s="21">
        <f>-38*E33</f>
        <v>-9500</v>
      </c>
      <c r="T33" s="157">
        <f>X33*F33*0.0045</f>
        <v>4830.6301978105903</v>
      </c>
      <c r="U33" s="21">
        <f>E33*5</f>
        <v>1250</v>
      </c>
      <c r="V33" s="14"/>
      <c r="W33" s="21">
        <v>0.3</v>
      </c>
      <c r="X33" s="21">
        <f>((O33*F33)+Q33+R33+S33+U33)/G33</f>
        <v>34.678513238289206</v>
      </c>
      <c r="Y33" s="24">
        <f>((O33*F33)+Q33+R33+S33+T33+U33)/G33+W33</f>
        <v>35.175280252456638</v>
      </c>
      <c r="Z33" s="24">
        <f>Y33*G33</f>
        <v>863553.13019781047</v>
      </c>
      <c r="AA33" s="25">
        <v>43521</v>
      </c>
      <c r="AB33" s="3"/>
      <c r="AC33" s="3"/>
    </row>
    <row r="34" spans="1:32" x14ac:dyDescent="0.25">
      <c r="A34" s="147"/>
      <c r="B34" s="27" t="s">
        <v>26</v>
      </c>
      <c r="C34" t="s">
        <v>27</v>
      </c>
      <c r="D34" s="28" t="s">
        <v>1718</v>
      </c>
      <c r="E34">
        <v>130</v>
      </c>
      <c r="F34" s="29">
        <v>15935</v>
      </c>
      <c r="G34" s="30">
        <v>12700</v>
      </c>
      <c r="H34" s="30">
        <f t="shared" si="17"/>
        <v>-3235</v>
      </c>
      <c r="I34" s="28" t="s">
        <v>2282</v>
      </c>
      <c r="K34" s="31"/>
      <c r="L34" s="31">
        <v>43506</v>
      </c>
      <c r="M34" s="28" t="s">
        <v>28</v>
      </c>
      <c r="O34" s="2">
        <v>26.5</v>
      </c>
      <c r="P34" s="32"/>
      <c r="Q34" s="140">
        <v>16900</v>
      </c>
      <c r="R34" s="2">
        <f>72*E34</f>
        <v>9360</v>
      </c>
      <c r="S34" s="33">
        <f>-38*E34</f>
        <v>-4940</v>
      </c>
      <c r="T34" s="141">
        <f>X34*F34*0.0045</f>
        <v>2508.3368193897636</v>
      </c>
      <c r="U34" s="2">
        <f>E34*5</f>
        <v>650</v>
      </c>
      <c r="W34" s="2">
        <v>0.3</v>
      </c>
      <c r="X34" s="2">
        <f>((O34*F34)+Q34+R34+S34+U34)/G34</f>
        <v>34.980118110236219</v>
      </c>
      <c r="Y34" s="2">
        <f>((O34*F34)+Q34+R34+S34+T34+U34)/G34+W34</f>
        <v>35.477624946408639</v>
      </c>
      <c r="Z34" s="3">
        <f>Y34*G34</f>
        <v>450565.83681938972</v>
      </c>
      <c r="AA34" s="34">
        <v>43521</v>
      </c>
      <c r="AB34" s="3"/>
      <c r="AC34" s="35" t="s">
        <v>2287</v>
      </c>
    </row>
    <row r="35" spans="1:32" x14ac:dyDescent="0.25">
      <c r="A35" s="147"/>
      <c r="B35" s="27" t="s">
        <v>26</v>
      </c>
      <c r="C35" t="s">
        <v>27</v>
      </c>
      <c r="D35" s="28" t="s">
        <v>1871</v>
      </c>
      <c r="E35">
        <v>249</v>
      </c>
      <c r="F35" s="29">
        <v>27630</v>
      </c>
      <c r="G35" s="30">
        <f>15520+6110</f>
        <v>21630</v>
      </c>
      <c r="H35" s="30">
        <f t="shared" si="17"/>
        <v>-6000</v>
      </c>
      <c r="I35" s="28" t="s">
        <v>2330</v>
      </c>
      <c r="K35" s="31"/>
      <c r="L35" s="31">
        <v>43507</v>
      </c>
      <c r="M35" s="28" t="s">
        <v>29</v>
      </c>
      <c r="O35" s="2">
        <v>26.5</v>
      </c>
      <c r="P35" s="32"/>
      <c r="Q35" s="138">
        <v>21300</v>
      </c>
      <c r="R35" s="2">
        <f>72*E35</f>
        <v>17928</v>
      </c>
      <c r="S35" s="33">
        <f>-38*E35</f>
        <v>-9462</v>
      </c>
      <c r="T35" s="141">
        <f>X35*F35*0.0045</f>
        <v>4387.1113273231622</v>
      </c>
      <c r="U35" s="2">
        <f>E35*5</f>
        <v>1245</v>
      </c>
      <c r="W35" s="2">
        <v>0.3</v>
      </c>
      <c r="X35" s="2">
        <f>((O35*F35)+Q35+R35+S35+U35)/G35</f>
        <v>35.284604715672678</v>
      </c>
      <c r="Y35" s="2">
        <f>((O35*F35)+Q35+R35+S35+T35+U35)/G35+W35</f>
        <v>35.787430019756037</v>
      </c>
      <c r="Z35" s="3">
        <f>Y35*G35</f>
        <v>774082.11132732313</v>
      </c>
      <c r="AA35" s="34">
        <v>43521</v>
      </c>
      <c r="AB35" s="3"/>
      <c r="AC35" s="35" t="s">
        <v>2298</v>
      </c>
    </row>
    <row r="36" spans="1:32" x14ac:dyDescent="0.25">
      <c r="A36" s="147"/>
      <c r="B36" s="27" t="s">
        <v>30</v>
      </c>
      <c r="C36" s="28" t="s">
        <v>1790</v>
      </c>
      <c r="D36" s="28" t="s">
        <v>1790</v>
      </c>
      <c r="E36" t="s">
        <v>32</v>
      </c>
      <c r="F36" s="29">
        <f>41136*0.4536</f>
        <v>18659.2896</v>
      </c>
      <c r="G36" s="30">
        <v>18678.97</v>
      </c>
      <c r="H36" s="30">
        <f t="shared" si="17"/>
        <v>19.6804000000011</v>
      </c>
      <c r="I36" s="28" t="s">
        <v>2168</v>
      </c>
      <c r="J36" s="52" t="s">
        <v>196</v>
      </c>
      <c r="K36" s="31">
        <v>43507</v>
      </c>
      <c r="L36" s="31">
        <v>43508</v>
      </c>
      <c r="M36" s="28" t="s">
        <v>48</v>
      </c>
      <c r="N36" s="28" t="s">
        <v>2162</v>
      </c>
      <c r="O36" s="2"/>
      <c r="P36" s="32">
        <f>0.4304+0.095</f>
        <v>0.52539999999999998</v>
      </c>
      <c r="Q36" s="140">
        <v>26000</v>
      </c>
      <c r="R36" s="2">
        <v>87109</v>
      </c>
      <c r="S36" s="68">
        <v>19.425000000000001</v>
      </c>
      <c r="T36" s="141">
        <f t="shared" ref="T36" si="18">X36*F36*0.005</f>
        <v>2675.3069623800834</v>
      </c>
      <c r="V36" s="2">
        <v>0.12</v>
      </c>
      <c r="W36" s="2">
        <v>0.3</v>
      </c>
      <c r="X36" s="2">
        <f>IF(O36&gt;0,O36,((P36*2.2046*S36)+(Q36+R36)/G36)+V36)</f>
        <v>28.675335661011264</v>
      </c>
      <c r="Y36" s="2">
        <f>IF(O36&gt;0,O36,((P36*2.2046*S36)+(Q36+R36+T36)/G36)+V36+W36)</f>
        <v>29.11856127582729</v>
      </c>
      <c r="Z36" s="3">
        <f>Y36*F36</f>
        <v>543331.66758100688</v>
      </c>
      <c r="AA36" s="34">
        <v>43510</v>
      </c>
      <c r="AB36" s="3"/>
      <c r="AC36" s="35"/>
    </row>
    <row r="37" spans="1:32" x14ac:dyDescent="0.25">
      <c r="A37" s="147"/>
      <c r="B37" s="27" t="s">
        <v>30</v>
      </c>
      <c r="C37" s="28" t="s">
        <v>35</v>
      </c>
      <c r="D37" s="28" t="s">
        <v>36</v>
      </c>
      <c r="E37" t="s">
        <v>32</v>
      </c>
      <c r="F37" s="29">
        <f>39511*0.4536</f>
        <v>17922.189600000002</v>
      </c>
      <c r="G37" s="30">
        <v>17910.060000000001</v>
      </c>
      <c r="H37" s="30">
        <f>G37-F37</f>
        <v>-12.12960000000021</v>
      </c>
      <c r="I37" t="s">
        <v>2169</v>
      </c>
      <c r="J37" s="52" t="s">
        <v>196</v>
      </c>
      <c r="K37" s="31">
        <v>43507</v>
      </c>
      <c r="L37" s="31">
        <v>43508</v>
      </c>
      <c r="M37" s="28" t="s">
        <v>48</v>
      </c>
      <c r="N37" s="28" t="s">
        <v>2163</v>
      </c>
      <c r="O37" s="2"/>
      <c r="P37" s="32">
        <f>0.4304+0.1</f>
        <v>0.53039999999999998</v>
      </c>
      <c r="Q37" s="140">
        <v>26000</v>
      </c>
      <c r="R37" s="2">
        <v>88519</v>
      </c>
      <c r="S37" s="68">
        <v>19.303000000000001</v>
      </c>
      <c r="T37" s="141">
        <f>X37*F37*0.005</f>
        <v>2606.3789416690547</v>
      </c>
      <c r="V37" s="2">
        <v>0.12</v>
      </c>
      <c r="W37" s="2">
        <v>0.3</v>
      </c>
      <c r="X37" s="2">
        <f>IF(O37&gt;0,O37,((P37*2.2046*S37)+(Q37+R37)/G37)+V37)</f>
        <v>29.085496804129942</v>
      </c>
      <c r="Y37" s="2">
        <f>IF(O37&gt;0,O37,((P37*2.2046*S37)+(Q37+R37+T37)/G37)+V37+W37)</f>
        <v>29.531022779010492</v>
      </c>
      <c r="Z37" s="3">
        <f>Y37*F37</f>
        <v>529260.58932734502</v>
      </c>
      <c r="AA37" s="34">
        <v>43507</v>
      </c>
      <c r="AB37" s="3"/>
      <c r="AC37" s="35"/>
    </row>
    <row r="38" spans="1:32" x14ac:dyDescent="0.25">
      <c r="A38" s="147"/>
      <c r="B38" s="27" t="s">
        <v>26</v>
      </c>
      <c r="C38" t="s">
        <v>27</v>
      </c>
      <c r="D38" s="28" t="s">
        <v>1682</v>
      </c>
      <c r="E38">
        <v>200</v>
      </c>
      <c r="F38" s="29">
        <v>23760</v>
      </c>
      <c r="G38" s="30">
        <v>19150</v>
      </c>
      <c r="H38" s="30">
        <f>G38-F38</f>
        <v>-4610</v>
      </c>
      <c r="I38" s="28" t="s">
        <v>2329</v>
      </c>
      <c r="K38" s="31"/>
      <c r="L38" s="31">
        <v>43508</v>
      </c>
      <c r="M38" s="28" t="s">
        <v>48</v>
      </c>
      <c r="O38" s="2">
        <v>26.5</v>
      </c>
      <c r="P38" s="32"/>
      <c r="Q38" s="138">
        <v>21300</v>
      </c>
      <c r="R38" s="2">
        <f>72*E38</f>
        <v>14400</v>
      </c>
      <c r="S38" s="33">
        <f>-38*E38</f>
        <v>-7600</v>
      </c>
      <c r="T38" s="141">
        <f>X38*F38*0.005</f>
        <v>4086.59592689295</v>
      </c>
      <c r="U38" s="2">
        <f>E38*5</f>
        <v>1000</v>
      </c>
      <c r="W38" s="2">
        <v>0.3</v>
      </c>
      <c r="X38" s="2">
        <f>((O38*F38)+Q38+R38+S38+U38)/G38</f>
        <v>34.398955613577023</v>
      </c>
      <c r="Y38" s="2">
        <f>((O38*F38)+Q38+R38+S38+T38+U38)/G38+W38</f>
        <v>34.912354878688923</v>
      </c>
      <c r="Z38" s="3">
        <f>Y38*G38</f>
        <v>668571.59592689283</v>
      </c>
      <c r="AA38" s="34">
        <v>43522</v>
      </c>
      <c r="AB38" s="3"/>
      <c r="AC38" s="35"/>
      <c r="AF38" s="30"/>
    </row>
    <row r="39" spans="1:32" x14ac:dyDescent="0.25">
      <c r="A39" s="147"/>
      <c r="B39" s="27" t="s">
        <v>26</v>
      </c>
      <c r="C39" t="s">
        <v>27</v>
      </c>
      <c r="D39" s="28" t="s">
        <v>1829</v>
      </c>
      <c r="E39">
        <v>130</v>
      </c>
      <c r="F39" s="29">
        <v>14260</v>
      </c>
      <c r="G39" s="30">
        <v>11060</v>
      </c>
      <c r="H39" s="30">
        <f>G39-F39</f>
        <v>-3200</v>
      </c>
      <c r="I39" s="28" t="s">
        <v>2331</v>
      </c>
      <c r="K39" s="31"/>
      <c r="L39" s="31">
        <v>43508</v>
      </c>
      <c r="M39" s="28" t="s">
        <v>48</v>
      </c>
      <c r="O39" s="2">
        <v>26.5</v>
      </c>
      <c r="P39" s="32"/>
      <c r="Q39" s="140">
        <v>16900</v>
      </c>
      <c r="R39" s="2">
        <f>72*E39</f>
        <v>9360</v>
      </c>
      <c r="S39" s="33">
        <f>-38*E39</f>
        <v>-4940</v>
      </c>
      <c r="T39" s="141">
        <f>X39*F39*0.005</f>
        <v>2577.7593128390595</v>
      </c>
      <c r="U39" s="2">
        <f>E39*5</f>
        <v>650</v>
      </c>
      <c r="W39" s="2">
        <v>0.3</v>
      </c>
      <c r="X39" s="2">
        <f>((O39*F39)+Q39+R39+S39+U39)/G39</f>
        <v>36.153707052441227</v>
      </c>
      <c r="Y39" s="2">
        <f>((O39*F39)+Q39+R39+S39+T39+U39)/G39+W39</f>
        <v>36.686777514723239</v>
      </c>
      <c r="Z39" s="3">
        <f>Y39*G39</f>
        <v>405755.75931283901</v>
      </c>
      <c r="AA39" s="34">
        <v>43522</v>
      </c>
      <c r="AB39" s="3">
        <v>35.56</v>
      </c>
      <c r="AC39" s="35" t="s">
        <v>2307</v>
      </c>
      <c r="AF39" s="30"/>
    </row>
    <row r="40" spans="1:32" x14ac:dyDescent="0.25">
      <c r="A40" s="147"/>
      <c r="B40" s="27" t="s">
        <v>2358</v>
      </c>
      <c r="C40" t="s">
        <v>2360</v>
      </c>
      <c r="D40" s="28" t="s">
        <v>1734</v>
      </c>
      <c r="E40" t="s">
        <v>2362</v>
      </c>
      <c r="F40" s="29">
        <v>2002.7</v>
      </c>
      <c r="G40" s="30">
        <v>2002.7</v>
      </c>
      <c r="H40" s="30">
        <f t="shared" ref="H40:H41" si="19">G40-F40</f>
        <v>0</v>
      </c>
      <c r="I40" t="s">
        <v>2386</v>
      </c>
      <c r="K40" s="31"/>
      <c r="L40" s="31">
        <v>43508</v>
      </c>
      <c r="M40" s="28" t="s">
        <v>48</v>
      </c>
      <c r="O40" s="2">
        <v>17</v>
      </c>
      <c r="P40" s="32"/>
      <c r="Q40" s="2"/>
      <c r="R40" s="2"/>
      <c r="S40" s="33"/>
      <c r="T40" s="33"/>
      <c r="U40" s="2"/>
      <c r="W40" s="2"/>
      <c r="X40" s="2">
        <f t="shared" ref="X40:X41" si="20">IF(O40&gt;0,O40,((P40*2.2046*S40)+(Q40+R40)/G40)+V40)</f>
        <v>17</v>
      </c>
      <c r="Y40" s="2">
        <f t="shared" ref="Y40:Y41" si="21">IF(O40&gt;0,O40,((P40*2.2046*S40)+(Q40+R40+T40)/G40)+V40+W40)</f>
        <v>17</v>
      </c>
      <c r="Z40" s="3">
        <f t="shared" ref="Z40:Z41" si="22">Y40*F40</f>
        <v>34045.9</v>
      </c>
      <c r="AA40" s="34">
        <v>43515</v>
      </c>
      <c r="AB40" s="3"/>
      <c r="AC40" s="35"/>
    </row>
    <row r="41" spans="1:32" x14ac:dyDescent="0.25">
      <c r="A41" s="147"/>
      <c r="B41" s="27" t="s">
        <v>2359</v>
      </c>
      <c r="C41" t="s">
        <v>2360</v>
      </c>
      <c r="D41" s="28" t="s">
        <v>1734</v>
      </c>
      <c r="E41" t="s">
        <v>2361</v>
      </c>
      <c r="F41" s="29">
        <v>267</v>
      </c>
      <c r="G41" s="30">
        <v>267</v>
      </c>
      <c r="H41" s="30">
        <f t="shared" si="19"/>
        <v>0</v>
      </c>
      <c r="I41" t="s">
        <v>2386</v>
      </c>
      <c r="K41" s="31"/>
      <c r="L41" s="31">
        <v>43508</v>
      </c>
      <c r="M41" s="28" t="s">
        <v>48</v>
      </c>
      <c r="O41" s="2">
        <v>20.5</v>
      </c>
      <c r="P41" s="32"/>
      <c r="Q41" s="2"/>
      <c r="R41" s="2"/>
      <c r="S41" s="33"/>
      <c r="T41" s="33"/>
      <c r="U41" s="2"/>
      <c r="W41" s="2"/>
      <c r="X41" s="2">
        <f t="shared" si="20"/>
        <v>20.5</v>
      </c>
      <c r="Y41" s="2">
        <f t="shared" si="21"/>
        <v>20.5</v>
      </c>
      <c r="Z41" s="3">
        <f t="shared" si="22"/>
        <v>5473.5</v>
      </c>
      <c r="AA41" s="34">
        <v>43515</v>
      </c>
      <c r="AB41" s="3"/>
      <c r="AC41" s="35"/>
    </row>
    <row r="42" spans="1:32" x14ac:dyDescent="0.25">
      <c r="A42" s="147"/>
      <c r="B42" s="27" t="s">
        <v>30</v>
      </c>
      <c r="C42" s="28" t="s">
        <v>31</v>
      </c>
      <c r="D42" s="28" t="s">
        <v>31</v>
      </c>
      <c r="E42" t="s">
        <v>32</v>
      </c>
      <c r="F42" s="29">
        <f>40823*0.4536</f>
        <v>18517.3128</v>
      </c>
      <c r="G42" s="30">
        <v>18484.310000000001</v>
      </c>
      <c r="H42" s="30">
        <f t="shared" ref="H42:H44" si="23">G42-F42</f>
        <v>-33.002799999998388</v>
      </c>
      <c r="I42" s="28" t="s">
        <v>2157</v>
      </c>
      <c r="J42" s="52" t="s">
        <v>1690</v>
      </c>
      <c r="K42" s="31">
        <v>43508</v>
      </c>
      <c r="L42" s="31">
        <v>43509</v>
      </c>
      <c r="M42" s="28" t="s">
        <v>33</v>
      </c>
      <c r="N42" s="28" t="s">
        <v>2163</v>
      </c>
      <c r="O42" s="2"/>
      <c r="P42" s="32">
        <f>0.4304+0.1</f>
        <v>0.53039999999999998</v>
      </c>
      <c r="Q42" s="140">
        <v>26000</v>
      </c>
      <c r="R42" s="2">
        <v>83899</v>
      </c>
      <c r="S42" s="68">
        <v>19.116</v>
      </c>
      <c r="T42" s="141">
        <f t="shared" ref="T42:T44" si="24">X42*F42*0.005</f>
        <v>2631.1478445616103</v>
      </c>
      <c r="V42" s="2">
        <v>0.12</v>
      </c>
      <c r="W42" s="2">
        <v>0.3</v>
      </c>
      <c r="X42" s="2">
        <f>IF(O42&gt;0,O42,((P42*2.2046*S42)+(Q42+R42)/G42)+V42)</f>
        <v>28.418246999225616</v>
      </c>
      <c r="Y42" s="2">
        <f>IF(O42&gt;0,O42,((P42*2.2046*S42)+(Q42+R42+T42)/G42)+V42+W42)</f>
        <v>28.860591930930482</v>
      </c>
      <c r="Z42" s="3">
        <f>Y42*F42</f>
        <v>534420.60837819579</v>
      </c>
      <c r="AA42" s="34">
        <v>43502</v>
      </c>
      <c r="AB42" s="3"/>
      <c r="AC42" s="35"/>
    </row>
    <row r="43" spans="1:32" x14ac:dyDescent="0.25">
      <c r="A43" s="147"/>
      <c r="B43" s="27" t="s">
        <v>30</v>
      </c>
      <c r="C43" s="28" t="s">
        <v>1790</v>
      </c>
      <c r="D43" s="28" t="s">
        <v>1790</v>
      </c>
      <c r="E43" t="s">
        <v>32</v>
      </c>
      <c r="F43" s="29">
        <f>39898*0.4536</f>
        <v>18097.732800000002</v>
      </c>
      <c r="G43" s="30">
        <v>18059.59</v>
      </c>
      <c r="H43" s="30">
        <f t="shared" si="23"/>
        <v>-38.142800000001444</v>
      </c>
      <c r="I43" s="28" t="s">
        <v>2170</v>
      </c>
      <c r="J43" s="52" t="s">
        <v>196</v>
      </c>
      <c r="K43" s="31">
        <v>43508</v>
      </c>
      <c r="L43" s="31">
        <v>43509</v>
      </c>
      <c r="M43" s="28" t="s">
        <v>33</v>
      </c>
      <c r="N43" s="28" t="s">
        <v>2162</v>
      </c>
      <c r="O43" s="2"/>
      <c r="P43" s="32">
        <f>0.4304+0.095</f>
        <v>0.52539999999999998</v>
      </c>
      <c r="Q43" s="140">
        <v>26000</v>
      </c>
      <c r="R43" s="2">
        <v>81511</v>
      </c>
      <c r="S43" s="68">
        <v>19.379000000000001</v>
      </c>
      <c r="T43" s="141">
        <f t="shared" si="24"/>
        <v>2580.7149477912162</v>
      </c>
      <c r="V43" s="2">
        <v>0.12</v>
      </c>
      <c r="W43" s="2">
        <v>0.3</v>
      </c>
      <c r="X43" s="2">
        <f t="shared" ref="X43" si="25">IF(O43&gt;0,O43,((P43*2.2046*S43)+(Q43+R43)/G43)+V43)</f>
        <v>28.519759644050175</v>
      </c>
      <c r="Y43" s="2">
        <f t="shared" ref="Y43" si="26">IF(O43&gt;0,O43,((P43*2.2046*S43)+(Q43+R43+T43)/G43)+V43+W43)</f>
        <v>28.962659618401265</v>
      </c>
      <c r="Z43" s="3">
        <f t="shared" ref="Z43" si="27">Y43*F43</f>
        <v>524158.47495117609</v>
      </c>
      <c r="AA43" s="34">
        <v>43511</v>
      </c>
      <c r="AB43" s="3"/>
      <c r="AC43" s="35"/>
    </row>
    <row r="44" spans="1:32" x14ac:dyDescent="0.25">
      <c r="A44" s="147"/>
      <c r="B44" s="27" t="s">
        <v>26</v>
      </c>
      <c r="C44" t="s">
        <v>27</v>
      </c>
      <c r="D44" s="28" t="s">
        <v>1871</v>
      </c>
      <c r="E44">
        <v>249</v>
      </c>
      <c r="F44" s="29">
        <v>29660</v>
      </c>
      <c r="G44" s="30">
        <f>6790+16790</f>
        <v>23580</v>
      </c>
      <c r="H44" s="30">
        <f t="shared" si="23"/>
        <v>-6080</v>
      </c>
      <c r="I44" s="28" t="s">
        <v>2332</v>
      </c>
      <c r="K44" s="31"/>
      <c r="L44" s="31">
        <v>43509</v>
      </c>
      <c r="M44" s="28" t="s">
        <v>33</v>
      </c>
      <c r="O44" s="2">
        <v>26.5</v>
      </c>
      <c r="P44" s="32"/>
      <c r="Q44" s="138">
        <v>21300</v>
      </c>
      <c r="R44" s="2">
        <f>72*E44</f>
        <v>17928</v>
      </c>
      <c r="S44" s="33">
        <f>-38*E44</f>
        <v>-9462</v>
      </c>
      <c r="T44" s="141">
        <f t="shared" si="24"/>
        <v>5138.305695504665</v>
      </c>
      <c r="U44" s="2">
        <f>E44*5</f>
        <v>1245</v>
      </c>
      <c r="W44" s="2">
        <v>0.3</v>
      </c>
      <c r="X44" s="2">
        <f t="shared" ref="X44" si="28">((O44*F44)+Q44+R44+S44+U44)/G44</f>
        <v>34.648049194232399</v>
      </c>
      <c r="Y44" s="2">
        <f>((O44*F44)+Q44+R44+S44+T44+U44)/G44+W44</f>
        <v>35.165958680895024</v>
      </c>
      <c r="Z44" s="3">
        <f>Y44*G44</f>
        <v>829213.30569550465</v>
      </c>
      <c r="AA44" s="34">
        <v>43523</v>
      </c>
      <c r="AB44" s="3"/>
      <c r="AC44" s="35" t="s">
        <v>2314</v>
      </c>
    </row>
    <row r="45" spans="1:32" x14ac:dyDescent="0.25">
      <c r="A45" s="147"/>
      <c r="B45" s="27" t="s">
        <v>30</v>
      </c>
      <c r="C45" s="28" t="s">
        <v>40</v>
      </c>
      <c r="D45" s="28" t="s">
        <v>40</v>
      </c>
      <c r="E45" t="s">
        <v>37</v>
      </c>
      <c r="F45" s="29">
        <f>42072*0.4536</f>
        <v>19083.859199999999</v>
      </c>
      <c r="G45" s="30">
        <v>19029.11</v>
      </c>
      <c r="H45" s="30">
        <f>G45-F45</f>
        <v>-54.749199999998382</v>
      </c>
      <c r="I45" t="s">
        <v>2171</v>
      </c>
      <c r="J45" s="52" t="s">
        <v>196</v>
      </c>
      <c r="K45" s="31">
        <v>43509</v>
      </c>
      <c r="L45" s="31">
        <v>43510</v>
      </c>
      <c r="M45" s="28" t="s">
        <v>41</v>
      </c>
      <c r="N45" s="28" t="s">
        <v>2164</v>
      </c>
      <c r="O45" s="2"/>
      <c r="P45" s="32">
        <f>0.4307+0.105</f>
        <v>0.53570000000000007</v>
      </c>
      <c r="Q45" s="140">
        <v>26000</v>
      </c>
      <c r="R45" s="2">
        <v>87587</v>
      </c>
      <c r="S45" s="68">
        <v>19.149000000000001</v>
      </c>
      <c r="T45" s="141">
        <f>X45*F45*0.005</f>
        <v>2738.931469411234</v>
      </c>
      <c r="V45" s="2">
        <v>0.12</v>
      </c>
      <c r="W45" s="2">
        <v>0.3</v>
      </c>
      <c r="X45" s="2">
        <f>IF(O45&gt;0,O45,((P45*2.2046*S45)+(Q45+R45)/G45)+V45)</f>
        <v>28.704167649814085</v>
      </c>
      <c r="Y45" s="2">
        <f>IF(O45&gt;0,O45,((P45*2.2046*S45)+(Q45+R45+T45)/G45)+V45+W45)</f>
        <v>29.148101415997118</v>
      </c>
      <c r="Z45" s="3">
        <f>Y45*F45</f>
        <v>556258.26337020961</v>
      </c>
      <c r="AA45" s="34">
        <v>43503</v>
      </c>
      <c r="AB45" s="3"/>
      <c r="AC45" s="35"/>
    </row>
    <row r="46" spans="1:32" x14ac:dyDescent="0.25">
      <c r="A46" s="147"/>
      <c r="B46" s="27" t="s">
        <v>26</v>
      </c>
      <c r="C46" t="s">
        <v>27</v>
      </c>
      <c r="D46" s="28" t="s">
        <v>1871</v>
      </c>
      <c r="E46">
        <v>249</v>
      </c>
      <c r="F46" s="29">
        <v>28800</v>
      </c>
      <c r="G46" s="30">
        <v>22950</v>
      </c>
      <c r="H46" s="30">
        <f t="shared" ref="H46:H48" si="29">G46-F46</f>
        <v>-5850</v>
      </c>
      <c r="I46" s="28" t="s">
        <v>2341</v>
      </c>
      <c r="J46" s="55">
        <v>250</v>
      </c>
      <c r="K46" s="31"/>
      <c r="L46" s="31">
        <v>43510</v>
      </c>
      <c r="M46" s="28" t="s">
        <v>41</v>
      </c>
      <c r="O46" s="2">
        <v>26.5</v>
      </c>
      <c r="P46" s="32"/>
      <c r="Q46" s="140">
        <v>21300</v>
      </c>
      <c r="R46" s="2">
        <f>72*E46</f>
        <v>17928</v>
      </c>
      <c r="S46" s="33">
        <f>-38*E46</f>
        <v>-9462</v>
      </c>
      <c r="T46" s="141">
        <f>X46*F46*0.0045</f>
        <v>4484.9562352941166</v>
      </c>
      <c r="U46" s="2">
        <f>E46*5</f>
        <v>1245</v>
      </c>
      <c r="W46" s="2">
        <v>0.3</v>
      </c>
      <c r="X46" s="2">
        <f t="shared" ref="X46" si="30">((O46*F46)+Q46+R46+S46+U46)/G46</f>
        <v>34.606143790849671</v>
      </c>
      <c r="Y46" s="2">
        <f>((O46*F46)+Q46+R46+S46+T46+U46)/G46+W46</f>
        <v>35.101566720492116</v>
      </c>
      <c r="Z46" s="3">
        <f>Y46*G46</f>
        <v>805580.95623529411</v>
      </c>
      <c r="AA46" s="34">
        <v>43523</v>
      </c>
      <c r="AB46" s="3"/>
      <c r="AC46" s="35"/>
    </row>
    <row r="47" spans="1:32" x14ac:dyDescent="0.25">
      <c r="A47" s="147"/>
      <c r="B47" s="27" t="s">
        <v>26</v>
      </c>
      <c r="C47" t="s">
        <v>27</v>
      </c>
      <c r="D47" s="28" t="s">
        <v>1682</v>
      </c>
      <c r="E47">
        <v>130</v>
      </c>
      <c r="F47" s="29">
        <v>16235</v>
      </c>
      <c r="G47" s="30">
        <v>12820</v>
      </c>
      <c r="H47" s="30">
        <f t="shared" si="29"/>
        <v>-3415</v>
      </c>
      <c r="I47" s="28" t="s">
        <v>2333</v>
      </c>
      <c r="J47" s="55">
        <v>129</v>
      </c>
      <c r="K47" s="31"/>
      <c r="L47" s="31">
        <v>43510</v>
      </c>
      <c r="M47" s="28" t="s">
        <v>41</v>
      </c>
      <c r="O47" s="2">
        <v>26.5</v>
      </c>
      <c r="P47" s="32"/>
      <c r="Q47" s="140">
        <v>16900</v>
      </c>
      <c r="R47" s="2">
        <f>72*E47</f>
        <v>9360</v>
      </c>
      <c r="S47" s="33">
        <f>-38*E47</f>
        <v>-4940</v>
      </c>
      <c r="T47" s="141">
        <f>X47*F47*0.0045</f>
        <v>2576.9437485374415</v>
      </c>
      <c r="U47" s="2">
        <f>E47*5</f>
        <v>650</v>
      </c>
      <c r="W47" s="2">
        <v>0.3</v>
      </c>
      <c r="X47" s="2">
        <f>((O47*F47)+Q47+R47+S47+U47)/G47</f>
        <v>35.272815912636503</v>
      </c>
      <c r="Y47" s="2">
        <f>((O47*F47)+Q47+R47+S47+T47+U47)/G47+W47</f>
        <v>35.773825565408536</v>
      </c>
      <c r="Z47" s="3">
        <f>Y47*G47</f>
        <v>458620.44374853745</v>
      </c>
      <c r="AA47" s="34">
        <v>43523</v>
      </c>
      <c r="AB47" s="3"/>
      <c r="AC47" s="35" t="s">
        <v>2326</v>
      </c>
    </row>
    <row r="48" spans="1:32" x14ac:dyDescent="0.25">
      <c r="A48" s="147"/>
      <c r="B48" s="27" t="s">
        <v>2321</v>
      </c>
      <c r="C48" t="s">
        <v>2322</v>
      </c>
      <c r="D48" s="28" t="s">
        <v>2044</v>
      </c>
      <c r="E48" t="s">
        <v>2320</v>
      </c>
      <c r="F48" s="29">
        <v>1003.34</v>
      </c>
      <c r="G48" s="30">
        <v>1003.34</v>
      </c>
      <c r="H48" s="30">
        <f t="shared" si="29"/>
        <v>0</v>
      </c>
      <c r="I48" t="s">
        <v>2318</v>
      </c>
      <c r="K48" s="31"/>
      <c r="L48" s="31">
        <v>43510</v>
      </c>
      <c r="M48" s="28" t="s">
        <v>41</v>
      </c>
      <c r="O48" s="2">
        <v>53</v>
      </c>
      <c r="P48" s="32"/>
      <c r="Q48" s="2"/>
      <c r="R48" s="2"/>
      <c r="S48" s="33"/>
      <c r="T48" s="33"/>
      <c r="U48" s="2"/>
      <c r="W48" s="2"/>
      <c r="X48" s="2">
        <f>IF(O48&gt;0,O48,((P48*2.2046*S48)+(Q48+R48)/G48)+V48)</f>
        <v>53</v>
      </c>
      <c r="Y48" s="2">
        <f>IF(O48&gt;0,O48,((P48*2.2046*S48)+(Q48+R48+T48)/G48)+V48+W48)</f>
        <v>53</v>
      </c>
      <c r="Z48" s="3">
        <f>Y48*F48</f>
        <v>53177.020000000004</v>
      </c>
      <c r="AA48" s="34">
        <v>43510</v>
      </c>
      <c r="AB48" s="3"/>
      <c r="AC48" s="35"/>
    </row>
    <row r="49" spans="1:32" x14ac:dyDescent="0.25">
      <c r="A49" s="147"/>
      <c r="B49" s="27" t="s">
        <v>30</v>
      </c>
      <c r="C49" s="28" t="s">
        <v>1790</v>
      </c>
      <c r="D49" s="28" t="s">
        <v>1790</v>
      </c>
      <c r="E49" t="s">
        <v>32</v>
      </c>
      <c r="F49" s="29">
        <f>41937*0.4536</f>
        <v>19022.623200000002</v>
      </c>
      <c r="G49" s="30">
        <v>18990.689999999999</v>
      </c>
      <c r="H49" s="30">
        <f>G49-F49</f>
        <v>-31.933200000003126</v>
      </c>
      <c r="I49" s="28" t="s">
        <v>2172</v>
      </c>
      <c r="J49" s="52" t="s">
        <v>196</v>
      </c>
      <c r="K49" s="31">
        <v>43510</v>
      </c>
      <c r="L49" s="31">
        <v>43511</v>
      </c>
      <c r="M49" s="28" t="s">
        <v>45</v>
      </c>
      <c r="N49" s="28" t="s">
        <v>2165</v>
      </c>
      <c r="O49" s="2"/>
      <c r="P49" s="32">
        <f>0.4307+0.095</f>
        <v>0.52570000000000006</v>
      </c>
      <c r="Q49" s="140">
        <v>26000</v>
      </c>
      <c r="R49" s="2">
        <v>85731</v>
      </c>
      <c r="S49" s="68">
        <v>19.292999999999999</v>
      </c>
      <c r="T49" s="141">
        <f>X49*F49*0.005</f>
        <v>2697.7164008730674</v>
      </c>
      <c r="V49" s="2">
        <v>0.12</v>
      </c>
      <c r="W49" s="2">
        <v>0.3</v>
      </c>
      <c r="X49" s="2">
        <f>IF(O49&gt;0,O49,((P49*2.2046*S49)+(Q49+R49)/G49)+V49)</f>
        <v>28.363242782131824</v>
      </c>
      <c r="Y49" s="2">
        <f>IF(O49&gt;0,O49,((P49*2.2046*S49)+(Q49+R49+T49)/G49)+V49+W49)</f>
        <v>28.805297462655442</v>
      </c>
      <c r="Z49" s="3">
        <f>Y49*F49</f>
        <v>547952.31979601062</v>
      </c>
      <c r="AA49" s="34">
        <v>43514</v>
      </c>
      <c r="AB49" s="3"/>
      <c r="AC49" s="35"/>
    </row>
    <row r="50" spans="1:32" x14ac:dyDescent="0.25">
      <c r="A50" s="147"/>
      <c r="B50" s="27" t="s">
        <v>30</v>
      </c>
      <c r="C50" s="28" t="s">
        <v>35</v>
      </c>
      <c r="D50" s="28" t="s">
        <v>36</v>
      </c>
      <c r="E50" t="s">
        <v>37</v>
      </c>
      <c r="F50" s="29">
        <f>41760*0.4536</f>
        <v>18942.335999999999</v>
      </c>
      <c r="G50" s="30">
        <v>18083.36</v>
      </c>
      <c r="H50" s="122">
        <f>G50-F50</f>
        <v>-858.97599999999875</v>
      </c>
      <c r="I50" t="s">
        <v>2173</v>
      </c>
      <c r="J50" s="52" t="s">
        <v>196</v>
      </c>
      <c r="K50" s="31">
        <v>43510</v>
      </c>
      <c r="L50" s="31">
        <v>43511</v>
      </c>
      <c r="M50" s="28" t="s">
        <v>45</v>
      </c>
      <c r="N50" s="28" t="s">
        <v>2166</v>
      </c>
      <c r="O50" s="2"/>
      <c r="P50" s="32">
        <f>0.4252+0.1</f>
        <v>0.5252</v>
      </c>
      <c r="Q50" s="140">
        <v>26000</v>
      </c>
      <c r="R50" s="2">
        <v>93671</v>
      </c>
      <c r="S50" s="68">
        <v>19.277999999999999</v>
      </c>
      <c r="T50" s="141">
        <f>X50*F50*0.005</f>
        <v>2752.2160842645185</v>
      </c>
      <c r="V50" s="2">
        <v>0.12</v>
      </c>
      <c r="W50" s="2">
        <v>0.3</v>
      </c>
      <c r="X50" s="2">
        <f>IF(O50&gt;0,O50,((P50*2.2046*S50)+(Q50+R50)/G50)+V50)</f>
        <v>29.058887818952414</v>
      </c>
      <c r="Y50" s="2">
        <f>IF(O50&gt;0,O50,((P50*2.2046*S50)+(Q50+R50+T50)/G50)+V50+W50)</f>
        <v>29.511083875673322</v>
      </c>
      <c r="Z50" s="3">
        <f>Y50*F50</f>
        <v>559008.86649718625</v>
      </c>
      <c r="AA50" s="34">
        <v>43516</v>
      </c>
      <c r="AB50" s="3" t="s">
        <v>2352</v>
      </c>
      <c r="AC50" s="35"/>
    </row>
    <row r="51" spans="1:32" x14ac:dyDescent="0.25">
      <c r="A51" s="147"/>
      <c r="B51" s="27" t="s">
        <v>26</v>
      </c>
      <c r="C51" t="s">
        <v>27</v>
      </c>
      <c r="D51" s="28" t="s">
        <v>44</v>
      </c>
      <c r="E51">
        <v>234</v>
      </c>
      <c r="F51" s="29">
        <v>21346.42</v>
      </c>
      <c r="G51" s="30">
        <v>21550</v>
      </c>
      <c r="H51" s="30">
        <f t="shared" ref="H51:H53" si="31">G51-F51</f>
        <v>203.58000000000175</v>
      </c>
      <c r="I51" t="s">
        <v>2397</v>
      </c>
      <c r="K51" s="31"/>
      <c r="L51" s="31">
        <v>43511</v>
      </c>
      <c r="M51" s="28" t="s">
        <v>45</v>
      </c>
      <c r="O51" s="2">
        <v>35.4</v>
      </c>
      <c r="P51" s="32"/>
      <c r="Q51" s="2"/>
      <c r="R51" s="2"/>
      <c r="S51" s="33"/>
      <c r="T51" s="33"/>
      <c r="U51" s="2">
        <f>E51*5</f>
        <v>1170</v>
      </c>
      <c r="W51" s="2">
        <v>0.3</v>
      </c>
      <c r="X51" s="2">
        <f>((O51*F51)+Q51+R51+S51+U51)/G51</f>
        <v>35.119873225058001</v>
      </c>
      <c r="Y51" s="2">
        <f>((O51*F51)+Q51+R51+S51+T51+U51)/G51+W51</f>
        <v>35.419873225057998</v>
      </c>
      <c r="Z51" s="3">
        <f>Y51*G51</f>
        <v>763298.26799999981</v>
      </c>
      <c r="AA51" s="34">
        <v>43516</v>
      </c>
      <c r="AB51" s="3"/>
      <c r="AC51" s="35"/>
    </row>
    <row r="52" spans="1:32" x14ac:dyDescent="0.25">
      <c r="A52" s="147"/>
      <c r="B52" s="27" t="s">
        <v>26</v>
      </c>
      <c r="C52" t="s">
        <v>27</v>
      </c>
      <c r="D52" s="28" t="s">
        <v>2346</v>
      </c>
      <c r="E52">
        <f>149+110</f>
        <v>259</v>
      </c>
      <c r="F52" s="29">
        <f>16510+11680</f>
        <v>28190</v>
      </c>
      <c r="G52" s="30">
        <f>11380+10930</f>
        <v>22310</v>
      </c>
      <c r="H52" s="30">
        <f t="shared" si="31"/>
        <v>-5880</v>
      </c>
      <c r="I52" s="28" t="s">
        <v>2345</v>
      </c>
      <c r="K52" s="31"/>
      <c r="L52" s="31">
        <v>43511</v>
      </c>
      <c r="M52" s="28" t="s">
        <v>45</v>
      </c>
      <c r="O52" s="2">
        <v>26.5</v>
      </c>
      <c r="P52" s="32"/>
      <c r="Q52" s="140">
        <v>21300</v>
      </c>
      <c r="R52" s="2">
        <f>72*E52</f>
        <v>18648</v>
      </c>
      <c r="S52" s="33">
        <f>-38*E52</f>
        <v>-9842</v>
      </c>
      <c r="T52" s="141">
        <f>X52*F52*0.0045</f>
        <v>4426.1989592111149</v>
      </c>
      <c r="U52" s="2">
        <f>E52*5</f>
        <v>1295</v>
      </c>
      <c r="W52" s="2">
        <v>0.3</v>
      </c>
      <c r="X52" s="2">
        <f>((O52*F52)+Q52+R52+S52+U52)/G52</f>
        <v>34.891797400268935</v>
      </c>
      <c r="Y52" s="2">
        <f>((O52*F52)+Q52+R52+S52+T52+U52)/G52+W52</f>
        <v>35.390192692030972</v>
      </c>
      <c r="Z52" s="3">
        <f>Y52*G52</f>
        <v>789555.198959211</v>
      </c>
      <c r="AA52" s="34">
        <v>43524</v>
      </c>
      <c r="AB52" s="3"/>
      <c r="AC52" s="35" t="s">
        <v>2353</v>
      </c>
    </row>
    <row r="53" spans="1:32" x14ac:dyDescent="0.25">
      <c r="A53" s="147"/>
      <c r="B53" s="27" t="s">
        <v>30</v>
      </c>
      <c r="C53" t="s">
        <v>40</v>
      </c>
      <c r="D53" s="28" t="s">
        <v>40</v>
      </c>
      <c r="E53" t="s">
        <v>37</v>
      </c>
      <c r="F53" s="29">
        <f>42863*0.4536</f>
        <v>19442.656800000001</v>
      </c>
      <c r="G53" s="30">
        <v>19378.97</v>
      </c>
      <c r="H53" s="30">
        <f t="shared" si="31"/>
        <v>-63.686799999999494</v>
      </c>
      <c r="I53" s="28" t="s">
        <v>2174</v>
      </c>
      <c r="J53" s="52" t="s">
        <v>196</v>
      </c>
      <c r="K53" s="31">
        <v>43511</v>
      </c>
      <c r="L53" s="31">
        <v>43512</v>
      </c>
      <c r="M53" s="28" t="s">
        <v>46</v>
      </c>
      <c r="N53" s="28" t="s">
        <v>2167</v>
      </c>
      <c r="O53" s="2"/>
      <c r="P53" s="32">
        <f>0.4489+0.105</f>
        <v>0.55390000000000006</v>
      </c>
      <c r="Q53" s="140">
        <v>26000</v>
      </c>
      <c r="R53" s="2">
        <v>92659</v>
      </c>
      <c r="S53" s="68">
        <v>19.122</v>
      </c>
      <c r="T53" s="141">
        <f>X53*F53*0.005</f>
        <v>2876.8802811875444</v>
      </c>
      <c r="V53" s="2">
        <v>0.12</v>
      </c>
      <c r="W53" s="2">
        <v>0.3</v>
      </c>
      <c r="X53" s="2">
        <f>IF(O53&gt;0,O53,((P53*2.2046*S53)+(Q53+R53)/G53)+V53)</f>
        <v>29.593489313533986</v>
      </c>
      <c r="Y53" s="2">
        <f>IF(O53&gt;0,O53,((P53*2.2046*S53)+(Q53+R53+T53)/G53)+V53+W53)</f>
        <v>30.041943038432034</v>
      </c>
      <c r="Z53" s="3">
        <f>Y53*F53</f>
        <v>584095.18810138328</v>
      </c>
      <c r="AA53" s="34">
        <v>43507</v>
      </c>
      <c r="AB53" s="3"/>
      <c r="AC53" s="35"/>
    </row>
    <row r="54" spans="1:32" ht="15.75" thickBot="1" x14ac:dyDescent="0.3">
      <c r="A54" s="148"/>
      <c r="B54" s="41"/>
      <c r="C54" s="4"/>
      <c r="D54" s="4"/>
      <c r="E54" s="4"/>
      <c r="F54" s="42"/>
      <c r="G54" s="42"/>
      <c r="H54" s="42"/>
      <c r="I54" s="7"/>
      <c r="J54" s="4"/>
      <c r="K54" s="8"/>
      <c r="L54" s="8"/>
      <c r="M54" s="4"/>
      <c r="N54" s="4"/>
      <c r="O54" s="9"/>
      <c r="P54" s="10"/>
      <c r="Q54" s="9"/>
      <c r="R54" s="9"/>
      <c r="S54" s="9"/>
      <c r="T54" s="9"/>
      <c r="U54" s="9"/>
      <c r="V54" s="9"/>
      <c r="W54" s="9"/>
      <c r="X54" s="9"/>
      <c r="Y54" s="9"/>
      <c r="Z54" s="13"/>
      <c r="AA54" s="43"/>
      <c r="AB54" s="3"/>
      <c r="AC54" s="35"/>
    </row>
    <row r="55" spans="1:32" ht="15.75" thickTop="1" x14ac:dyDescent="0.25">
      <c r="A55" s="150"/>
      <c r="B55" s="14" t="s">
        <v>26</v>
      </c>
      <c r="C55" s="14" t="s">
        <v>27</v>
      </c>
      <c r="D55" s="15" t="s">
        <v>1829</v>
      </c>
      <c r="E55" s="14">
        <v>200</v>
      </c>
      <c r="F55" s="16">
        <v>22740</v>
      </c>
      <c r="G55" s="17">
        <v>18110</v>
      </c>
      <c r="H55" s="18">
        <f t="shared" ref="H55:H66" si="32">G55-F55</f>
        <v>-4630</v>
      </c>
      <c r="I55" s="19" t="s">
        <v>2375</v>
      </c>
      <c r="J55" s="121" t="s">
        <v>2394</v>
      </c>
      <c r="K55" s="20"/>
      <c r="L55" s="20">
        <v>43513</v>
      </c>
      <c r="M55" s="15" t="s">
        <v>28</v>
      </c>
      <c r="N55" s="14"/>
      <c r="O55" s="21">
        <v>26.5</v>
      </c>
      <c r="P55" s="22"/>
      <c r="Q55" s="139">
        <v>21300</v>
      </c>
      <c r="R55" s="2">
        <f>72*E55</f>
        <v>14400</v>
      </c>
      <c r="S55" s="21">
        <f>-38*E55</f>
        <v>-7600</v>
      </c>
      <c r="T55" s="157">
        <f>X55*F55*0.0045</f>
        <v>3569.4579955825507</v>
      </c>
      <c r="U55" s="21">
        <f>E55*5</f>
        <v>1000</v>
      </c>
      <c r="V55" s="14"/>
      <c r="W55" s="21">
        <v>0.3</v>
      </c>
      <c r="X55" s="21">
        <f>((O55*F55)+Q55+R55+S55+U55)/G55</f>
        <v>34.881833241303148</v>
      </c>
      <c r="Y55" s="24">
        <f>((O55*F55)+Q55+R55+S55+T55+U55)/G55+W55</f>
        <v>35.378931971042661</v>
      </c>
      <c r="Z55" s="24">
        <f>Y55*G55</f>
        <v>640712.4579955826</v>
      </c>
      <c r="AA55" s="25">
        <v>43528</v>
      </c>
      <c r="AB55" s="3"/>
      <c r="AC55" s="3"/>
    </row>
    <row r="56" spans="1:32" x14ac:dyDescent="0.25">
      <c r="A56" s="151"/>
      <c r="B56" s="27" t="s">
        <v>26</v>
      </c>
      <c r="C56" t="s">
        <v>27</v>
      </c>
      <c r="D56" s="28" t="s">
        <v>1684</v>
      </c>
      <c r="E56">
        <v>130</v>
      </c>
      <c r="F56" s="29">
        <v>15770</v>
      </c>
      <c r="G56" s="30">
        <v>12160</v>
      </c>
      <c r="H56" s="30">
        <f t="shared" si="32"/>
        <v>-3610</v>
      </c>
      <c r="I56" s="28" t="s">
        <v>2376</v>
      </c>
      <c r="K56" s="31"/>
      <c r="L56" s="31">
        <v>43513</v>
      </c>
      <c r="M56" s="28" t="s">
        <v>28</v>
      </c>
      <c r="O56" s="2">
        <v>26.5</v>
      </c>
      <c r="P56" s="32"/>
      <c r="Q56" s="140">
        <v>16900</v>
      </c>
      <c r="R56" s="2">
        <f>72*E56</f>
        <v>9360</v>
      </c>
      <c r="S56" s="33">
        <f>-38*E56</f>
        <v>-4940</v>
      </c>
      <c r="T56" s="141">
        <f>X56*F56*0.0045</f>
        <v>2567.0830078125</v>
      </c>
      <c r="U56" s="2">
        <f>E56*5</f>
        <v>650</v>
      </c>
      <c r="W56" s="2">
        <v>0.3</v>
      </c>
      <c r="X56" s="2">
        <f>((O56*F56)+Q56+R56+S56+U56)/G56</f>
        <v>36.17393092105263</v>
      </c>
      <c r="Y56" s="2">
        <f>((O56*F56)+Q56+R56+S56+T56+U56)/G56+W56</f>
        <v>36.685039721037207</v>
      </c>
      <c r="Z56" s="3">
        <f>Y56*G56</f>
        <v>446090.08300781244</v>
      </c>
      <c r="AA56" s="34">
        <v>43528</v>
      </c>
      <c r="AB56" s="3">
        <v>35.9</v>
      </c>
      <c r="AC56" s="35" t="s">
        <v>2377</v>
      </c>
    </row>
    <row r="57" spans="1:32" x14ac:dyDescent="0.25">
      <c r="A57" s="151"/>
      <c r="B57" s="27" t="s">
        <v>26</v>
      </c>
      <c r="C57" t="s">
        <v>27</v>
      </c>
      <c r="D57" s="28" t="s">
        <v>2382</v>
      </c>
      <c r="E57">
        <f>220+30</f>
        <v>250</v>
      </c>
      <c r="F57" s="29">
        <f>24425+3480</f>
        <v>27905</v>
      </c>
      <c r="G57" s="30">
        <f>15760+6070</f>
        <v>21830</v>
      </c>
      <c r="H57" s="30">
        <f t="shared" si="32"/>
        <v>-6075</v>
      </c>
      <c r="I57" s="28" t="s">
        <v>2383</v>
      </c>
      <c r="K57" s="31"/>
      <c r="L57" s="31">
        <v>43514</v>
      </c>
      <c r="M57" s="28" t="s">
        <v>29</v>
      </c>
      <c r="O57" s="2">
        <v>26.5</v>
      </c>
      <c r="P57" s="32"/>
      <c r="Q57" s="138">
        <v>21300</v>
      </c>
      <c r="R57" s="2">
        <f>72*E57</f>
        <v>18000</v>
      </c>
      <c r="S57" s="33">
        <f>-38*E57</f>
        <v>-9500</v>
      </c>
      <c r="T57" s="141">
        <f>X57*F57*0.0045</f>
        <v>4432.3267226866692</v>
      </c>
      <c r="U57" s="2">
        <f>E57*5</f>
        <v>1250</v>
      </c>
      <c r="W57" s="2">
        <v>0.3</v>
      </c>
      <c r="X57" s="2">
        <f>((O57*F57)+Q57+R57+S57+U57)/G57</f>
        <v>35.29695373339441</v>
      </c>
      <c r="Y57" s="2">
        <f>((O57*F57)+Q57+R57+S57+T57+U57)/G57+W57</f>
        <v>35.799992062422653</v>
      </c>
      <c r="Z57" s="3">
        <f>Y57*G57</f>
        <v>781513.82672268653</v>
      </c>
      <c r="AA57" s="34">
        <v>43528</v>
      </c>
      <c r="AB57" s="3"/>
      <c r="AC57" s="35" t="s">
        <v>2385</v>
      </c>
    </row>
    <row r="58" spans="1:32" x14ac:dyDescent="0.25">
      <c r="A58" s="151"/>
      <c r="B58" s="27" t="s">
        <v>1732</v>
      </c>
      <c r="C58" t="s">
        <v>1733</v>
      </c>
      <c r="D58" s="28" t="s">
        <v>2367</v>
      </c>
      <c r="E58" t="s">
        <v>2368</v>
      </c>
      <c r="F58" s="29">
        <v>18506.55</v>
      </c>
      <c r="G58" s="30">
        <v>18507</v>
      </c>
      <c r="H58" s="30">
        <f t="shared" si="32"/>
        <v>0.4500000000007276</v>
      </c>
      <c r="I58" s="28" t="s">
        <v>2366</v>
      </c>
      <c r="K58" s="31"/>
      <c r="L58" s="31">
        <v>43514</v>
      </c>
      <c r="M58" s="28" t="s">
        <v>29</v>
      </c>
      <c r="O58" s="2">
        <v>59.8</v>
      </c>
      <c r="P58" s="32"/>
      <c r="Q58" s="2"/>
      <c r="R58" s="2"/>
      <c r="S58" s="33"/>
      <c r="T58" s="33"/>
      <c r="U58" s="2"/>
      <c r="W58" s="2"/>
      <c r="X58" s="2">
        <f>IF(O58&gt;0,O58,((P58*2.2046*S58)+(Q58+R58)/G58)+V58)</f>
        <v>59.8</v>
      </c>
      <c r="Y58" s="2">
        <f>IF(O58&gt;0,O58,((P58*2.2046*S58)+(Q58+R58+T58)/G58)+V58+W58)</f>
        <v>59.8</v>
      </c>
      <c r="Z58" s="3">
        <f>Y58*F58</f>
        <v>1106691.69</v>
      </c>
      <c r="AA58" s="34">
        <v>43528</v>
      </c>
      <c r="AB58" s="3"/>
      <c r="AC58" s="35"/>
    </row>
    <row r="59" spans="1:32" x14ac:dyDescent="0.25">
      <c r="A59" s="151"/>
      <c r="B59" s="27" t="s">
        <v>2447</v>
      </c>
      <c r="C59" t="s">
        <v>2448</v>
      </c>
      <c r="D59" s="28" t="s">
        <v>1806</v>
      </c>
      <c r="E59" t="s">
        <v>1914</v>
      </c>
      <c r="F59" s="29">
        <v>1000</v>
      </c>
      <c r="G59" s="30">
        <v>1000</v>
      </c>
      <c r="H59" s="30">
        <f t="shared" si="32"/>
        <v>0</v>
      </c>
      <c r="I59" s="28" t="s">
        <v>2446</v>
      </c>
      <c r="K59" s="31"/>
      <c r="L59" s="31">
        <v>43514</v>
      </c>
      <c r="M59" s="28" t="s">
        <v>29</v>
      </c>
      <c r="O59" s="2">
        <v>29.5</v>
      </c>
      <c r="P59" s="32"/>
      <c r="Q59" s="2"/>
      <c r="R59" s="2"/>
      <c r="S59" s="33"/>
      <c r="T59" s="33"/>
      <c r="U59" s="2"/>
      <c r="W59" s="2"/>
      <c r="X59" s="2">
        <f>IF(O59&gt;0,O59,((P59*2.2046*S59)+(Q59+R59)/G59)+V59)</f>
        <v>29.5</v>
      </c>
      <c r="Y59" s="2">
        <f>IF(O59&gt;0,O59,((P59*2.2046*S59)+(Q59+R59+T59)/G59)+V59+W59)</f>
        <v>29.5</v>
      </c>
      <c r="Z59" s="3">
        <f>Y59*F59</f>
        <v>29500</v>
      </c>
      <c r="AA59" s="34">
        <v>43523</v>
      </c>
      <c r="AB59" s="3"/>
      <c r="AC59" s="35"/>
    </row>
    <row r="60" spans="1:32" x14ac:dyDescent="0.25">
      <c r="A60" s="151"/>
      <c r="B60" s="27" t="s">
        <v>30</v>
      </c>
      <c r="C60" s="28" t="s">
        <v>1790</v>
      </c>
      <c r="D60" s="28" t="s">
        <v>1790</v>
      </c>
      <c r="E60" t="s">
        <v>32</v>
      </c>
      <c r="F60" s="29">
        <f>41699*0.4536</f>
        <v>18914.666400000002</v>
      </c>
      <c r="G60" s="30">
        <v>18781.28</v>
      </c>
      <c r="H60" s="30">
        <f t="shared" si="32"/>
        <v>-133.38640000000305</v>
      </c>
      <c r="I60" s="28" t="s">
        <v>2177</v>
      </c>
      <c r="J60" s="52" t="s">
        <v>196</v>
      </c>
      <c r="K60" s="31">
        <v>43514</v>
      </c>
      <c r="L60" s="31">
        <v>43515</v>
      </c>
      <c r="M60" s="28" t="s">
        <v>48</v>
      </c>
      <c r="N60" s="28" t="s">
        <v>2175</v>
      </c>
      <c r="O60" s="2"/>
      <c r="P60" s="32">
        <f>0.43+0.095</f>
        <v>0.52500000000000002</v>
      </c>
      <c r="Q60" s="140">
        <v>26000</v>
      </c>
      <c r="R60" s="2">
        <v>85599</v>
      </c>
      <c r="S60" s="68">
        <v>19.100999999999999</v>
      </c>
      <c r="T60" s="141">
        <f t="shared" ref="T60" si="33">X60*F60*0.005</f>
        <v>2664.1135202837131</v>
      </c>
      <c r="V60" s="2">
        <v>0.12</v>
      </c>
      <c r="W60" s="2">
        <v>0.3</v>
      </c>
      <c r="X60" s="2">
        <f>IF(O60&gt;0,O60,((P60*2.2046*S60)+(Q60+R60)/G60)+V60)</f>
        <v>28.169817684796307</v>
      </c>
      <c r="Y60" s="2">
        <f>IF(O60&gt;0,O60,((P60*2.2046*S60)+(Q60+R60+T60)/G60)+V60+W60)</f>
        <v>28.611667096566098</v>
      </c>
      <c r="Z60" s="3">
        <f>Y60*F60</f>
        <v>541180.13827940437</v>
      </c>
      <c r="AA60" s="34">
        <v>43507</v>
      </c>
      <c r="AB60" s="3"/>
      <c r="AC60" s="35"/>
    </row>
    <row r="61" spans="1:32" x14ac:dyDescent="0.25">
      <c r="A61" s="151"/>
      <c r="B61" s="27" t="s">
        <v>30</v>
      </c>
      <c r="C61" s="28" t="s">
        <v>35</v>
      </c>
      <c r="D61" s="28" t="s">
        <v>36</v>
      </c>
      <c r="E61" t="s">
        <v>37</v>
      </c>
      <c r="F61" s="29">
        <f>40997*0.4536</f>
        <v>18596.2392</v>
      </c>
      <c r="G61" s="30">
        <v>18923.27</v>
      </c>
      <c r="H61" s="30">
        <f t="shared" si="32"/>
        <v>327.03080000000045</v>
      </c>
      <c r="I61" t="s">
        <v>2178</v>
      </c>
      <c r="J61" s="52" t="s">
        <v>196</v>
      </c>
      <c r="K61" s="31">
        <v>43514</v>
      </c>
      <c r="L61" s="31">
        <v>43515</v>
      </c>
      <c r="M61" s="28" t="s">
        <v>48</v>
      </c>
      <c r="N61" s="28" t="s">
        <v>2176</v>
      </c>
      <c r="O61" s="2"/>
      <c r="P61" s="32">
        <f>0.43+0.1</f>
        <v>0.53</v>
      </c>
      <c r="Q61" s="140">
        <v>26000</v>
      </c>
      <c r="R61" s="2">
        <v>88636</v>
      </c>
      <c r="S61" s="68">
        <v>19.206</v>
      </c>
      <c r="T61" s="141">
        <f>X61*F61*0.005</f>
        <v>2661.0249819175974</v>
      </c>
      <c r="V61" s="2">
        <v>0.12</v>
      </c>
      <c r="W61" s="2">
        <v>0.3</v>
      </c>
      <c r="X61" s="2">
        <f>IF(O61&gt;0,O61,((P61*2.2046*S61)+(Q61+R61)/G61)+V61)</f>
        <v>28.618958417329861</v>
      </c>
      <c r="Y61" s="2">
        <f>IF(O61&gt;0,O61,((P61*2.2046*S61)+(Q61+R61+T61)/G61)+V61+W61)</f>
        <v>29.059580253931969</v>
      </c>
      <c r="Z61" s="3">
        <f>Y61*F61</f>
        <v>540398.90545371559</v>
      </c>
      <c r="AA61" s="34">
        <v>43518</v>
      </c>
      <c r="AB61" s="3"/>
      <c r="AC61" s="35"/>
    </row>
    <row r="62" spans="1:32" x14ac:dyDescent="0.25">
      <c r="A62" s="151"/>
      <c r="B62" s="27" t="s">
        <v>26</v>
      </c>
      <c r="C62" t="s">
        <v>27</v>
      </c>
      <c r="D62" s="28" t="s">
        <v>1871</v>
      </c>
      <c r="E62">
        <v>200</v>
      </c>
      <c r="F62" s="29">
        <v>22850</v>
      </c>
      <c r="G62" s="30">
        <v>18280</v>
      </c>
      <c r="H62" s="30">
        <f t="shared" si="32"/>
        <v>-4570</v>
      </c>
      <c r="I62" s="28" t="s">
        <v>2387</v>
      </c>
      <c r="K62" s="31"/>
      <c r="L62" s="31">
        <v>43515</v>
      </c>
      <c r="M62" s="28" t="s">
        <v>48</v>
      </c>
      <c r="O62" s="2">
        <v>26.5</v>
      </c>
      <c r="P62" s="32"/>
      <c r="Q62" s="138">
        <v>21300</v>
      </c>
      <c r="R62" s="2">
        <f>72*E62</f>
        <v>14400</v>
      </c>
      <c r="S62" s="33">
        <f>-38*E62</f>
        <v>-7600</v>
      </c>
      <c r="T62" s="141">
        <f>X62*F62*0.005</f>
        <v>3966.40625</v>
      </c>
      <c r="U62" s="2">
        <f>E62*5</f>
        <v>1000</v>
      </c>
      <c r="W62" s="2">
        <v>0.3</v>
      </c>
      <c r="X62" s="2">
        <f>((O62*F62)+Q62+R62+S62+U62)/G62</f>
        <v>34.716903719912473</v>
      </c>
      <c r="Y62" s="2">
        <f>((O62*F62)+Q62+R62+S62+T62+U62)/G62+W62</f>
        <v>35.233884368161924</v>
      </c>
      <c r="Z62" s="3">
        <f>Y62*G62</f>
        <v>644075.40625</v>
      </c>
      <c r="AA62" s="34">
        <v>43529</v>
      </c>
      <c r="AB62" s="3"/>
      <c r="AC62" s="35"/>
      <c r="AF62" s="30"/>
    </row>
    <row r="63" spans="1:32" x14ac:dyDescent="0.25">
      <c r="A63" s="151"/>
      <c r="B63" s="27" t="s">
        <v>30</v>
      </c>
      <c r="C63" s="28" t="s">
        <v>31</v>
      </c>
      <c r="D63" s="28" t="s">
        <v>31</v>
      </c>
      <c r="E63" t="s">
        <v>32</v>
      </c>
      <c r="F63" s="29">
        <f>41208*0.4536</f>
        <v>18691.948800000002</v>
      </c>
      <c r="G63" s="30">
        <v>18696.77</v>
      </c>
      <c r="H63" s="30">
        <f t="shared" si="32"/>
        <v>4.8211999999984982</v>
      </c>
      <c r="I63" s="28" t="s">
        <v>2158</v>
      </c>
      <c r="J63" s="52" t="s">
        <v>1690</v>
      </c>
      <c r="K63" s="31">
        <v>43516</v>
      </c>
      <c r="L63" s="31">
        <v>43517</v>
      </c>
      <c r="M63" s="28" t="s">
        <v>41</v>
      </c>
      <c r="N63" s="28" t="s">
        <v>2176</v>
      </c>
      <c r="O63" s="2"/>
      <c r="P63" s="32">
        <f>0.43+0.1</f>
        <v>0.53</v>
      </c>
      <c r="Q63" s="140">
        <v>26000</v>
      </c>
      <c r="R63" s="2">
        <v>83994</v>
      </c>
      <c r="S63" s="68">
        <v>19.323</v>
      </c>
      <c r="T63" s="141">
        <f t="shared" ref="T63:T65" si="34">X63*F63*0.005</f>
        <v>2671.1519823407302</v>
      </c>
      <c r="V63" s="2">
        <v>0.12</v>
      </c>
      <c r="W63" s="2">
        <v>0.3</v>
      </c>
      <c r="X63" s="2">
        <f>IF(O63&gt;0,O63,((P63*2.2046*S63)+(Q63+R63)/G63)+V63)</f>
        <v>28.580775722440777</v>
      </c>
      <c r="Y63" s="2">
        <f>IF(O63&gt;0,O63,((P63*2.2046*S63)+(Q63+R63+T63)/G63)+V63+W63)</f>
        <v>29.023642751469897</v>
      </c>
      <c r="Z63" s="3">
        <f>Y63*F63</f>
        <v>542508.44429996645</v>
      </c>
      <c r="AA63" s="34">
        <v>43509</v>
      </c>
      <c r="AB63" s="3"/>
      <c r="AC63" s="35"/>
    </row>
    <row r="64" spans="1:32" x14ac:dyDescent="0.25">
      <c r="A64" s="151"/>
      <c r="B64" s="27" t="s">
        <v>30</v>
      </c>
      <c r="C64" s="28" t="s">
        <v>40</v>
      </c>
      <c r="D64" s="28" t="s">
        <v>40</v>
      </c>
      <c r="E64" t="s">
        <v>37</v>
      </c>
      <c r="F64" s="29">
        <f>42193*0.4536</f>
        <v>19138.7448</v>
      </c>
      <c r="G64" s="30">
        <v>19145.45</v>
      </c>
      <c r="H64" s="30">
        <f t="shared" si="32"/>
        <v>6.7052000000003318</v>
      </c>
      <c r="I64" s="28" t="s">
        <v>2179</v>
      </c>
      <c r="J64" s="52" t="s">
        <v>196</v>
      </c>
      <c r="K64" s="31">
        <v>43514</v>
      </c>
      <c r="L64" s="31">
        <v>43515</v>
      </c>
      <c r="M64" s="28" t="s">
        <v>48</v>
      </c>
      <c r="N64" s="28" t="s">
        <v>2181</v>
      </c>
      <c r="O64" s="2"/>
      <c r="P64" s="32">
        <f>0.4191+0.105</f>
        <v>0.52410000000000001</v>
      </c>
      <c r="Q64" s="140">
        <v>26000</v>
      </c>
      <c r="R64" s="2">
        <v>86322</v>
      </c>
      <c r="S64" s="68">
        <v>19.321999999999999</v>
      </c>
      <c r="T64" s="141">
        <f t="shared" si="34"/>
        <v>2709.2814411502959</v>
      </c>
      <c r="V64" s="2">
        <v>0.12</v>
      </c>
      <c r="W64" s="2">
        <v>0.3</v>
      </c>
      <c r="X64" s="2">
        <f t="shared" ref="X64" si="35">IF(O64&gt;0,O64,((P64*2.2046*S64)+(Q64+R64)/G64)+V64)</f>
        <v>28.312007599895434</v>
      </c>
      <c r="Y64" s="2">
        <f t="shared" ref="Y64" si="36">IF(O64&gt;0,O64,((P64*2.2046*S64)+(Q64+R64+T64)/G64)+V64+W64)</f>
        <v>28.753518060143183</v>
      </c>
      <c r="Z64" s="3">
        <f t="shared" ref="Z64" si="37">Y64*F64</f>
        <v>550306.24425527139</v>
      </c>
      <c r="AA64" s="34">
        <v>43509</v>
      </c>
      <c r="AB64" s="3"/>
      <c r="AC64" s="35"/>
    </row>
    <row r="65" spans="1:29" x14ac:dyDescent="0.25">
      <c r="A65" s="151"/>
      <c r="B65" s="27" t="s">
        <v>26</v>
      </c>
      <c r="C65" t="s">
        <v>27</v>
      </c>
      <c r="D65" s="28" t="s">
        <v>2193</v>
      </c>
      <c r="E65">
        <f>220+29</f>
        <v>249</v>
      </c>
      <c r="F65" s="29">
        <f>24990+3880</f>
        <v>28870</v>
      </c>
      <c r="G65" s="30">
        <f>15890+6770</f>
        <v>22660</v>
      </c>
      <c r="H65" s="30">
        <f t="shared" si="32"/>
        <v>-6210</v>
      </c>
      <c r="I65" s="28" t="s">
        <v>2402</v>
      </c>
      <c r="J65" s="55">
        <v>248</v>
      </c>
      <c r="K65" s="31"/>
      <c r="L65" s="31">
        <v>43516</v>
      </c>
      <c r="M65" s="28" t="s">
        <v>33</v>
      </c>
      <c r="O65" s="2">
        <v>26.5</v>
      </c>
      <c r="P65" s="32"/>
      <c r="Q65" s="138">
        <v>21300</v>
      </c>
      <c r="R65" s="2">
        <f>72*E65</f>
        <v>17928</v>
      </c>
      <c r="S65" s="33">
        <f>-38*E65</f>
        <v>-9462</v>
      </c>
      <c r="T65" s="141">
        <f t="shared" si="34"/>
        <v>5071.1441791703446</v>
      </c>
      <c r="U65" s="2">
        <f>E65*5</f>
        <v>1245</v>
      </c>
      <c r="W65" s="2">
        <v>0.3</v>
      </c>
      <c r="X65" s="2">
        <f t="shared" ref="X65" si="38">((O65*F65)+Q65+R65+S65+U65)/G65</f>
        <v>35.130891438658431</v>
      </c>
      <c r="Y65" s="2">
        <f>((O65*F65)+Q65+R65+S65+T65+U65)/G65+W65</f>
        <v>35.654684209142559</v>
      </c>
      <c r="Z65" s="3">
        <f>Y65*G65</f>
        <v>807935.14417917037</v>
      </c>
      <c r="AA65" s="34">
        <v>43529</v>
      </c>
      <c r="AB65" s="3"/>
      <c r="AC65" s="35" t="s">
        <v>2409</v>
      </c>
    </row>
    <row r="66" spans="1:29" x14ac:dyDescent="0.25">
      <c r="A66" s="151"/>
      <c r="B66" s="27" t="s">
        <v>2449</v>
      </c>
      <c r="C66" s="28" t="s">
        <v>2450</v>
      </c>
      <c r="D66" s="28" t="s">
        <v>1806</v>
      </c>
      <c r="E66" t="s">
        <v>1815</v>
      </c>
      <c r="F66" s="29">
        <f>884+878+848</f>
        <v>2610</v>
      </c>
      <c r="G66" s="30">
        <v>2610</v>
      </c>
      <c r="H66" s="30">
        <f t="shared" si="32"/>
        <v>0</v>
      </c>
      <c r="I66" s="28" t="s">
        <v>2451</v>
      </c>
      <c r="K66" s="31"/>
      <c r="L66" s="31">
        <v>43516</v>
      </c>
      <c r="M66" s="28" t="s">
        <v>33</v>
      </c>
      <c r="O66" s="2">
        <v>17</v>
      </c>
      <c r="P66" s="32"/>
      <c r="Q66" s="2"/>
      <c r="R66" s="2"/>
      <c r="S66" s="33"/>
      <c r="T66" s="33"/>
      <c r="U66" s="2"/>
      <c r="W66" s="2"/>
      <c r="X66" s="2">
        <f>IF(O66&gt;0,O66,((P66*2.2046*S66)+(Q66+R66)/G66)+V66)</f>
        <v>17</v>
      </c>
      <c r="Y66" s="2">
        <f>IF(O66&gt;0,O66,((P66*2.2046*S66)+(Q66+R66+T66)/G66)+V66+W66)</f>
        <v>17</v>
      </c>
      <c r="Z66" s="3">
        <f>Y66*F66</f>
        <v>44370</v>
      </c>
      <c r="AA66" s="34">
        <v>43523</v>
      </c>
      <c r="AB66" s="3"/>
      <c r="AC66" s="35"/>
    </row>
    <row r="67" spans="1:29" x14ac:dyDescent="0.25">
      <c r="A67" s="151"/>
      <c r="B67" s="27" t="s">
        <v>30</v>
      </c>
      <c r="C67" s="28" t="s">
        <v>40</v>
      </c>
      <c r="D67" s="28" t="s">
        <v>40</v>
      </c>
      <c r="E67" t="s">
        <v>37</v>
      </c>
      <c r="F67" s="29">
        <f>42350*0.4536</f>
        <v>19209.96</v>
      </c>
      <c r="G67" s="30">
        <v>19152.73</v>
      </c>
      <c r="H67" s="30">
        <f>G67-F67</f>
        <v>-57.229999999999563</v>
      </c>
      <c r="I67" t="s">
        <v>2180</v>
      </c>
      <c r="J67" s="52" t="s">
        <v>196</v>
      </c>
      <c r="K67" s="31">
        <v>43516</v>
      </c>
      <c r="L67" s="31">
        <v>43517</v>
      </c>
      <c r="M67" s="28" t="s">
        <v>41</v>
      </c>
      <c r="N67" s="28" t="s">
        <v>2181</v>
      </c>
      <c r="O67" s="2"/>
      <c r="P67" s="32">
        <f>0.4191+0.105</f>
        <v>0.52410000000000001</v>
      </c>
      <c r="Q67" s="140">
        <v>26000</v>
      </c>
      <c r="R67" s="2">
        <v>86215</v>
      </c>
      <c r="S67" s="68">
        <v>19.41</v>
      </c>
      <c r="T67" s="141">
        <f>X67*F67*0.005</f>
        <v>2728.3780237809237</v>
      </c>
      <c r="V67" s="2">
        <v>0.12</v>
      </c>
      <c r="W67" s="2">
        <v>0.3</v>
      </c>
      <c r="X67" s="2">
        <f>IF(O67&gt;0,O67,((P67*2.2046*S67)+(Q67+R67)/G67)+V67)</f>
        <v>28.405868869908357</v>
      </c>
      <c r="Y67" s="2">
        <f>IF(O67&gt;0,O67,((P67*2.2046*S67)+(Q67+R67+T67)/G67)+V67+W67)</f>
        <v>28.848322610120896</v>
      </c>
      <c r="Z67" s="3">
        <f>Y67*F67</f>
        <v>554175.12340751803</v>
      </c>
      <c r="AA67" s="34">
        <v>43510</v>
      </c>
      <c r="AB67" s="3"/>
      <c r="AC67" s="35"/>
    </row>
    <row r="68" spans="1:29" x14ac:dyDescent="0.25">
      <c r="A68" s="151"/>
      <c r="B68" s="27" t="s">
        <v>26</v>
      </c>
      <c r="C68" t="s">
        <v>27</v>
      </c>
      <c r="D68" s="28" t="s">
        <v>1720</v>
      </c>
      <c r="E68">
        <v>201</v>
      </c>
      <c r="F68" s="29">
        <v>22620</v>
      </c>
      <c r="G68" s="30">
        <v>17390</v>
      </c>
      <c r="H68" s="30">
        <f t="shared" ref="H68:H70" si="39">G68-F68</f>
        <v>-5230</v>
      </c>
      <c r="I68" s="28" t="s">
        <v>2403</v>
      </c>
      <c r="J68" s="159">
        <v>200</v>
      </c>
      <c r="K68" s="31"/>
      <c r="L68" s="31">
        <v>43517</v>
      </c>
      <c r="M68" s="28" t="s">
        <v>41</v>
      </c>
      <c r="O68" s="2">
        <v>26.5</v>
      </c>
      <c r="P68" s="32"/>
      <c r="Q68" s="138">
        <v>21300</v>
      </c>
      <c r="R68" s="2">
        <f>72*E68</f>
        <v>14472</v>
      </c>
      <c r="S68" s="33">
        <f>-38*E68</f>
        <v>-7638</v>
      </c>
      <c r="T68" s="141">
        <f>X68*F68*0.0045</f>
        <v>3679.243157561817</v>
      </c>
      <c r="U68" s="2">
        <f>E68*5</f>
        <v>1005</v>
      </c>
      <c r="W68" s="2">
        <v>0.3</v>
      </c>
      <c r="X68" s="2">
        <f t="shared" ref="X68" si="40">((O68*F68)+Q68+R68+S68+U68)/G68</f>
        <v>36.145428407130538</v>
      </c>
      <c r="Y68" s="2">
        <f>((O68*F68)+Q68+R68+S68+T68+U68)/G68+W68</f>
        <v>36.657000756616554</v>
      </c>
      <c r="Z68" s="3">
        <f>Y68*G68</f>
        <v>637465.24315756187</v>
      </c>
      <c r="AA68" s="34">
        <v>43530</v>
      </c>
      <c r="AB68" s="3"/>
      <c r="AC68" s="35"/>
    </row>
    <row r="69" spans="1:29" x14ac:dyDescent="0.25">
      <c r="A69" s="151"/>
      <c r="B69" s="27" t="s">
        <v>26</v>
      </c>
      <c r="C69" t="s">
        <v>27</v>
      </c>
      <c r="D69" s="28" t="s">
        <v>1684</v>
      </c>
      <c r="E69">
        <v>130</v>
      </c>
      <c r="F69" s="29">
        <v>16855</v>
      </c>
      <c r="G69" s="30">
        <v>13450</v>
      </c>
      <c r="H69" s="30">
        <f t="shared" si="39"/>
        <v>-3405</v>
      </c>
      <c r="I69" s="28" t="s">
        <v>2404</v>
      </c>
      <c r="K69" s="31"/>
      <c r="L69" s="31">
        <v>43517</v>
      </c>
      <c r="M69" s="28" t="s">
        <v>41</v>
      </c>
      <c r="O69" s="2">
        <v>26.5</v>
      </c>
      <c r="P69" s="32"/>
      <c r="Q69" s="140">
        <v>16900</v>
      </c>
      <c r="R69" s="2">
        <f>72*E69</f>
        <v>9360</v>
      </c>
      <c r="S69" s="33">
        <f>-38*E69</f>
        <v>-4940</v>
      </c>
      <c r="T69" s="141">
        <f>X69*F69*0.0045</f>
        <v>2642.6932569702599</v>
      </c>
      <c r="U69" s="2">
        <f>E69*5</f>
        <v>650</v>
      </c>
      <c r="W69" s="2">
        <v>0.3</v>
      </c>
      <c r="X69" s="2">
        <f>((O69*F69)+Q69+R69+S69+U69)/G69</f>
        <v>34.842193308550186</v>
      </c>
      <c r="Y69" s="2">
        <f>((O69*F69)+Q69+R69+S69+T69+U69)/G69+W69</f>
        <v>35.338676078585145</v>
      </c>
      <c r="Z69" s="3">
        <f>Y69*G69</f>
        <v>475305.1932569702</v>
      </c>
      <c r="AA69" s="34">
        <v>43530</v>
      </c>
      <c r="AB69" s="3"/>
      <c r="AC69" s="35" t="s">
        <v>2410</v>
      </c>
    </row>
    <row r="70" spans="1:29" x14ac:dyDescent="0.25">
      <c r="A70" s="151"/>
      <c r="B70" s="27" t="s">
        <v>1729</v>
      </c>
      <c r="C70" t="s">
        <v>2443</v>
      </c>
      <c r="D70" s="28" t="s">
        <v>1734</v>
      </c>
      <c r="E70" t="s">
        <v>2444</v>
      </c>
      <c r="F70" s="29">
        <v>3007.44</v>
      </c>
      <c r="G70" s="30">
        <v>3007.44</v>
      </c>
      <c r="H70" s="30">
        <f t="shared" si="39"/>
        <v>0</v>
      </c>
      <c r="I70" s="28" t="s">
        <v>2461</v>
      </c>
      <c r="K70" s="31"/>
      <c r="L70" s="31">
        <v>43517</v>
      </c>
      <c r="M70" s="28" t="s">
        <v>41</v>
      </c>
      <c r="O70" s="2">
        <v>89.5</v>
      </c>
      <c r="P70" s="32"/>
      <c r="Q70" s="2"/>
      <c r="R70" s="2"/>
      <c r="S70" s="33"/>
      <c r="T70" s="33"/>
      <c r="U70" s="2"/>
      <c r="W70" s="2"/>
      <c r="X70" s="2">
        <f>IF(O70&gt;0,O70,((P70*2.2046*S70)+(Q70+R70)/G70)+V70)</f>
        <v>89.5</v>
      </c>
      <c r="Y70" s="2">
        <f>IF(O70&gt;0,O70,((P70*2.2046*S70)+(Q70+R70+T70)/G70)+V70+W70)</f>
        <v>89.5</v>
      </c>
      <c r="Z70" s="3">
        <f>Y70*F70</f>
        <v>269165.88</v>
      </c>
      <c r="AA70" s="34">
        <v>43524</v>
      </c>
      <c r="AB70" s="3"/>
      <c r="AC70" s="35"/>
    </row>
    <row r="71" spans="1:29" x14ac:dyDescent="0.25">
      <c r="A71" s="151"/>
      <c r="B71" s="27" t="s">
        <v>30</v>
      </c>
      <c r="C71" s="28" t="s">
        <v>1790</v>
      </c>
      <c r="D71" s="28" t="s">
        <v>1790</v>
      </c>
      <c r="E71" t="s">
        <v>32</v>
      </c>
      <c r="F71" s="29">
        <f>41308*0.4536</f>
        <v>18737.308799999999</v>
      </c>
      <c r="G71" s="30">
        <v>18670.97</v>
      </c>
      <c r="H71" s="30">
        <f>G71-F71</f>
        <v>-66.338799999997718</v>
      </c>
      <c r="I71" s="28" t="s">
        <v>2182</v>
      </c>
      <c r="J71" s="52" t="s">
        <v>196</v>
      </c>
      <c r="K71" s="31">
        <v>43517</v>
      </c>
      <c r="L71" s="31">
        <v>43518</v>
      </c>
      <c r="M71" s="28" t="s">
        <v>45</v>
      </c>
      <c r="N71" s="28" t="s">
        <v>2184</v>
      </c>
      <c r="O71" s="2"/>
      <c r="P71" s="32">
        <f>0.4191+0.095</f>
        <v>0.5141</v>
      </c>
      <c r="Q71" s="140">
        <v>26000</v>
      </c>
      <c r="R71" s="2">
        <v>82507</v>
      </c>
      <c r="S71" s="68">
        <v>19.329999999999998</v>
      </c>
      <c r="T71" s="141">
        <f>X71*F71*0.005</f>
        <v>2608.2206976821749</v>
      </c>
      <c r="V71" s="2">
        <v>0.12</v>
      </c>
      <c r="W71" s="2">
        <v>0.3</v>
      </c>
      <c r="X71" s="2">
        <f>IF(O71&gt;0,O71,((P71*2.2046*S71)+(Q71+R71)/G71)+V71)</f>
        <v>27.839864577373831</v>
      </c>
      <c r="Y71" s="2">
        <f>IF(O71&gt;0,O71,((P71*2.2046*S71)+(Q71+R71+T71)/G71)+V71+W71)</f>
        <v>28.279558481744207</v>
      </c>
      <c r="Z71" s="3">
        <f>Y71*F71</f>
        <v>529882.8200001003</v>
      </c>
      <c r="AA71" s="34">
        <v>43508</v>
      </c>
      <c r="AB71" s="3"/>
      <c r="AC71" s="35"/>
    </row>
    <row r="72" spans="1:29" x14ac:dyDescent="0.25">
      <c r="A72" s="151"/>
      <c r="B72" s="27" t="s">
        <v>30</v>
      </c>
      <c r="C72" s="28" t="s">
        <v>35</v>
      </c>
      <c r="D72" s="28" t="s">
        <v>36</v>
      </c>
      <c r="E72" t="s">
        <v>37</v>
      </c>
      <c r="F72" s="29">
        <f>41585*0.4536</f>
        <v>18862.956000000002</v>
      </c>
      <c r="G72" s="30">
        <v>18506.87</v>
      </c>
      <c r="H72" s="122">
        <f>G72-F72</f>
        <v>-356.08600000000297</v>
      </c>
      <c r="I72" t="s">
        <v>2183</v>
      </c>
      <c r="J72" s="52" t="s">
        <v>196</v>
      </c>
      <c r="K72" s="31">
        <v>43517</v>
      </c>
      <c r="L72" s="31">
        <v>43518</v>
      </c>
      <c r="M72" s="28" t="s">
        <v>45</v>
      </c>
      <c r="N72" s="28" t="s">
        <v>2185</v>
      </c>
      <c r="O72" s="2"/>
      <c r="P72" s="32">
        <f>0.4193+0.1</f>
        <v>0.51929999999999998</v>
      </c>
      <c r="Q72" s="140">
        <v>26000</v>
      </c>
      <c r="R72" s="2">
        <v>83808</v>
      </c>
      <c r="S72" s="68">
        <v>19.14</v>
      </c>
      <c r="T72" s="141">
        <f>X72*F72*0.005</f>
        <v>2637.5854313061222</v>
      </c>
      <c r="V72" s="2">
        <v>0.12</v>
      </c>
      <c r="W72" s="2">
        <v>0.3</v>
      </c>
      <c r="X72" s="2">
        <f>IF(O72&gt;0,O72,((P72*2.2046*S72)+(Q72+R72)/G72)+V72)</f>
        <v>27.965769853952075</v>
      </c>
      <c r="Y72" s="2">
        <f>IF(O72&gt;0,O72,((P72*2.2046*S72)+(Q72+R72+T72)/G72)+V72+W72)</f>
        <v>28.408289114708005</v>
      </c>
      <c r="Z72" s="3">
        <f>Y72*F72</f>
        <v>535864.30760601605</v>
      </c>
      <c r="AA72" s="34">
        <v>43514</v>
      </c>
      <c r="AB72" s="3"/>
      <c r="AC72" s="35"/>
    </row>
    <row r="73" spans="1:29" x14ac:dyDescent="0.25">
      <c r="A73" s="151"/>
      <c r="B73" s="27" t="s">
        <v>26</v>
      </c>
      <c r="C73" t="s">
        <v>27</v>
      </c>
      <c r="D73" s="28" t="s">
        <v>44</v>
      </c>
      <c r="E73">
        <v>239</v>
      </c>
      <c r="F73" s="29">
        <v>20970</v>
      </c>
      <c r="G73" s="30">
        <v>20930</v>
      </c>
      <c r="H73" s="30">
        <f t="shared" ref="H73:H75" si="41">G73-F73</f>
        <v>-40</v>
      </c>
      <c r="I73" s="28" t="s">
        <v>2411</v>
      </c>
      <c r="K73" s="31"/>
      <c r="L73" s="31">
        <v>43518</v>
      </c>
      <c r="M73" s="28" t="s">
        <v>45</v>
      </c>
      <c r="O73" s="2">
        <v>35.4</v>
      </c>
      <c r="P73" s="32"/>
      <c r="Q73" s="2"/>
      <c r="R73" s="2"/>
      <c r="S73" s="33"/>
      <c r="T73" s="33"/>
      <c r="U73" s="2">
        <f>E73*5</f>
        <v>1195</v>
      </c>
      <c r="W73" s="2">
        <v>0.3</v>
      </c>
      <c r="X73" s="2">
        <f>((O73*F73)+Q73+R73+S73+U73)/G73</f>
        <v>35.524749163879598</v>
      </c>
      <c r="Y73" s="2">
        <f>((O73*F73)+Q73+R73+S73+T73+U73)/G73+W73</f>
        <v>35.824749163879595</v>
      </c>
      <c r="Z73" s="3">
        <f>Y73*G73</f>
        <v>749811.99999999988</v>
      </c>
      <c r="AA73" s="34">
        <v>43523</v>
      </c>
      <c r="AB73" s="3"/>
      <c r="AC73" s="35"/>
    </row>
    <row r="74" spans="1:29" x14ac:dyDescent="0.25">
      <c r="A74" s="151"/>
      <c r="B74" s="27" t="s">
        <v>26</v>
      </c>
      <c r="C74" t="s">
        <v>27</v>
      </c>
      <c r="D74" s="28" t="s">
        <v>1684</v>
      </c>
      <c r="E74">
        <v>130</v>
      </c>
      <c r="F74" s="29">
        <v>15395</v>
      </c>
      <c r="G74" s="30">
        <v>12320</v>
      </c>
      <c r="H74" s="30">
        <f t="shared" si="41"/>
        <v>-3075</v>
      </c>
      <c r="I74" s="28" t="s">
        <v>2405</v>
      </c>
      <c r="K74" s="31"/>
      <c r="L74" s="31">
        <v>43518</v>
      </c>
      <c r="M74" s="28" t="s">
        <v>45</v>
      </c>
      <c r="O74" s="2">
        <v>26.5</v>
      </c>
      <c r="P74" s="32"/>
      <c r="Q74" s="140">
        <v>16900</v>
      </c>
      <c r="R74" s="2">
        <f>72*E74</f>
        <v>9360</v>
      </c>
      <c r="S74" s="33">
        <f>-38*E74</f>
        <v>-4940</v>
      </c>
      <c r="T74" s="141">
        <f>X74*F74*0.0045</f>
        <v>2417.6132432021104</v>
      </c>
      <c r="U74" s="2">
        <f>E74*5</f>
        <v>650</v>
      </c>
      <c r="W74" s="2">
        <v>0.3</v>
      </c>
      <c r="X74" s="2">
        <f>((O74*F74)+Q74+R74+S74+U74)/G74</f>
        <v>34.897524350649348</v>
      </c>
      <c r="Y74" s="2">
        <f>((O74*F74)+Q74+R74+S74+T74+U74)/G74+W74</f>
        <v>35.393759191818347</v>
      </c>
      <c r="Z74" s="3">
        <f>Y74*G74</f>
        <v>436051.11324320204</v>
      </c>
      <c r="AA74" s="34">
        <v>43531</v>
      </c>
      <c r="AB74" s="3"/>
      <c r="AC74" s="35" t="s">
        <v>2412</v>
      </c>
    </row>
    <row r="75" spans="1:29" x14ac:dyDescent="0.25">
      <c r="A75" s="151"/>
      <c r="B75" s="27" t="s">
        <v>30</v>
      </c>
      <c r="C75" t="s">
        <v>40</v>
      </c>
      <c r="D75" s="28" t="s">
        <v>40</v>
      </c>
      <c r="E75" t="s">
        <v>37</v>
      </c>
      <c r="F75" s="29">
        <f>42403*0.4536</f>
        <v>19234.000800000002</v>
      </c>
      <c r="G75" s="30">
        <v>19151.259999999998</v>
      </c>
      <c r="H75" s="30">
        <f t="shared" si="41"/>
        <v>-82.740800000003219</v>
      </c>
      <c r="I75" s="28" t="s">
        <v>2186</v>
      </c>
      <c r="J75" s="52" t="s">
        <v>196</v>
      </c>
      <c r="K75" s="31">
        <v>43518</v>
      </c>
      <c r="L75" s="31">
        <v>43519</v>
      </c>
      <c r="M75" s="28" t="s">
        <v>46</v>
      </c>
      <c r="N75" s="28" t="s">
        <v>2187</v>
      </c>
      <c r="O75" s="2"/>
      <c r="P75" s="32">
        <f>0.4139+0.105</f>
        <v>0.51890000000000003</v>
      </c>
      <c r="Q75" s="140">
        <v>26000</v>
      </c>
      <c r="R75" s="2">
        <v>85175</v>
      </c>
      <c r="S75" s="68">
        <v>19.318999999999999</v>
      </c>
      <c r="T75" s="141">
        <f>X75*F75*0.005</f>
        <v>2695.202675089944</v>
      </c>
      <c r="V75" s="2">
        <v>0.12</v>
      </c>
      <c r="W75" s="2">
        <v>0.3</v>
      </c>
      <c r="X75" s="2">
        <f>IF(O75&gt;0,O75,((P75*2.2046*S75)+(Q75+R75)/G75)+V75)</f>
        <v>28.025398388149629</v>
      </c>
      <c r="Y75" s="2">
        <f>IF(O75&gt;0,O75,((P75*2.2046*S75)+(Q75+R75+T75)/G75)+V75+W75)</f>
        <v>28.466130782524203</v>
      </c>
      <c r="Z75" s="3">
        <f>Y75*F75</f>
        <v>547517.58224397525</v>
      </c>
      <c r="AA75" s="34">
        <v>43515</v>
      </c>
      <c r="AB75" s="3"/>
      <c r="AC75" s="35"/>
    </row>
    <row r="76" spans="1:29" ht="15.75" thickBot="1" x14ac:dyDescent="0.3">
      <c r="A76" s="152"/>
      <c r="B76" s="41"/>
      <c r="C76" s="4"/>
      <c r="D76" s="4"/>
      <c r="E76" s="4"/>
      <c r="F76" s="42"/>
      <c r="G76" s="42"/>
      <c r="H76" s="42"/>
      <c r="I76" s="7"/>
      <c r="J76" s="4"/>
      <c r="K76" s="8"/>
      <c r="L76" s="8"/>
      <c r="M76" s="4"/>
      <c r="N76" s="4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13"/>
      <c r="AA76" s="43"/>
      <c r="AB76" s="3"/>
      <c r="AC76" s="35"/>
    </row>
    <row r="77" spans="1:29" x14ac:dyDescent="0.25">
      <c r="A77" s="154"/>
      <c r="B77" s="14" t="s">
        <v>26</v>
      </c>
      <c r="C77" s="14" t="s">
        <v>27</v>
      </c>
      <c r="D77" s="15" t="s">
        <v>2458</v>
      </c>
      <c r="E77" s="14">
        <f>199+50</f>
        <v>249</v>
      </c>
      <c r="F77" s="16">
        <f>22755+5875</f>
        <v>28630</v>
      </c>
      <c r="G77" s="17">
        <f>10540+11830</f>
        <v>22370</v>
      </c>
      <c r="H77" s="30">
        <f t="shared" ref="H77:H80" si="42">G77-F77</f>
        <v>-6260</v>
      </c>
      <c r="I77" s="19" t="s">
        <v>2459</v>
      </c>
      <c r="J77" s="14"/>
      <c r="K77" s="20"/>
      <c r="L77" s="20">
        <v>43520</v>
      </c>
      <c r="M77" s="15" t="s">
        <v>28</v>
      </c>
      <c r="N77" s="14"/>
      <c r="O77" s="21">
        <v>26.5</v>
      </c>
      <c r="P77" s="22"/>
      <c r="Q77" s="139">
        <v>21300</v>
      </c>
      <c r="R77" s="2">
        <f>72*E77</f>
        <v>17928</v>
      </c>
      <c r="S77" s="21">
        <f>-38*E77</f>
        <v>-9462</v>
      </c>
      <c r="T77" s="157">
        <f>X77*F77*0.0045</f>
        <v>4548.1346674117121</v>
      </c>
      <c r="U77" s="21">
        <f>E77*5</f>
        <v>1245</v>
      </c>
      <c r="V77" s="14"/>
      <c r="W77" s="21">
        <v>0.3</v>
      </c>
      <c r="X77" s="21">
        <f>((O77*F77)+Q77+R77+S77+U77)/G77</f>
        <v>35.302011622708989</v>
      </c>
      <c r="Y77" s="24">
        <f>((O77*F77)+Q77+R77+S77+T77+U77)/G77+W77</f>
        <v>35.805325644497614</v>
      </c>
      <c r="Z77" s="24">
        <f>Y77*G77</f>
        <v>800965.13466741168</v>
      </c>
      <c r="AA77" s="25">
        <v>43535</v>
      </c>
      <c r="AB77" s="3"/>
      <c r="AC77" s="3" t="s">
        <v>2465</v>
      </c>
    </row>
    <row r="78" spans="1:29" x14ac:dyDescent="0.25">
      <c r="A78" s="26"/>
      <c r="B78" s="27" t="s">
        <v>26</v>
      </c>
      <c r="C78" t="s">
        <v>27</v>
      </c>
      <c r="D78" s="28" t="s">
        <v>1871</v>
      </c>
      <c r="E78">
        <v>199</v>
      </c>
      <c r="F78" s="29">
        <v>23295</v>
      </c>
      <c r="G78" s="30">
        <f>12140+6520</f>
        <v>18660</v>
      </c>
      <c r="H78" s="30">
        <f t="shared" si="42"/>
        <v>-4635</v>
      </c>
      <c r="I78" s="28" t="s">
        <v>2468</v>
      </c>
      <c r="K78" s="31"/>
      <c r="L78" s="31">
        <v>43521</v>
      </c>
      <c r="M78" s="28" t="s">
        <v>29</v>
      </c>
      <c r="O78" s="2">
        <v>26.5</v>
      </c>
      <c r="P78" s="32"/>
      <c r="Q78" s="138">
        <v>21300</v>
      </c>
      <c r="R78" s="2">
        <f>72*E78</f>
        <v>14328</v>
      </c>
      <c r="S78" s="33">
        <f>-38*E78</f>
        <v>-7562</v>
      </c>
      <c r="T78" s="141">
        <f>X78*F78*0.0045</f>
        <v>3631.2026907154341</v>
      </c>
      <c r="U78" s="2">
        <f>E78*5</f>
        <v>995</v>
      </c>
      <c r="W78" s="2">
        <v>0.3</v>
      </c>
      <c r="X78" s="2">
        <f>((O78*F78)+Q78+R78+S78+U78)/G78</f>
        <v>34.639790996784569</v>
      </c>
      <c r="Y78" s="2">
        <f>((O78*F78)+Q78+R78+S78+T78+U78)/G78+W78</f>
        <v>35.134389211721079</v>
      </c>
      <c r="Z78" s="3">
        <f>Y78*G78</f>
        <v>655607.70269071532</v>
      </c>
      <c r="AA78" s="34">
        <v>43535</v>
      </c>
      <c r="AB78" s="3"/>
      <c r="AC78" s="35" t="s">
        <v>2474</v>
      </c>
    </row>
    <row r="79" spans="1:29" x14ac:dyDescent="0.25">
      <c r="A79" s="26"/>
      <c r="B79" s="27" t="s">
        <v>1909</v>
      </c>
      <c r="C79" t="s">
        <v>2450</v>
      </c>
      <c r="D79" s="28" t="s">
        <v>1806</v>
      </c>
      <c r="E79" t="s">
        <v>2455</v>
      </c>
      <c r="F79" s="29">
        <f>876+862+855+881</f>
        <v>3474</v>
      </c>
      <c r="G79" s="30">
        <v>3000</v>
      </c>
      <c r="H79" s="30">
        <f t="shared" ref="H79" si="43">G79-F79</f>
        <v>-474</v>
      </c>
      <c r="I79" s="28" t="s">
        <v>2457</v>
      </c>
      <c r="K79" s="31"/>
      <c r="L79" s="31">
        <v>43521</v>
      </c>
      <c r="M79" s="28" t="s">
        <v>29</v>
      </c>
      <c r="O79" s="2">
        <v>17</v>
      </c>
      <c r="P79" s="32"/>
      <c r="Q79" s="2"/>
      <c r="R79" s="2"/>
      <c r="S79" s="33"/>
      <c r="T79" s="33"/>
      <c r="U79" s="2"/>
      <c r="W79" s="2"/>
      <c r="X79" s="2">
        <f>((O79*F79)+Q79+R79+S79+U79)/G79</f>
        <v>19.686</v>
      </c>
      <c r="Y79" s="2">
        <v>17</v>
      </c>
      <c r="Z79" s="3">
        <f>Y79*G79</f>
        <v>51000</v>
      </c>
      <c r="AA79" s="34">
        <v>43528</v>
      </c>
      <c r="AB79" s="3"/>
      <c r="AC79" s="35"/>
    </row>
    <row r="80" spans="1:29" x14ac:dyDescent="0.25">
      <c r="A80" s="26"/>
      <c r="B80" s="27" t="s">
        <v>30</v>
      </c>
      <c r="C80" s="28" t="s">
        <v>1790</v>
      </c>
      <c r="D80" s="28" t="s">
        <v>1790</v>
      </c>
      <c r="E80" t="s">
        <v>32</v>
      </c>
      <c r="F80" s="29">
        <f>42728*0.4536</f>
        <v>19381.4208</v>
      </c>
      <c r="G80" s="30">
        <v>19464.11</v>
      </c>
      <c r="H80" s="30">
        <f t="shared" si="42"/>
        <v>82.68920000000071</v>
      </c>
      <c r="I80" s="28" t="s">
        <v>2255</v>
      </c>
      <c r="J80" s="52" t="s">
        <v>196</v>
      </c>
      <c r="K80" s="31">
        <v>43522</v>
      </c>
      <c r="L80" s="31">
        <v>43523</v>
      </c>
      <c r="M80" s="28" t="s">
        <v>33</v>
      </c>
      <c r="N80" s="28" t="s">
        <v>2253</v>
      </c>
      <c r="O80" s="2"/>
      <c r="P80" s="32">
        <f>0.4252+0.095</f>
        <v>0.5202</v>
      </c>
      <c r="Q80" s="140">
        <v>26000</v>
      </c>
      <c r="R80" s="2">
        <v>86263</v>
      </c>
      <c r="S80" s="68">
        <v>19.32</v>
      </c>
      <c r="T80" s="141">
        <f t="shared" ref="T80" si="44">X80*F80*0.005</f>
        <v>2717.7117093014508</v>
      </c>
      <c r="V80" s="2">
        <v>0.12</v>
      </c>
      <c r="W80" s="2">
        <v>0.3</v>
      </c>
      <c r="X80" s="2">
        <f>IF(O80&gt;0,O80,((P80*2.2046*S80)+(Q80+R80)/G80)+V80)</f>
        <v>28.044504449348221</v>
      </c>
      <c r="Y80" s="2">
        <f>IF(O80&gt;0,O80,((P80*2.2046*S80)+(Q80+R80+T80)/G80)+V80+W80)</f>
        <v>28.484131265539737</v>
      </c>
      <c r="Z80" s="3">
        <f>Y80*F80</f>
        <v>552062.93417986215</v>
      </c>
      <c r="AA80" s="34">
        <v>43511</v>
      </c>
      <c r="AB80" s="3"/>
      <c r="AC80" s="35"/>
    </row>
    <row r="81" spans="1:32" x14ac:dyDescent="0.25">
      <c r="A81" s="26"/>
      <c r="B81" s="27" t="s">
        <v>30</v>
      </c>
      <c r="C81" s="28" t="s">
        <v>35</v>
      </c>
      <c r="D81" s="28" t="s">
        <v>36</v>
      </c>
      <c r="E81" t="s">
        <v>37</v>
      </c>
      <c r="F81" s="29">
        <f>41583*0.4536</f>
        <v>18862.0488</v>
      </c>
      <c r="G81" s="30">
        <v>18791.27</v>
      </c>
      <c r="H81" s="30">
        <f>G81-F81</f>
        <v>-70.778800000000047</v>
      </c>
      <c r="I81" t="s">
        <v>2256</v>
      </c>
      <c r="J81" s="52" t="s">
        <v>196</v>
      </c>
      <c r="K81" s="31">
        <v>43521</v>
      </c>
      <c r="L81" s="31">
        <v>43522</v>
      </c>
      <c r="M81" s="28" t="s">
        <v>48</v>
      </c>
      <c r="N81" s="28" t="s">
        <v>2254</v>
      </c>
      <c r="O81" s="2"/>
      <c r="P81" s="32">
        <f>0.4252+0.1</f>
        <v>0.5252</v>
      </c>
      <c r="Q81" s="140">
        <v>26000</v>
      </c>
      <c r="R81" s="2">
        <v>85078</v>
      </c>
      <c r="S81" s="68">
        <v>19.302</v>
      </c>
      <c r="T81" s="141">
        <f>X81*F81*0.005</f>
        <v>2676.5326594602907</v>
      </c>
      <c r="V81" s="2">
        <v>0.12</v>
      </c>
      <c r="W81" s="2">
        <v>0.3</v>
      </c>
      <c r="X81" s="2">
        <f>IF(O81&gt;0,O81,((P81*2.2046*S81)+(Q81+R81)/G81)+V81)</f>
        <v>28.380084134447689</v>
      </c>
      <c r="Y81" s="2">
        <f>IF(O81&gt;0,O81,((P81*2.2046*S81)+(Q81+R81+T81)/G81)+V81+W81)</f>
        <v>28.822519034242131</v>
      </c>
      <c r="Z81" s="3">
        <f>Y81*F81</f>
        <v>543651.76056280395</v>
      </c>
      <c r="AA81" s="34">
        <v>43524</v>
      </c>
      <c r="AB81" s="3"/>
      <c r="AC81" s="35"/>
    </row>
    <row r="82" spans="1:32" x14ac:dyDescent="0.25">
      <c r="A82" s="26"/>
      <c r="B82" s="27" t="s">
        <v>26</v>
      </c>
      <c r="C82" t="s">
        <v>27</v>
      </c>
      <c r="D82" s="28" t="s">
        <v>1871</v>
      </c>
      <c r="E82">
        <v>200</v>
      </c>
      <c r="F82" s="29">
        <v>21710</v>
      </c>
      <c r="G82" s="30">
        <f>6010+11180</f>
        <v>17190</v>
      </c>
      <c r="H82" s="30">
        <f>G82-F82</f>
        <v>-4520</v>
      </c>
      <c r="I82" s="156" t="s">
        <v>2519</v>
      </c>
      <c r="K82" s="31"/>
      <c r="L82" s="31">
        <v>43522</v>
      </c>
      <c r="M82" s="28" t="s">
        <v>48</v>
      </c>
      <c r="O82" s="2">
        <v>26.5</v>
      </c>
      <c r="P82" s="32"/>
      <c r="Q82" s="138">
        <v>21300</v>
      </c>
      <c r="R82" s="2">
        <f>72*E82</f>
        <v>14400</v>
      </c>
      <c r="S82" s="33">
        <f>-38*E82</f>
        <v>-7600</v>
      </c>
      <c r="T82" s="141">
        <f>X82*F82*0.005</f>
        <v>3816.710194880744</v>
      </c>
      <c r="U82" s="2">
        <f>E82*5</f>
        <v>1000</v>
      </c>
      <c r="W82" s="2">
        <v>0.3</v>
      </c>
      <c r="X82" s="2">
        <f>((O82*F82)+Q82+R82+S82+U82)/G82</f>
        <v>35.160849331006396</v>
      </c>
      <c r="Y82" s="2">
        <f>((O82*F82)+Q82+R82+S82+T82+U82)/G82+W82</f>
        <v>35.682880174222262</v>
      </c>
      <c r="Z82" s="3">
        <f>Y82*G82</f>
        <v>613388.71019488072</v>
      </c>
      <c r="AA82" s="34">
        <v>43536</v>
      </c>
      <c r="AB82" s="3"/>
      <c r="AC82" s="35" t="s">
        <v>2480</v>
      </c>
      <c r="AF82" s="30"/>
    </row>
    <row r="83" spans="1:32" x14ac:dyDescent="0.25">
      <c r="A83" s="26"/>
      <c r="B83" s="27" t="s">
        <v>30</v>
      </c>
      <c r="C83" s="28" t="s">
        <v>40</v>
      </c>
      <c r="D83" s="28" t="s">
        <v>40</v>
      </c>
      <c r="E83" t="s">
        <v>37</v>
      </c>
      <c r="F83" s="29">
        <f>42729*0.4536</f>
        <v>19381.874400000001</v>
      </c>
      <c r="G83" s="30">
        <v>19259.64</v>
      </c>
      <c r="H83" s="30">
        <f t="shared" ref="H83:H85" si="45">G83-F83</f>
        <v>-122.23440000000119</v>
      </c>
      <c r="I83" s="28" t="s">
        <v>2257</v>
      </c>
      <c r="J83" s="52" t="s">
        <v>1690</v>
      </c>
      <c r="K83" s="31">
        <v>43522</v>
      </c>
      <c r="L83" s="31">
        <v>43523</v>
      </c>
      <c r="M83" s="28" t="s">
        <v>33</v>
      </c>
      <c r="N83" s="28" t="s">
        <v>2259</v>
      </c>
      <c r="O83" s="2"/>
      <c r="P83" s="32">
        <f>0.4252+0.105</f>
        <v>0.5302</v>
      </c>
      <c r="Q83" s="140">
        <v>26000</v>
      </c>
      <c r="R83" s="2">
        <v>90894</v>
      </c>
      <c r="S83" s="68">
        <v>19.251000000000001</v>
      </c>
      <c r="T83" s="141">
        <f t="shared" ref="T83:T85" si="46">X83*F83*0.005</f>
        <v>2780.4717827966238</v>
      </c>
      <c r="V83" s="2">
        <v>0.12</v>
      </c>
      <c r="W83" s="2">
        <v>0.3</v>
      </c>
      <c r="X83" s="2">
        <f>IF(O83&gt;0,O83,((P83*2.2046*S83)+(Q83+R83)/G83)+V83)</f>
        <v>28.691464255868087</v>
      </c>
      <c r="Y83" s="2">
        <f>IF(O83&gt;0,O83,((P83*2.2046*S83)+(Q83+R83+T83)/G83)+V83+W83)</f>
        <v>29.135832052088404</v>
      </c>
      <c r="Z83" s="3">
        <f>Y83*F83</f>
        <v>564707.03737307177</v>
      </c>
      <c r="AA83" s="34">
        <v>43516</v>
      </c>
      <c r="AB83" s="3"/>
      <c r="AC83" s="35"/>
    </row>
    <row r="84" spans="1:32" x14ac:dyDescent="0.25">
      <c r="A84" s="26"/>
      <c r="B84" s="27" t="s">
        <v>30</v>
      </c>
      <c r="C84" s="28" t="s">
        <v>1790</v>
      </c>
      <c r="D84" s="28" t="s">
        <v>1790</v>
      </c>
      <c r="E84" t="s">
        <v>2413</v>
      </c>
      <c r="F84" s="29">
        <f>39481*0.4536</f>
        <v>17908.581600000001</v>
      </c>
      <c r="G84" s="30">
        <v>17778.169999999998</v>
      </c>
      <c r="H84" s="30">
        <f t="shared" si="45"/>
        <v>-130.41160000000309</v>
      </c>
      <c r="I84" s="28" t="s">
        <v>2258</v>
      </c>
      <c r="J84" s="52" t="s">
        <v>196</v>
      </c>
      <c r="K84" s="31">
        <v>43522</v>
      </c>
      <c r="L84" s="31">
        <v>43523</v>
      </c>
      <c r="M84" s="28" t="s">
        <v>33</v>
      </c>
      <c r="N84" s="28" t="s">
        <v>2253</v>
      </c>
      <c r="O84" s="2"/>
      <c r="P84" s="32">
        <f>0.4252+0.095</f>
        <v>0.5202</v>
      </c>
      <c r="Q84" s="140">
        <v>26000</v>
      </c>
      <c r="R84" s="2">
        <v>83661</v>
      </c>
      <c r="S84" s="68">
        <v>19.32</v>
      </c>
      <c r="T84" s="141">
        <f t="shared" si="46"/>
        <v>2547.0576149454496</v>
      </c>
      <c r="V84" s="2">
        <v>0.12</v>
      </c>
      <c r="W84" s="2">
        <v>0.3</v>
      </c>
      <c r="X84" s="2">
        <f t="shared" ref="X84" si="47">IF(O84&gt;0,O84,((P84*2.2046*S84)+(Q84+R84)/G84)+V84)</f>
        <v>28.445107176387989</v>
      </c>
      <c r="Y84" s="2">
        <f t="shared" ref="Y84" si="48">IF(O84&gt;0,O84,((P84*2.2046*S84)+(Q84+R84+T84)/G84)+V84+W84)</f>
        <v>28.888376006360112</v>
      </c>
      <c r="Z84" s="3">
        <f t="shared" ref="Z84" si="49">Y84*F84</f>
        <v>517349.83900138224</v>
      </c>
      <c r="AA84" s="34">
        <v>43511</v>
      </c>
      <c r="AB84" s="3"/>
      <c r="AC84" s="35"/>
    </row>
    <row r="85" spans="1:32" x14ac:dyDescent="0.25">
      <c r="A85" s="26"/>
      <c r="B85" s="27" t="s">
        <v>26</v>
      </c>
      <c r="C85" t="s">
        <v>27</v>
      </c>
      <c r="D85" s="28" t="s">
        <v>1684</v>
      </c>
      <c r="E85">
        <v>200</v>
      </c>
      <c r="F85" s="29">
        <v>23275</v>
      </c>
      <c r="G85" s="30">
        <f>12690+5870</f>
        <v>18560</v>
      </c>
      <c r="H85" s="30">
        <f t="shared" si="45"/>
        <v>-4715</v>
      </c>
      <c r="I85" s="28" t="s">
        <v>2477</v>
      </c>
      <c r="K85" s="31"/>
      <c r="L85" s="31">
        <v>43523</v>
      </c>
      <c r="M85" s="28" t="s">
        <v>33</v>
      </c>
      <c r="O85" s="2">
        <v>26.5</v>
      </c>
      <c r="P85" s="32"/>
      <c r="Q85" s="138">
        <v>21300</v>
      </c>
      <c r="R85" s="2">
        <f>72*E85</f>
        <v>14400</v>
      </c>
      <c r="S85" s="33">
        <f>-38*E85</f>
        <v>-7600</v>
      </c>
      <c r="T85" s="141">
        <f t="shared" si="46"/>
        <v>4049.8468648976291</v>
      </c>
      <c r="U85" s="2">
        <f>E85*5</f>
        <v>1000</v>
      </c>
      <c r="W85" s="2">
        <v>0.3</v>
      </c>
      <c r="X85" s="2">
        <f t="shared" ref="X85" si="50">((O85*F85)+Q85+R85+S85+U85)/G85</f>
        <v>34.799973060344826</v>
      </c>
      <c r="Y85" s="2">
        <f>((O85*F85)+Q85+R85+S85+T85+U85)/G85+W85</f>
        <v>35.318176016427671</v>
      </c>
      <c r="Z85" s="3">
        <f>Y85*G85</f>
        <v>655505.34686489752</v>
      </c>
      <c r="AA85" s="34">
        <v>43537</v>
      </c>
      <c r="AB85" s="3"/>
      <c r="AC85" s="35" t="s">
        <v>2506</v>
      </c>
    </row>
    <row r="86" spans="1:32" x14ac:dyDescent="0.25">
      <c r="A86" s="26"/>
      <c r="B86" s="27" t="s">
        <v>30</v>
      </c>
      <c r="C86" s="28" t="s">
        <v>40</v>
      </c>
      <c r="D86" s="28" t="s">
        <v>40</v>
      </c>
      <c r="E86" t="s">
        <v>37</v>
      </c>
      <c r="F86" s="29">
        <f>42011*0.4536</f>
        <v>19056.189600000002</v>
      </c>
      <c r="G86" s="30">
        <v>18914.11</v>
      </c>
      <c r="H86" s="30">
        <f>G86-F86</f>
        <v>-142.07960000000094</v>
      </c>
      <c r="I86" t="s">
        <v>2261</v>
      </c>
      <c r="J86" s="52" t="s">
        <v>196</v>
      </c>
      <c r="K86" s="31">
        <v>43523</v>
      </c>
      <c r="L86" s="31">
        <v>43524</v>
      </c>
      <c r="M86" s="28" t="s">
        <v>41</v>
      </c>
      <c r="N86" s="28" t="s">
        <v>2260</v>
      </c>
      <c r="O86" s="2"/>
      <c r="P86" s="32">
        <v>0.53580000000000005</v>
      </c>
      <c r="Q86" s="140">
        <v>26000</v>
      </c>
      <c r="R86" s="2">
        <v>87143</v>
      </c>
      <c r="S86" s="68">
        <v>19.221</v>
      </c>
      <c r="T86" s="141">
        <f>X86*F86*0.005</f>
        <v>2744.6873620312626</v>
      </c>
      <c r="V86" s="2">
        <v>0.12</v>
      </c>
      <c r="W86" s="2">
        <v>0.3</v>
      </c>
      <c r="X86" s="2">
        <f>IF(O86&gt;0,O86,((P86*2.2046*S86)+(Q86+R86)/G86)+V86)</f>
        <v>28.806255811300936</v>
      </c>
      <c r="Y86" s="2">
        <f>IF(O86&gt;0,O86,((P86*2.2046*S86)+(Q86+R86+T86)/G86)+V86+W86)</f>
        <v>29.251369029000912</v>
      </c>
      <c r="Z86" s="3">
        <f>Y86*F86</f>
        <v>557419.63427620928</v>
      </c>
      <c r="AA86" s="34">
        <v>43517</v>
      </c>
      <c r="AB86" s="3"/>
      <c r="AC86" s="35"/>
    </row>
    <row r="87" spans="1:32" x14ac:dyDescent="0.25">
      <c r="A87" s="26"/>
      <c r="B87" s="27" t="s">
        <v>26</v>
      </c>
      <c r="C87" t="s">
        <v>27</v>
      </c>
      <c r="D87" s="28" t="s">
        <v>2382</v>
      </c>
      <c r="E87">
        <f>199+50</f>
        <v>249</v>
      </c>
      <c r="F87" s="29">
        <f>21405+5965</f>
        <v>27370</v>
      </c>
      <c r="G87" s="30">
        <v>21210</v>
      </c>
      <c r="H87" s="30">
        <f t="shared" ref="H87:H90" si="51">G87-F87</f>
        <v>-6160</v>
      </c>
      <c r="I87" s="28" t="s">
        <v>2493</v>
      </c>
      <c r="J87" s="55">
        <v>250</v>
      </c>
      <c r="K87" s="31"/>
      <c r="L87" s="31">
        <v>43524</v>
      </c>
      <c r="M87" s="28" t="s">
        <v>41</v>
      </c>
      <c r="O87" s="2">
        <v>26.5</v>
      </c>
      <c r="P87" s="32"/>
      <c r="Q87" s="138">
        <v>21300</v>
      </c>
      <c r="R87" s="2">
        <f>72*E87</f>
        <v>17928</v>
      </c>
      <c r="S87" s="33">
        <f>-38*E87</f>
        <v>-9462</v>
      </c>
      <c r="T87" s="141">
        <f>X87*F87*0.0045</f>
        <v>4391.8745940594054</v>
      </c>
      <c r="U87" s="2">
        <f>E87*5</f>
        <v>1245</v>
      </c>
      <c r="W87" s="2">
        <v>0.3</v>
      </c>
      <c r="X87" s="2">
        <f t="shared" ref="X87" si="52">((O87*F87)+Q87+R87+S87+U87)/G87</f>
        <v>35.658462989156057</v>
      </c>
      <c r="Y87" s="2">
        <f>((O87*F87)+Q87+R87+S87+T87+U87)/G87+W87</f>
        <v>36.165529212355466</v>
      </c>
      <c r="Z87" s="3">
        <f>Y87*G87</f>
        <v>767070.87459405942</v>
      </c>
      <c r="AA87" s="34">
        <v>43538</v>
      </c>
      <c r="AB87" s="3"/>
      <c r="AC87" s="35"/>
    </row>
    <row r="88" spans="1:32" x14ac:dyDescent="0.25">
      <c r="A88" s="26"/>
      <c r="B88" s="27" t="s">
        <v>26</v>
      </c>
      <c r="C88" t="s">
        <v>27</v>
      </c>
      <c r="D88" s="28" t="s">
        <v>1871</v>
      </c>
      <c r="E88">
        <v>129</v>
      </c>
      <c r="F88" s="29">
        <v>15155</v>
      </c>
      <c r="G88" s="30">
        <v>11660</v>
      </c>
      <c r="H88" s="30">
        <f t="shared" si="51"/>
        <v>-3495</v>
      </c>
      <c r="I88" s="28" t="s">
        <v>2485</v>
      </c>
      <c r="J88" s="55">
        <v>126</v>
      </c>
      <c r="K88" s="31"/>
      <c r="L88" s="31">
        <v>43524</v>
      </c>
      <c r="M88" s="28" t="s">
        <v>41</v>
      </c>
      <c r="O88" s="2">
        <v>26.5</v>
      </c>
      <c r="P88" s="32"/>
      <c r="Q88" s="140">
        <v>16900</v>
      </c>
      <c r="R88" s="2">
        <f>72*E88</f>
        <v>9288</v>
      </c>
      <c r="S88" s="33">
        <f>-38*E88</f>
        <v>-4902</v>
      </c>
      <c r="T88" s="141">
        <f>X88*F88*0.0045</f>
        <v>2477.209850235849</v>
      </c>
      <c r="U88" s="2">
        <f>E88*5</f>
        <v>645</v>
      </c>
      <c r="W88" s="2">
        <v>0.3</v>
      </c>
      <c r="X88" s="2">
        <f>((O88*F88)+Q88+R88+S88+U88)/G88</f>
        <v>36.324056603773585</v>
      </c>
      <c r="Y88" s="2">
        <f>((O88*F88)+Q88+R88+S88+T88+U88)/G88+W88</f>
        <v>36.836510278750929</v>
      </c>
      <c r="Z88" s="3">
        <f>Y88*G88</f>
        <v>429513.70985023584</v>
      </c>
      <c r="AA88" s="34">
        <v>43538</v>
      </c>
      <c r="AB88" s="3"/>
      <c r="AC88" s="35" t="s">
        <v>2507</v>
      </c>
    </row>
    <row r="89" spans="1:32" x14ac:dyDescent="0.25">
      <c r="A89" s="26"/>
      <c r="B89" s="27" t="s">
        <v>1909</v>
      </c>
      <c r="C89" t="s">
        <v>2450</v>
      </c>
      <c r="D89" s="28" t="s">
        <v>1806</v>
      </c>
      <c r="E89" t="s">
        <v>1815</v>
      </c>
      <c r="F89" s="29">
        <v>2600</v>
      </c>
      <c r="G89" s="30">
        <v>2600</v>
      </c>
      <c r="H89" s="30">
        <f t="shared" si="51"/>
        <v>0</v>
      </c>
      <c r="I89" s="28" t="s">
        <v>2562</v>
      </c>
      <c r="K89" s="31"/>
      <c r="L89" s="31">
        <v>43524</v>
      </c>
      <c r="M89" s="28" t="s">
        <v>41</v>
      </c>
      <c r="O89" s="2">
        <v>17</v>
      </c>
      <c r="P89" s="32"/>
      <c r="Q89" s="2"/>
      <c r="R89" s="2"/>
      <c r="S89" s="33"/>
      <c r="T89" s="33"/>
      <c r="U89" s="2"/>
      <c r="W89" s="2"/>
      <c r="X89" s="2">
        <f>IF(O89&gt;0,O89,((P89*2.2046*S89)+(Q89+R89)/G89)+V89)</f>
        <v>17</v>
      </c>
      <c r="Y89" s="2">
        <f>IF(O89&gt;0,O89,((P89*2.2046*S89)+(Q89+R89+T89)/G89)+V89+W89)</f>
        <v>17</v>
      </c>
      <c r="Z89" s="3">
        <f>Y89*F89</f>
        <v>44200</v>
      </c>
      <c r="AA89" s="34">
        <v>43503</v>
      </c>
      <c r="AB89" s="3"/>
      <c r="AC89" s="35"/>
    </row>
    <row r="90" spans="1:32" x14ac:dyDescent="0.25">
      <c r="A90" s="26"/>
      <c r="B90" s="27" t="s">
        <v>2556</v>
      </c>
      <c r="C90" t="s">
        <v>1800</v>
      </c>
      <c r="D90" s="28" t="s">
        <v>2557</v>
      </c>
      <c r="E90" t="s">
        <v>2558</v>
      </c>
      <c r="F90" s="29">
        <v>7013.52</v>
      </c>
      <c r="G90" s="30">
        <v>7013.52</v>
      </c>
      <c r="H90" s="30">
        <f t="shared" si="51"/>
        <v>0</v>
      </c>
      <c r="I90" s="28" t="s">
        <v>2559</v>
      </c>
      <c r="K90" s="31"/>
      <c r="L90" s="31">
        <v>43524</v>
      </c>
      <c r="M90" s="28" t="s">
        <v>41</v>
      </c>
      <c r="O90" s="2">
        <v>96</v>
      </c>
      <c r="P90" s="32"/>
      <c r="Q90" s="2"/>
      <c r="R90" s="2"/>
      <c r="S90" s="33"/>
      <c r="T90" s="33"/>
      <c r="U90" s="2"/>
      <c r="W90" s="2"/>
      <c r="X90" s="2">
        <f>IF(O90&gt;0,O90,((P90*2.2046*S90)+(Q90+R90)/G90)+V90)</f>
        <v>96</v>
      </c>
      <c r="Y90" s="2">
        <f>IF(O90&gt;0,O90,((P90*2.2046*S90)+(Q90+R90+T90)/G90)+V90+W90)</f>
        <v>96</v>
      </c>
      <c r="Z90" s="3">
        <f>Y90*F90</f>
        <v>673297.92000000004</v>
      </c>
      <c r="AA90" s="34">
        <v>43503</v>
      </c>
      <c r="AB90" s="3"/>
      <c r="AC90" s="35"/>
    </row>
    <row r="91" spans="1:32" ht="15.75" thickBot="1" x14ac:dyDescent="0.3">
      <c r="A91" s="40"/>
      <c r="B91" s="41"/>
      <c r="C91" s="4"/>
      <c r="D91" s="4"/>
      <c r="E91" s="4"/>
      <c r="F91" s="42"/>
      <c r="G91" s="42"/>
      <c r="H91" s="42"/>
      <c r="I91" s="7"/>
      <c r="J91" s="4"/>
      <c r="K91" s="8"/>
      <c r="L91" s="8"/>
      <c r="M91" s="4"/>
      <c r="N91" s="4"/>
      <c r="O91" s="9"/>
      <c r="P91" s="10"/>
      <c r="Q91" s="9"/>
      <c r="R91" s="9"/>
      <c r="S91" s="9"/>
      <c r="T91" s="9"/>
      <c r="U91" s="9"/>
      <c r="V91" s="9"/>
      <c r="W91" s="9"/>
      <c r="X91" s="9"/>
      <c r="Y91" s="9"/>
      <c r="Z91" s="13"/>
      <c r="AA91" s="43"/>
      <c r="AB91" s="3"/>
      <c r="AC91" s="35"/>
    </row>
  </sheetData>
  <pageMargins left="0.7" right="0.7" top="0.75" bottom="0.75" header="0.3" footer="0.3"/>
  <pageSetup orientation="portrait" horizontalDpi="4294967292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4259-72FB-4402-9ACC-BC7D8F4E3529}">
  <dimension ref="A2:AF103"/>
  <sheetViews>
    <sheetView tabSelected="1" topLeftCell="A61" zoomScale="80" zoomScaleNormal="80" workbookViewId="0">
      <selection activeCell="N75" sqref="N75"/>
    </sheetView>
  </sheetViews>
  <sheetFormatPr baseColWidth="10" defaultRowHeight="15" x14ac:dyDescent="0.25"/>
  <cols>
    <col min="1" max="1" width="3" customWidth="1"/>
    <col min="2" max="2" width="18" customWidth="1"/>
    <col min="3" max="3" width="14.28515625" bestFit="1" customWidth="1"/>
    <col min="4" max="4" width="23.42578125" bestFit="1" customWidth="1"/>
    <col min="5" max="5" width="11.42578125" bestFit="1" customWidth="1"/>
    <col min="8" max="8" width="10.85546875" customWidth="1"/>
    <col min="9" max="9" width="14.7109375" customWidth="1"/>
    <col min="10" max="10" width="11.28515625" customWidth="1"/>
    <col min="13" max="13" width="4" customWidth="1"/>
    <col min="14" max="14" width="8.85546875" customWidth="1"/>
    <col min="18" max="18" width="13.42578125" customWidth="1"/>
    <col min="24" max="24" width="0" hidden="1" customWidth="1"/>
    <col min="26" max="26" width="14.42578125" customWidth="1"/>
    <col min="27" max="27" width="12.140625" customWidth="1"/>
  </cols>
  <sheetData>
    <row r="2" spans="1:29" x14ac:dyDescent="0.25">
      <c r="A2" s="1" t="s">
        <v>2647</v>
      </c>
      <c r="S2" s="2"/>
      <c r="W2" s="2"/>
      <c r="Z2" s="3"/>
    </row>
    <row r="3" spans="1:29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29" x14ac:dyDescent="0.25">
      <c r="A4" s="26"/>
      <c r="B4" s="27" t="s">
        <v>30</v>
      </c>
      <c r="C4" s="28" t="s">
        <v>1790</v>
      </c>
      <c r="D4" s="28" t="s">
        <v>1790</v>
      </c>
      <c r="E4" t="s">
        <v>32</v>
      </c>
      <c r="F4" s="29">
        <f>41738*0.4536</f>
        <v>18932.356800000001</v>
      </c>
      <c r="G4" s="30">
        <v>18832.54</v>
      </c>
      <c r="H4" s="30">
        <f>G4-F4</f>
        <v>-99.816800000000512</v>
      </c>
      <c r="I4" s="28" t="s">
        <v>2262</v>
      </c>
      <c r="J4" s="52" t="s">
        <v>196</v>
      </c>
      <c r="K4" s="31">
        <v>43524</v>
      </c>
      <c r="L4" s="31">
        <v>43525</v>
      </c>
      <c r="M4" s="28" t="s">
        <v>45</v>
      </c>
      <c r="N4" s="28" t="s">
        <v>2266</v>
      </c>
      <c r="O4" s="2"/>
      <c r="P4" s="32">
        <f>0.43+0.095</f>
        <v>0.52500000000000002</v>
      </c>
      <c r="Q4" s="140">
        <v>26000</v>
      </c>
      <c r="R4" s="2">
        <v>84928</v>
      </c>
      <c r="S4" s="68">
        <v>19.318999999999999</v>
      </c>
      <c r="T4" s="141">
        <f>X4*F4*0.005</f>
        <v>2685.5861267022847</v>
      </c>
      <c r="V4" s="2">
        <v>0.12</v>
      </c>
      <c r="W4" s="2">
        <v>0.3</v>
      </c>
      <c r="X4" s="2">
        <f>IF(O4&gt;0,O4,((P4*2.2046*S4)+(Q4+R4)/G4)+V4)</f>
        <v>28.370330805325668</v>
      </c>
      <c r="Y4" s="2">
        <f>IF(O4&gt;0,O4,((P4*2.2046*S4)+(Q4+R4+T4)/G4)+V4+W4)</f>
        <v>28.8129343057936</v>
      </c>
      <c r="Z4" s="3">
        <f>Y4*F4</f>
        <v>545496.75273224479</v>
      </c>
      <c r="AA4" s="34">
        <v>43515</v>
      </c>
      <c r="AB4" s="3"/>
      <c r="AC4" s="35"/>
    </row>
    <row r="5" spans="1:29" x14ac:dyDescent="0.25">
      <c r="A5" s="26"/>
      <c r="B5" s="27" t="s">
        <v>30</v>
      </c>
      <c r="C5" s="28" t="s">
        <v>35</v>
      </c>
      <c r="D5" s="28" t="s">
        <v>36</v>
      </c>
      <c r="E5" t="s">
        <v>37</v>
      </c>
      <c r="F5" s="29">
        <f>41308*0.4536</f>
        <v>18737.308799999999</v>
      </c>
      <c r="G5" s="30">
        <v>18422.650000000001</v>
      </c>
      <c r="H5" s="30">
        <f>G5-F5</f>
        <v>-314.65879999999743</v>
      </c>
      <c r="I5" t="s">
        <v>2263</v>
      </c>
      <c r="J5" s="52" t="s">
        <v>196</v>
      </c>
      <c r="K5" s="31">
        <v>43524</v>
      </c>
      <c r="L5" s="31">
        <v>43525</v>
      </c>
      <c r="M5" s="28" t="s">
        <v>45</v>
      </c>
      <c r="N5" s="28" t="s">
        <v>2265</v>
      </c>
      <c r="O5" s="2"/>
      <c r="P5" s="32">
        <f>0.4308+0.1</f>
        <v>0.53080000000000005</v>
      </c>
      <c r="Q5" s="140">
        <v>26000</v>
      </c>
      <c r="R5" s="2">
        <v>88576</v>
      </c>
      <c r="S5" s="68">
        <v>19.302</v>
      </c>
      <c r="T5" s="141">
        <f>X5*F5*0.005</f>
        <v>2710.0269558707237</v>
      </c>
      <c r="V5" s="2">
        <v>0.12</v>
      </c>
      <c r="W5" s="2">
        <v>0.3</v>
      </c>
      <c r="X5" s="2">
        <f>IF(O5&gt;0,O5,((P5*2.2046*S5)+(Q5+R5)/G5)+V5)</f>
        <v>28.92653352514235</v>
      </c>
      <c r="Y5" s="2">
        <f>IF(O5&gt;0,O5,((P5*2.2046*S5)+(Q5+R5+T5)/G5)+V5+W5)</f>
        <v>29.373636518244361</v>
      </c>
      <c r="Z5" s="3">
        <f>Y5*F5</f>
        <v>550382.89802130137</v>
      </c>
      <c r="AA5" s="34">
        <v>43524</v>
      </c>
      <c r="AB5" s="3"/>
      <c r="AC5" s="35"/>
    </row>
    <row r="6" spans="1:29" x14ac:dyDescent="0.25">
      <c r="A6" s="26"/>
      <c r="B6" s="27" t="s">
        <v>26</v>
      </c>
      <c r="C6" t="s">
        <v>43</v>
      </c>
      <c r="D6" s="28" t="s">
        <v>44</v>
      </c>
      <c r="E6">
        <v>200</v>
      </c>
      <c r="F6" s="29">
        <v>22039.5</v>
      </c>
      <c r="G6" s="30">
        <v>22090</v>
      </c>
      <c r="H6" s="30">
        <f t="shared" ref="H6:H7" si="0">G6-F6</f>
        <v>50.5</v>
      </c>
      <c r="I6" t="s">
        <v>2572</v>
      </c>
      <c r="K6" s="31"/>
      <c r="L6" s="31">
        <v>43525</v>
      </c>
      <c r="M6" s="28" t="s">
        <v>45</v>
      </c>
      <c r="O6" s="2">
        <v>34.200000000000003</v>
      </c>
      <c r="P6" s="32"/>
      <c r="Q6" s="138">
        <v>21300</v>
      </c>
      <c r="R6" s="2"/>
      <c r="S6" s="33"/>
      <c r="T6" s="33">
        <f>X6*F6*0.0045</f>
        <v>3484.2454571061562</v>
      </c>
      <c r="U6" s="2">
        <f>E6*5</f>
        <v>1000</v>
      </c>
      <c r="W6" s="2">
        <v>0.3</v>
      </c>
      <c r="X6" s="2">
        <f>((O6*F6)+Q6+R6+S6+U6)/G6</f>
        <v>35.131321865097327</v>
      </c>
      <c r="Y6" s="2">
        <f>((O6*F6)+Q6+R6+S6+T6+U6)/G6+W6</f>
        <v>35.589051401408156</v>
      </c>
      <c r="Z6" s="3">
        <f>Y6*G6</f>
        <v>786162.14545710618</v>
      </c>
      <c r="AA6" s="34">
        <v>43530</v>
      </c>
      <c r="AB6" s="3"/>
      <c r="AC6" s="35"/>
    </row>
    <row r="7" spans="1:29" x14ac:dyDescent="0.25">
      <c r="A7" s="26"/>
      <c r="B7" s="27" t="s">
        <v>26</v>
      </c>
      <c r="C7" t="s">
        <v>27</v>
      </c>
      <c r="D7" s="28" t="s">
        <v>2494</v>
      </c>
      <c r="E7">
        <v>129</v>
      </c>
      <c r="F7" s="29">
        <v>14945</v>
      </c>
      <c r="G7" s="30">
        <v>11880</v>
      </c>
      <c r="H7" s="30">
        <f t="shared" si="0"/>
        <v>-3065</v>
      </c>
      <c r="I7" s="28" t="s">
        <v>2495</v>
      </c>
      <c r="K7" s="31"/>
      <c r="L7" s="31">
        <v>43525</v>
      </c>
      <c r="M7" s="28" t="s">
        <v>45</v>
      </c>
      <c r="O7" s="2">
        <v>26.5</v>
      </c>
      <c r="P7" s="32"/>
      <c r="Q7" s="140">
        <v>16900</v>
      </c>
      <c r="R7" s="2">
        <f>72*E7</f>
        <v>9288</v>
      </c>
      <c r="S7" s="33">
        <f>-38*E7</f>
        <v>-4902</v>
      </c>
      <c r="T7" s="33">
        <f>X7*F7*0.0045</f>
        <v>2366.1416505681814</v>
      </c>
      <c r="U7" s="2">
        <f>E7*5</f>
        <v>645</v>
      </c>
      <c r="W7" s="2">
        <v>0.3</v>
      </c>
      <c r="X7" s="2">
        <f>((O7*F7)+Q7+R7+S7+U7)/G7</f>
        <v>35.182954545454542</v>
      </c>
      <c r="Y7" s="2">
        <f>((O7*F7)+Q7+R7+S7+T7+U7)/G7+W7</f>
        <v>35.682124718061289</v>
      </c>
      <c r="Z7" s="3">
        <f>Y7*G7</f>
        <v>423903.64165056811</v>
      </c>
      <c r="AA7" s="34">
        <v>43511</v>
      </c>
      <c r="AB7" s="3"/>
      <c r="AC7" s="35" t="s">
        <v>2527</v>
      </c>
    </row>
    <row r="8" spans="1:29" x14ac:dyDescent="0.25">
      <c r="A8" s="26"/>
      <c r="B8" s="27" t="s">
        <v>1729</v>
      </c>
      <c r="C8" t="s">
        <v>2505</v>
      </c>
      <c r="D8" s="28" t="s">
        <v>1734</v>
      </c>
      <c r="E8" t="s">
        <v>2589</v>
      </c>
      <c r="F8" s="29">
        <v>8997</v>
      </c>
      <c r="G8" s="30">
        <v>8997</v>
      </c>
      <c r="H8" s="30">
        <f t="shared" ref="H8:H13" si="1">G8-F8</f>
        <v>0</v>
      </c>
      <c r="I8" t="s">
        <v>2621</v>
      </c>
      <c r="K8" s="31"/>
      <c r="L8" s="31">
        <v>43525</v>
      </c>
      <c r="M8" s="28" t="s">
        <v>45</v>
      </c>
      <c r="O8" s="2">
        <v>89.8</v>
      </c>
      <c r="P8" s="32"/>
      <c r="Q8" s="2"/>
      <c r="R8" s="2"/>
      <c r="S8" s="33"/>
      <c r="T8" s="33"/>
      <c r="U8" s="2"/>
      <c r="W8" s="2"/>
      <c r="X8" s="2">
        <f>IF(O8&gt;0,O8,((P8*2.2046*S8)+(Q8+R8)/G8)+V8)</f>
        <v>89.8</v>
      </c>
      <c r="Y8" s="2">
        <f>IF(O8&gt;0,O8,((P8*2.2046*S8)+(Q8+R8+T8)/G8)+V8+W8)</f>
        <v>89.8</v>
      </c>
      <c r="Z8" s="3">
        <f>Y8*F8</f>
        <v>807930.6</v>
      </c>
      <c r="AA8" s="34">
        <v>43532</v>
      </c>
      <c r="AB8" s="3"/>
      <c r="AC8" s="35"/>
    </row>
    <row r="9" spans="1:29" x14ac:dyDescent="0.25">
      <c r="A9" s="26"/>
      <c r="B9" s="27" t="s">
        <v>2447</v>
      </c>
      <c r="C9" t="s">
        <v>2448</v>
      </c>
      <c r="D9" s="28" t="s">
        <v>1806</v>
      </c>
      <c r="E9" t="s">
        <v>1914</v>
      </c>
      <c r="F9" s="29">
        <v>1000</v>
      </c>
      <c r="G9" s="30">
        <v>1000</v>
      </c>
      <c r="H9" s="30">
        <f t="shared" si="1"/>
        <v>0</v>
      </c>
      <c r="I9" s="28" t="s">
        <v>2591</v>
      </c>
      <c r="K9" s="31"/>
      <c r="L9" s="31">
        <v>43525</v>
      </c>
      <c r="M9" s="28" t="s">
        <v>45</v>
      </c>
      <c r="O9" s="2">
        <v>29.5</v>
      </c>
      <c r="P9" s="32"/>
      <c r="Q9" s="2"/>
      <c r="R9" s="2"/>
      <c r="S9" s="33"/>
      <c r="T9" s="33"/>
      <c r="U9" s="2"/>
      <c r="W9" s="2"/>
      <c r="X9" s="2">
        <f>IF(O9&gt;0,O9,((P9*2.2046*S9)+(Q9+R9)/G9)+V9)</f>
        <v>29.5</v>
      </c>
      <c r="Y9" s="2">
        <f>IF(O9&gt;0,O9,((P9*2.2046*S9)+(Q9+R9+T9)/G9)+V9+W9)</f>
        <v>29.5</v>
      </c>
      <c r="Z9" s="3">
        <f>Y9*F9</f>
        <v>29500</v>
      </c>
      <c r="AA9" s="34">
        <v>43535</v>
      </c>
      <c r="AB9" s="3"/>
      <c r="AC9" s="35"/>
    </row>
    <row r="10" spans="1:29" x14ac:dyDescent="0.25">
      <c r="A10" s="26"/>
      <c r="B10" s="27" t="s">
        <v>30</v>
      </c>
      <c r="C10" t="s">
        <v>40</v>
      </c>
      <c r="D10" s="28" t="s">
        <v>40</v>
      </c>
      <c r="E10" t="s">
        <v>37</v>
      </c>
      <c r="F10" s="29">
        <f>42033*0.4536</f>
        <v>19066.168799999999</v>
      </c>
      <c r="G10" s="30">
        <v>19117.79</v>
      </c>
      <c r="H10" s="30">
        <f t="shared" si="1"/>
        <v>51.621200000001409</v>
      </c>
      <c r="I10" s="28" t="s">
        <v>2264</v>
      </c>
      <c r="J10" s="52" t="s">
        <v>196</v>
      </c>
      <c r="K10" s="31">
        <v>43525</v>
      </c>
      <c r="L10" s="31">
        <v>43526</v>
      </c>
      <c r="M10" s="28" t="s">
        <v>46</v>
      </c>
      <c r="N10" s="28" t="s">
        <v>2267</v>
      </c>
      <c r="O10" s="2"/>
      <c r="P10" s="32">
        <f>0.4554+0.105</f>
        <v>0.56040000000000001</v>
      </c>
      <c r="Q10" s="140">
        <v>26000</v>
      </c>
      <c r="R10" s="2">
        <v>91381.01</v>
      </c>
      <c r="S10" s="68">
        <v>19.161000000000001</v>
      </c>
      <c r="T10" s="33">
        <f>X10*F10*0.005</f>
        <v>2853.4896794954539</v>
      </c>
      <c r="V10" s="2">
        <v>0.12</v>
      </c>
      <c r="W10" s="2">
        <v>0.3</v>
      </c>
      <c r="X10" s="2">
        <f>IF(O10&gt;0,O10,((P10*2.2046*S10)+(Q10+R10)/G10)+V10)</f>
        <v>29.932491518646934</v>
      </c>
      <c r="Y10" s="2">
        <f>IF(O10&gt;0,O10,((P10*2.2046*S10)+(Q10+R10+T10)/G10)+V10+W10)</f>
        <v>30.381749862812001</v>
      </c>
      <c r="Z10" s="3">
        <f>Y10*F10</f>
        <v>579263.57132375042</v>
      </c>
      <c r="AA10" s="34">
        <v>43521</v>
      </c>
      <c r="AB10" s="3"/>
      <c r="AC10" s="35"/>
    </row>
    <row r="11" spans="1:29" x14ac:dyDescent="0.25">
      <c r="A11" s="26"/>
      <c r="B11" s="27" t="s">
        <v>2582</v>
      </c>
      <c r="C11" t="s">
        <v>2585</v>
      </c>
      <c r="D11" s="28" t="s">
        <v>2044</v>
      </c>
      <c r="E11" t="s">
        <v>2320</v>
      </c>
      <c r="F11" s="29">
        <v>1003.34</v>
      </c>
      <c r="G11" s="30">
        <v>1003.34</v>
      </c>
      <c r="H11" s="30">
        <f t="shared" si="1"/>
        <v>0</v>
      </c>
      <c r="I11" s="28" t="s">
        <v>2578</v>
      </c>
      <c r="K11" s="31"/>
      <c r="L11" s="31">
        <v>43526</v>
      </c>
      <c r="M11" s="28" t="s">
        <v>46</v>
      </c>
      <c r="N11" s="28"/>
      <c r="O11" s="2">
        <v>53</v>
      </c>
      <c r="P11" s="32"/>
      <c r="Q11" s="2"/>
      <c r="R11" s="2"/>
      <c r="S11" s="68"/>
      <c r="T11" s="33"/>
      <c r="V11" s="2"/>
      <c r="W11" s="2"/>
      <c r="X11" s="2">
        <f t="shared" ref="X11:X13" si="2">IF(O11&gt;0,O11,((P11*2.2046*S11)+(Q11+R11)/G11)+V11)</f>
        <v>53</v>
      </c>
      <c r="Y11" s="2">
        <f t="shared" ref="Y11:Y13" si="3">IF(O11&gt;0,O11,((P11*2.2046*S11)+(Q11+R11+T11)/G11)+V11+W11)</f>
        <v>53</v>
      </c>
      <c r="Z11" s="3">
        <f t="shared" ref="Z11:Z13" si="4">Y11*F11</f>
        <v>53177.020000000004</v>
      </c>
      <c r="AA11" s="34">
        <v>43528</v>
      </c>
      <c r="AB11" s="3"/>
      <c r="AC11" s="35"/>
    </row>
    <row r="12" spans="1:29" x14ac:dyDescent="0.25">
      <c r="A12" s="26"/>
      <c r="B12" s="27" t="s">
        <v>2583</v>
      </c>
      <c r="C12" t="s">
        <v>2586</v>
      </c>
      <c r="D12" s="28" t="s">
        <v>2044</v>
      </c>
      <c r="E12" t="s">
        <v>1914</v>
      </c>
      <c r="F12" s="29">
        <v>1000</v>
      </c>
      <c r="G12" s="30">
        <v>1000</v>
      </c>
      <c r="H12" s="30">
        <f t="shared" si="1"/>
        <v>0</v>
      </c>
      <c r="I12" s="28" t="s">
        <v>2588</v>
      </c>
      <c r="K12" s="31"/>
      <c r="L12" s="31">
        <v>43526</v>
      </c>
      <c r="M12" s="28" t="s">
        <v>46</v>
      </c>
      <c r="N12" s="28"/>
      <c r="O12" s="2">
        <v>49</v>
      </c>
      <c r="P12" s="32"/>
      <c r="Q12" s="2"/>
      <c r="R12" s="2"/>
      <c r="S12" s="68"/>
      <c r="T12" s="33"/>
      <c r="V12" s="2"/>
      <c r="W12" s="2"/>
      <c r="X12" s="2">
        <f t="shared" si="2"/>
        <v>49</v>
      </c>
      <c r="Y12" s="2">
        <f t="shared" si="3"/>
        <v>49</v>
      </c>
      <c r="Z12" s="3">
        <f t="shared" si="4"/>
        <v>49000</v>
      </c>
      <c r="AA12" s="34">
        <v>43528</v>
      </c>
      <c r="AB12" s="3"/>
      <c r="AC12" s="35"/>
    </row>
    <row r="13" spans="1:29" x14ac:dyDescent="0.25">
      <c r="A13" s="26"/>
      <c r="B13" s="27" t="s">
        <v>2584</v>
      </c>
      <c r="C13" t="s">
        <v>2587</v>
      </c>
      <c r="D13" s="28" t="s">
        <v>2044</v>
      </c>
      <c r="E13" t="s">
        <v>2581</v>
      </c>
      <c r="F13" s="29">
        <v>100</v>
      </c>
      <c r="G13" s="30">
        <v>100</v>
      </c>
      <c r="H13" s="30">
        <f t="shared" si="1"/>
        <v>0</v>
      </c>
      <c r="I13" s="28" t="s">
        <v>2588</v>
      </c>
      <c r="K13" s="31"/>
      <c r="L13" s="31">
        <v>43526</v>
      </c>
      <c r="M13" s="28" t="s">
        <v>46</v>
      </c>
      <c r="N13" s="28"/>
      <c r="O13" s="2">
        <v>139</v>
      </c>
      <c r="P13" s="32"/>
      <c r="Q13" s="2"/>
      <c r="R13" s="2"/>
      <c r="S13" s="68"/>
      <c r="T13" s="33"/>
      <c r="V13" s="2"/>
      <c r="W13" s="2"/>
      <c r="X13" s="2">
        <f t="shared" si="2"/>
        <v>139</v>
      </c>
      <c r="Y13" s="2">
        <f t="shared" si="3"/>
        <v>139</v>
      </c>
      <c r="Z13" s="3">
        <f t="shared" si="4"/>
        <v>13900</v>
      </c>
      <c r="AA13" s="34">
        <v>43528</v>
      </c>
      <c r="AB13" s="3"/>
      <c r="AC13" s="35"/>
    </row>
    <row r="14" spans="1:29" ht="15.75" thickBot="1" x14ac:dyDescent="0.3">
      <c r="A14" s="40"/>
      <c r="B14" s="41"/>
      <c r="C14" s="4"/>
      <c r="D14" s="4"/>
      <c r="E14" s="4"/>
      <c r="F14" s="42"/>
      <c r="G14" s="42"/>
      <c r="H14" s="42"/>
      <c r="I14" s="7"/>
      <c r="J14" s="4"/>
      <c r="K14" s="8"/>
      <c r="L14" s="8"/>
      <c r="M14" s="4"/>
      <c r="N14" s="4"/>
      <c r="O14" s="9"/>
      <c r="P14" s="10"/>
      <c r="Q14" s="9"/>
      <c r="R14" s="9"/>
      <c r="S14" s="9"/>
      <c r="T14" s="9"/>
      <c r="U14" s="9"/>
      <c r="V14" s="9"/>
      <c r="W14" s="9"/>
      <c r="X14" s="9"/>
      <c r="Y14" s="9"/>
      <c r="Z14" s="13"/>
      <c r="AA14" s="43"/>
      <c r="AB14" s="3"/>
      <c r="AC14" s="35"/>
    </row>
    <row r="15" spans="1:29" x14ac:dyDescent="0.25">
      <c r="A15" s="44"/>
      <c r="B15" s="14" t="s">
        <v>26</v>
      </c>
      <c r="C15" s="14" t="s">
        <v>27</v>
      </c>
      <c r="D15" s="15" t="s">
        <v>1684</v>
      </c>
      <c r="E15" s="14">
        <v>200</v>
      </c>
      <c r="F15" s="16">
        <v>24265</v>
      </c>
      <c r="G15" s="17">
        <f>12540+6920</f>
        <v>19460</v>
      </c>
      <c r="H15" s="30">
        <f t="shared" ref="H15:H18" si="5">G15-F15</f>
        <v>-4805</v>
      </c>
      <c r="I15" s="19" t="s">
        <v>2551</v>
      </c>
      <c r="J15" s="14"/>
      <c r="K15" s="20"/>
      <c r="L15" s="20">
        <v>43527</v>
      </c>
      <c r="M15" s="15" t="s">
        <v>28</v>
      </c>
      <c r="N15" s="14"/>
      <c r="O15" s="21">
        <v>26.5</v>
      </c>
      <c r="P15" s="22"/>
      <c r="Q15" s="139">
        <v>21300</v>
      </c>
      <c r="R15" s="2">
        <f>75.45*E15</f>
        <v>15090</v>
      </c>
      <c r="S15" s="21">
        <f>-38*E15</f>
        <v>-7600</v>
      </c>
      <c r="T15" s="23">
        <f>X15*F15*0.0045</f>
        <v>3775.2352983684482</v>
      </c>
      <c r="U15" s="21">
        <f>E15*5</f>
        <v>1000</v>
      </c>
      <c r="V15" s="14"/>
      <c r="W15" s="21">
        <v>0.3</v>
      </c>
      <c r="X15" s="21">
        <f>((O15*F15)+Q15+R15+S15+U15)/G15</f>
        <v>34.574126413155192</v>
      </c>
      <c r="Y15" s="24">
        <f>((O15*F15)+Q15+R15+S15+T15+U15)/G15+W15</f>
        <v>35.068126171550283</v>
      </c>
      <c r="Z15" s="24">
        <f>Y15*G15</f>
        <v>682425.7352983685</v>
      </c>
      <c r="AA15" s="25">
        <v>43543</v>
      </c>
      <c r="AB15" s="3"/>
      <c r="AC15" s="3" t="s">
        <v>2566</v>
      </c>
    </row>
    <row r="16" spans="1:29" x14ac:dyDescent="0.25">
      <c r="A16" s="45"/>
      <c r="B16" s="27" t="s">
        <v>26</v>
      </c>
      <c r="C16" t="s">
        <v>27</v>
      </c>
      <c r="D16" s="28" t="s">
        <v>1720</v>
      </c>
      <c r="E16">
        <v>199</v>
      </c>
      <c r="F16" s="29">
        <v>21860</v>
      </c>
      <c r="G16" s="30">
        <f>11100+5960</f>
        <v>17060</v>
      </c>
      <c r="H16" s="30">
        <f t="shared" si="5"/>
        <v>-4800</v>
      </c>
      <c r="I16" s="28" t="s">
        <v>2563</v>
      </c>
      <c r="K16" s="31"/>
      <c r="L16" s="31">
        <v>43528</v>
      </c>
      <c r="M16" s="28" t="s">
        <v>29</v>
      </c>
      <c r="O16" s="2">
        <v>26.5</v>
      </c>
      <c r="P16" s="32"/>
      <c r="Q16" s="138">
        <v>21300</v>
      </c>
      <c r="R16" s="2">
        <f>75.45*E16</f>
        <v>15014.550000000001</v>
      </c>
      <c r="S16" s="33">
        <f>-38*E16</f>
        <v>-7562</v>
      </c>
      <c r="T16" s="33">
        <f>X16*F16*0.0045</f>
        <v>3511.7833407678777</v>
      </c>
      <c r="U16" s="2">
        <f>E16*5</f>
        <v>995</v>
      </c>
      <c r="W16" s="2">
        <v>0.3</v>
      </c>
      <c r="X16" s="2">
        <f>((O16*F16)+Q16+R16+S16+U16)/G16</f>
        <v>35.699739155920284</v>
      </c>
      <c r="Y16" s="2">
        <f>((O16*F16)+Q16+R16+S16+T16+U16)/G16+W16</f>
        <v>36.205588120795298</v>
      </c>
      <c r="Z16" s="3">
        <f>Y16*G16</f>
        <v>617667.33334076777</v>
      </c>
      <c r="AA16" s="34">
        <v>43543</v>
      </c>
      <c r="AB16" s="3"/>
      <c r="AC16" s="35" t="s">
        <v>2567</v>
      </c>
    </row>
    <row r="17" spans="1:32" x14ac:dyDescent="0.25">
      <c r="A17" s="45"/>
      <c r="B17" s="27" t="s">
        <v>1909</v>
      </c>
      <c r="C17" t="s">
        <v>2450</v>
      </c>
      <c r="D17" s="28" t="s">
        <v>1806</v>
      </c>
      <c r="E17" t="s">
        <v>2007</v>
      </c>
      <c r="F17" s="29">
        <f>908.99+891.76</f>
        <v>1800.75</v>
      </c>
      <c r="G17" s="30">
        <v>1800.75</v>
      </c>
      <c r="H17" s="30">
        <f t="shared" si="5"/>
        <v>0</v>
      </c>
      <c r="I17" s="28" t="s">
        <v>2592</v>
      </c>
      <c r="K17" s="31"/>
      <c r="L17" s="31">
        <v>43528</v>
      </c>
      <c r="M17" s="28" t="s">
        <v>29</v>
      </c>
      <c r="O17" s="2">
        <v>17</v>
      </c>
      <c r="P17" s="32"/>
      <c r="Q17" s="2"/>
      <c r="R17" s="2"/>
      <c r="S17" s="33"/>
      <c r="T17" s="33"/>
      <c r="U17" s="2"/>
      <c r="W17" s="2"/>
      <c r="X17" s="2">
        <f>IF(O17&gt;0,O17,((P17*2.2046*S17)+(Q17+R17)/G17)+V17)</f>
        <v>17</v>
      </c>
      <c r="Y17" s="2">
        <f>IF(O17&gt;0,O17,((P17*2.2046*S17)+(Q17+R17+T17)/G17)+V17+W17)</f>
        <v>17</v>
      </c>
      <c r="Z17" s="3">
        <f>Y17*F17</f>
        <v>30612.75</v>
      </c>
      <c r="AA17" s="34">
        <v>43535</v>
      </c>
      <c r="AB17" s="3"/>
      <c r="AC17" s="35"/>
    </row>
    <row r="18" spans="1:32" x14ac:dyDescent="0.25">
      <c r="A18" s="45"/>
      <c r="B18" s="27" t="s">
        <v>30</v>
      </c>
      <c r="C18" s="28" t="s">
        <v>1790</v>
      </c>
      <c r="D18" s="28" t="s">
        <v>1790</v>
      </c>
      <c r="E18" t="s">
        <v>32</v>
      </c>
      <c r="F18" s="29">
        <f>41565*0.4536</f>
        <v>18853.884000000002</v>
      </c>
      <c r="G18" s="30">
        <v>18755.77</v>
      </c>
      <c r="H18" s="30">
        <f t="shared" si="5"/>
        <v>-98.114000000001397</v>
      </c>
      <c r="I18" s="28" t="s">
        <v>2498</v>
      </c>
      <c r="J18" s="52" t="s">
        <v>196</v>
      </c>
      <c r="K18" s="31">
        <v>43528</v>
      </c>
      <c r="L18" s="31">
        <v>43529</v>
      </c>
      <c r="M18" s="28" t="s">
        <v>48</v>
      </c>
      <c r="N18" s="28" t="s">
        <v>2496</v>
      </c>
      <c r="O18" s="2"/>
      <c r="P18" s="32">
        <f>0.4607+0.095</f>
        <v>0.55569999999999997</v>
      </c>
      <c r="Q18" s="140">
        <v>26000</v>
      </c>
      <c r="R18" s="2">
        <v>89913</v>
      </c>
      <c r="S18" s="68">
        <v>19.161000000000001</v>
      </c>
      <c r="T18" s="33">
        <f t="shared" ref="T18" si="6">X18*F18*0.005</f>
        <v>2806.7959529358541</v>
      </c>
      <c r="V18" s="2">
        <v>0.12</v>
      </c>
      <c r="W18" s="2">
        <v>0.3</v>
      </c>
      <c r="X18" s="2">
        <f>IF(O18&gt;0,O18,((P18*2.2046*S18)+(Q18+R18)/G18)+V18)</f>
        <v>29.774193507670393</v>
      </c>
      <c r="Y18" s="2">
        <f>IF(O18&gt;0,O18,((P18*2.2046*S18)+(Q18+R18+T18)/G18)+V18+W18)</f>
        <v>30.223843239616127</v>
      </c>
      <c r="Z18" s="3">
        <f>Y18*F18</f>
        <v>569836.83447390667</v>
      </c>
      <c r="AA18" s="34">
        <v>43521</v>
      </c>
      <c r="AB18" s="3"/>
      <c r="AC18" s="35"/>
    </row>
    <row r="19" spans="1:32" x14ac:dyDescent="0.25">
      <c r="A19" s="45"/>
      <c r="B19" s="27" t="s">
        <v>30</v>
      </c>
      <c r="C19" s="28" t="s">
        <v>35</v>
      </c>
      <c r="D19" s="28" t="s">
        <v>36</v>
      </c>
      <c r="E19" t="s">
        <v>37</v>
      </c>
      <c r="F19" s="29">
        <f>41227*0.4536</f>
        <v>18700.567200000001</v>
      </c>
      <c r="G19" s="30">
        <v>18618.86</v>
      </c>
      <c r="H19" s="30">
        <f>G19-F19</f>
        <v>-81.707200000000739</v>
      </c>
      <c r="I19" t="s">
        <v>2499</v>
      </c>
      <c r="J19" s="52" t="s">
        <v>196</v>
      </c>
      <c r="K19" s="31">
        <v>43528</v>
      </c>
      <c r="L19" s="31">
        <v>43529</v>
      </c>
      <c r="M19" s="28" t="s">
        <v>48</v>
      </c>
      <c r="N19" s="28" t="s">
        <v>2497</v>
      </c>
      <c r="O19" s="2"/>
      <c r="P19" s="32">
        <f>0.4607+0.1</f>
        <v>0.56069999999999998</v>
      </c>
      <c r="Q19" s="140">
        <v>26000</v>
      </c>
      <c r="R19" s="2">
        <v>93550</v>
      </c>
      <c r="S19" s="68">
        <v>19.260000000000002</v>
      </c>
      <c r="T19" s="33">
        <f>X19*F19*0.005</f>
        <v>2837.6768837543136</v>
      </c>
      <c r="V19" s="2">
        <v>0.12</v>
      </c>
      <c r="W19" s="2">
        <v>0.3</v>
      </c>
      <c r="X19" s="2">
        <f>IF(O19&gt;0,O19,((P19*2.2046*S19)+(Q19+R19)/G19)+V19)</f>
        <v>30.34856486870958</v>
      </c>
      <c r="Y19" s="2">
        <f>IF(O19&gt;0,O19,((P19*2.2046*S19)+(Q19+R19+T19)/G19)+V19+W19)</f>
        <v>30.800973602850892</v>
      </c>
      <c r="Z19" s="3">
        <f>Y19*F19</f>
        <v>575995.67668553931</v>
      </c>
      <c r="AA19" s="34">
        <v>43530</v>
      </c>
      <c r="AB19" s="3"/>
      <c r="AC19" s="35"/>
    </row>
    <row r="20" spans="1:32" x14ac:dyDescent="0.25">
      <c r="A20" s="45"/>
      <c r="B20" s="27" t="s">
        <v>26</v>
      </c>
      <c r="C20" t="s">
        <v>27</v>
      </c>
      <c r="D20" s="28" t="s">
        <v>1829</v>
      </c>
      <c r="E20">
        <v>200</v>
      </c>
      <c r="F20" s="29">
        <v>23690</v>
      </c>
      <c r="G20" s="30">
        <f>12040+6420</f>
        <v>18460</v>
      </c>
      <c r="H20" s="30">
        <f>G20-F20</f>
        <v>-5230</v>
      </c>
      <c r="I20" s="28" t="s">
        <v>2595</v>
      </c>
      <c r="K20" s="31"/>
      <c r="L20" s="31">
        <v>43529</v>
      </c>
      <c r="M20" s="28" t="s">
        <v>48</v>
      </c>
      <c r="O20" s="2">
        <v>26.5</v>
      </c>
      <c r="P20" s="32"/>
      <c r="Q20" s="138">
        <v>21300</v>
      </c>
      <c r="R20" s="2">
        <f>75.45*E20</f>
        <v>15090</v>
      </c>
      <c r="S20" s="33">
        <f>-38*E20</f>
        <v>-7600</v>
      </c>
      <c r="T20" s="33">
        <f>X20*F20*0.005</f>
        <v>4219.3802139761647</v>
      </c>
      <c r="U20" s="2">
        <f>E20*5</f>
        <v>1000</v>
      </c>
      <c r="W20" s="2">
        <v>0.3</v>
      </c>
      <c r="X20" s="2">
        <f>((O20*F20)+Q20+R20+S20+U20)/G20</f>
        <v>35.621614301191769</v>
      </c>
      <c r="Y20" s="2">
        <f>((O20*F20)+Q20+R20+S20+T20+U20)/G20+W20</f>
        <v>36.150183110182887</v>
      </c>
      <c r="Z20" s="3">
        <f>Y20*G20</f>
        <v>667332.38021397614</v>
      </c>
      <c r="AA20" s="34">
        <v>43543</v>
      </c>
      <c r="AB20" s="3"/>
      <c r="AC20" s="35" t="s">
        <v>2598</v>
      </c>
      <c r="AF20" s="30"/>
    </row>
    <row r="21" spans="1:32" x14ac:dyDescent="0.25">
      <c r="A21" s="45"/>
      <c r="B21" s="27" t="s">
        <v>30</v>
      </c>
      <c r="C21" s="28" t="s">
        <v>31</v>
      </c>
      <c r="D21" s="28" t="s">
        <v>31</v>
      </c>
      <c r="E21" t="s">
        <v>32</v>
      </c>
      <c r="F21" s="29">
        <f>41287*0.4536</f>
        <v>18727.783200000002</v>
      </c>
      <c r="G21" s="30">
        <v>18806.240000000002</v>
      </c>
      <c r="H21" s="30">
        <f t="shared" ref="H21:H23" si="7">G21-F21</f>
        <v>78.45679999999993</v>
      </c>
      <c r="I21" s="28" t="s">
        <v>2159</v>
      </c>
      <c r="J21" s="52" t="s">
        <v>196</v>
      </c>
      <c r="K21" s="31">
        <v>43529</v>
      </c>
      <c r="L21" s="31">
        <v>43530</v>
      </c>
      <c r="M21" s="28" t="s">
        <v>33</v>
      </c>
      <c r="N21" s="28" t="s">
        <v>2497</v>
      </c>
      <c r="O21" s="2"/>
      <c r="P21" s="32">
        <f>0.4607+0.1</f>
        <v>0.56069999999999998</v>
      </c>
      <c r="Q21" s="140">
        <v>26000</v>
      </c>
      <c r="R21" s="2">
        <v>90339</v>
      </c>
      <c r="S21" s="68">
        <v>19.145</v>
      </c>
      <c r="T21" s="33">
        <f t="shared" ref="T21:T23" si="8">X21*F21*0.005</f>
        <v>2806.5169236119041</v>
      </c>
      <c r="V21" s="2">
        <v>0.12</v>
      </c>
      <c r="W21" s="2">
        <v>0.3</v>
      </c>
      <c r="X21" s="2">
        <f>IF(O21&gt;0,O21,((P21*2.2046*S21)+(Q21+R21)/G21)+V21)</f>
        <v>29.97169385869336</v>
      </c>
      <c r="Y21" s="2">
        <f>IF(O21&gt;0,O21,((P21*2.2046*S21)+(Q21+R21+T21)/G21)+V21+W21)</f>
        <v>30.42092714103007</v>
      </c>
      <c r="Z21" s="3">
        <f>Y21*F21</f>
        <v>569716.528240207</v>
      </c>
      <c r="AA21" s="34">
        <v>43523</v>
      </c>
      <c r="AB21" s="3"/>
      <c r="AC21" s="35"/>
    </row>
    <row r="22" spans="1:32" x14ac:dyDescent="0.25">
      <c r="A22" s="45"/>
      <c r="B22" s="27" t="s">
        <v>30</v>
      </c>
      <c r="C22" s="28" t="s">
        <v>31</v>
      </c>
      <c r="D22" s="28" t="s">
        <v>31</v>
      </c>
      <c r="E22" t="s">
        <v>32</v>
      </c>
      <c r="F22" s="29">
        <f>40738*0.4536</f>
        <v>18478.756799999999</v>
      </c>
      <c r="G22" s="30">
        <v>18522.21</v>
      </c>
      <c r="H22" s="30">
        <f t="shared" si="7"/>
        <v>43.453199999999924</v>
      </c>
      <c r="I22" s="28" t="s">
        <v>2160</v>
      </c>
      <c r="J22" s="52" t="s">
        <v>1690</v>
      </c>
      <c r="K22" s="31">
        <v>43529</v>
      </c>
      <c r="L22" s="31">
        <v>43530</v>
      </c>
      <c r="M22" s="28" t="s">
        <v>33</v>
      </c>
      <c r="N22" s="28" t="s">
        <v>2497</v>
      </c>
      <c r="O22" s="2"/>
      <c r="P22" s="32">
        <f>0.4607+0.1</f>
        <v>0.56069999999999998</v>
      </c>
      <c r="Q22" s="140">
        <v>26000</v>
      </c>
      <c r="R22" s="2">
        <v>88139</v>
      </c>
      <c r="S22" s="68">
        <v>19.145</v>
      </c>
      <c r="T22" s="33">
        <f t="shared" si="8"/>
        <v>2766.9887238506676</v>
      </c>
      <c r="V22" s="2">
        <v>0.12</v>
      </c>
      <c r="W22" s="2">
        <v>0.3</v>
      </c>
      <c r="X22" s="2">
        <f t="shared" ref="X22" si="9">IF(O22&gt;0,O22,((P22*2.2046*S22)+(Q22+R22)/G22)+V22)</f>
        <v>29.947780078480907</v>
      </c>
      <c r="Y22" s="2">
        <f t="shared" ref="Y22" si="10">IF(O22&gt;0,O22,((P22*2.2046*S22)+(Q22+R22+T22)/G22)+V22+W22)</f>
        <v>30.397167690642235</v>
      </c>
      <c r="Z22" s="3">
        <f t="shared" ref="Z22" si="11">Y22*F22</f>
        <v>561701.86916419549</v>
      </c>
      <c r="AA22" s="34">
        <v>43523</v>
      </c>
      <c r="AB22" s="3"/>
      <c r="AC22" s="35"/>
    </row>
    <row r="23" spans="1:32" x14ac:dyDescent="0.25">
      <c r="A23" s="45"/>
      <c r="B23" s="27" t="s">
        <v>26</v>
      </c>
      <c r="C23" t="s">
        <v>27</v>
      </c>
      <c r="D23" s="28" t="s">
        <v>1871</v>
      </c>
      <c r="E23">
        <v>200</v>
      </c>
      <c r="F23" s="29">
        <v>23500</v>
      </c>
      <c r="G23" s="30">
        <f>12190+6550</f>
        <v>18740</v>
      </c>
      <c r="H23" s="30">
        <f t="shared" si="7"/>
        <v>-4760</v>
      </c>
      <c r="I23" s="28" t="s">
        <v>2619</v>
      </c>
      <c r="K23" s="31"/>
      <c r="L23" s="31">
        <v>43530</v>
      </c>
      <c r="M23" s="28" t="s">
        <v>33</v>
      </c>
      <c r="O23" s="2">
        <v>26.5</v>
      </c>
      <c r="P23" s="32"/>
      <c r="Q23" s="138">
        <v>21300</v>
      </c>
      <c r="R23" s="2">
        <f>75.45*E23</f>
        <v>15090</v>
      </c>
      <c r="S23" s="33">
        <f>-38*E23</f>
        <v>-7600</v>
      </c>
      <c r="T23" s="33">
        <f t="shared" si="8"/>
        <v>4091.432764140875</v>
      </c>
      <c r="U23" s="2">
        <f>E23*5</f>
        <v>1000</v>
      </c>
      <c r="W23" s="2">
        <v>0.3</v>
      </c>
      <c r="X23" s="2">
        <f t="shared" ref="X23" si="12">((O23*F23)+Q23+R23+S23+U23)/G23</f>
        <v>34.82070437566702</v>
      </c>
      <c r="Y23" s="2">
        <f>((O23*F23)+Q23+R23+S23+T23+U23)/G23+W23</f>
        <v>35.339030563721494</v>
      </c>
      <c r="Z23" s="3">
        <f>Y23*G23</f>
        <v>662253.43276414077</v>
      </c>
      <c r="AA23" s="34">
        <v>43544</v>
      </c>
      <c r="AB23" s="3"/>
      <c r="AC23" s="35" t="s">
        <v>2620</v>
      </c>
    </row>
    <row r="24" spans="1:32" x14ac:dyDescent="0.25">
      <c r="A24" s="45"/>
      <c r="B24" s="27" t="s">
        <v>30</v>
      </c>
      <c r="C24" s="28" t="s">
        <v>40</v>
      </c>
      <c r="D24" s="28" t="s">
        <v>40</v>
      </c>
      <c r="E24" t="s">
        <v>37</v>
      </c>
      <c r="F24" s="29">
        <f>42742*0.4536</f>
        <v>19387.771199999999</v>
      </c>
      <c r="G24" s="30">
        <v>19340.150000000001</v>
      </c>
      <c r="H24" s="30">
        <f>G24-F24</f>
        <v>-47.621199999997771</v>
      </c>
      <c r="I24" t="s">
        <v>2501</v>
      </c>
      <c r="J24" s="52" t="s">
        <v>196</v>
      </c>
      <c r="K24" s="31">
        <v>43530</v>
      </c>
      <c r="L24" s="31">
        <v>43531</v>
      </c>
      <c r="M24" s="28" t="s">
        <v>41</v>
      </c>
      <c r="N24" s="28" t="s">
        <v>2500</v>
      </c>
      <c r="O24" s="2"/>
      <c r="P24" s="32">
        <f>0.4658+0.105</f>
        <v>0.57079999999999997</v>
      </c>
      <c r="Q24" s="140">
        <v>26000</v>
      </c>
      <c r="R24" s="2">
        <v>94627</v>
      </c>
      <c r="S24" s="68">
        <v>19.145</v>
      </c>
      <c r="T24" s="33">
        <f>X24*F24*0.005</f>
        <v>2951.6836946157</v>
      </c>
      <c r="V24" s="2">
        <v>0.12</v>
      </c>
      <c r="W24" s="2">
        <v>0.3</v>
      </c>
      <c r="X24" s="2">
        <f>IF(O24&gt;0,O24,((P24*2.2046*S24)+(Q24+R24)/G24)+V24)</f>
        <v>30.448922304340996</v>
      </c>
      <c r="Y24" s="2">
        <f>IF(O24&gt;0,O24,((P24*2.2046*S24)+(Q24+R24+T24)/G24)+V24+W24)</f>
        <v>30.901541787365467</v>
      </c>
      <c r="Z24" s="3">
        <f>Y24*F24</f>
        <v>599112.02190068073</v>
      </c>
      <c r="AA24" s="34">
        <v>43524</v>
      </c>
      <c r="AB24" s="3"/>
      <c r="AC24" s="35"/>
    </row>
    <row r="25" spans="1:32" x14ac:dyDescent="0.25">
      <c r="A25" s="45"/>
      <c r="B25" s="27" t="s">
        <v>26</v>
      </c>
      <c r="C25" t="s">
        <v>27</v>
      </c>
      <c r="D25" s="28" t="s">
        <v>2625</v>
      </c>
      <c r="E25">
        <v>217</v>
      </c>
      <c r="F25" s="29">
        <v>25715</v>
      </c>
      <c r="G25" s="30">
        <v>23360</v>
      </c>
      <c r="H25" s="30">
        <f t="shared" ref="H25:H27" si="13">G25-F25</f>
        <v>-2355</v>
      </c>
      <c r="I25" s="28" t="s">
        <v>2626</v>
      </c>
      <c r="J25" s="55">
        <v>250</v>
      </c>
      <c r="K25" s="31"/>
      <c r="L25" s="31">
        <v>43531</v>
      </c>
      <c r="M25" s="28" t="s">
        <v>41</v>
      </c>
      <c r="O25" s="2">
        <v>26.5</v>
      </c>
      <c r="P25" s="32"/>
      <c r="Q25" s="138">
        <v>21300</v>
      </c>
      <c r="R25" s="2">
        <f t="shared" ref="R25:R26" si="14">75.45*E25</f>
        <v>16372.650000000001</v>
      </c>
      <c r="S25" s="33">
        <f>-38*E25</f>
        <v>-8246</v>
      </c>
      <c r="T25" s="33">
        <f>X25*F25*0.0045</f>
        <v>3526.803636135488</v>
      </c>
      <c r="U25" s="2">
        <f>E25*5</f>
        <v>1085</v>
      </c>
      <c r="W25" s="2">
        <v>0.3</v>
      </c>
      <c r="X25" s="2">
        <f t="shared" ref="X25" si="15">((O25*F25)+Q25+R25+S25+U25)/G25</f>
        <v>30.477703339041096</v>
      </c>
      <c r="Y25" s="2">
        <f>((O25*F25)+Q25+R25+S25+T25+U25)/G25+W25</f>
        <v>30.928679522094846</v>
      </c>
      <c r="Z25" s="3">
        <f>Y25*G25</f>
        <v>722493.95363613556</v>
      </c>
      <c r="AA25" s="34">
        <v>43544</v>
      </c>
      <c r="AB25" s="3">
        <v>35.4</v>
      </c>
      <c r="AC25" s="35"/>
    </row>
    <row r="26" spans="1:32" x14ac:dyDescent="0.25">
      <c r="A26" s="45"/>
      <c r="B26" s="27" t="s">
        <v>26</v>
      </c>
      <c r="C26" t="s">
        <v>27</v>
      </c>
      <c r="D26" s="28" t="s">
        <v>1684</v>
      </c>
      <c r="E26">
        <v>164</v>
      </c>
      <c r="F26" s="29">
        <v>18335</v>
      </c>
      <c r="G26" s="30">
        <v>11720</v>
      </c>
      <c r="H26" s="30">
        <f t="shared" si="13"/>
        <v>-6615</v>
      </c>
      <c r="I26" s="28" t="s">
        <v>2627</v>
      </c>
      <c r="J26" s="55">
        <v>131</v>
      </c>
      <c r="K26" s="31"/>
      <c r="L26" s="31">
        <v>43531</v>
      </c>
      <c r="M26" s="28" t="s">
        <v>41</v>
      </c>
      <c r="O26" s="2">
        <v>26.5</v>
      </c>
      <c r="P26" s="32"/>
      <c r="Q26" s="140">
        <v>16900</v>
      </c>
      <c r="R26" s="2">
        <f t="shared" si="14"/>
        <v>12373.800000000001</v>
      </c>
      <c r="S26" s="33">
        <f>-38*E26</f>
        <v>-6232</v>
      </c>
      <c r="T26" s="33">
        <f>X26*F26*0.0045</f>
        <v>3588.5081309513648</v>
      </c>
      <c r="U26" s="2">
        <f>E26*5</f>
        <v>820</v>
      </c>
      <c r="W26" s="2">
        <v>0.3</v>
      </c>
      <c r="X26" s="2">
        <f>((O26*F26)+Q26+R26+S26+U26)/G26</f>
        <v>43.493114334470988</v>
      </c>
      <c r="Y26" s="2">
        <f>((O26*F26)+Q26+R26+S26+T26+U26)/G26+W26</f>
        <v>44.099301035064109</v>
      </c>
      <c r="Z26" s="3">
        <f>Y26*G26</f>
        <v>516843.80813095137</v>
      </c>
      <c r="AA26" s="34">
        <v>43544</v>
      </c>
      <c r="AB26" s="3"/>
      <c r="AC26" s="35" t="s">
        <v>2634</v>
      </c>
    </row>
    <row r="27" spans="1:32" x14ac:dyDescent="0.25">
      <c r="A27" s="45"/>
      <c r="B27" s="27" t="s">
        <v>1909</v>
      </c>
      <c r="C27" t="s">
        <v>2450</v>
      </c>
      <c r="D27" s="28" t="s">
        <v>1806</v>
      </c>
      <c r="E27" t="s">
        <v>2455</v>
      </c>
      <c r="F27" s="29">
        <f>862+850+860+850</f>
        <v>3422</v>
      </c>
      <c r="G27" s="30">
        <v>3422</v>
      </c>
      <c r="H27" s="30">
        <f t="shared" si="13"/>
        <v>0</v>
      </c>
      <c r="I27" s="28" t="s">
        <v>2804</v>
      </c>
      <c r="K27" s="31"/>
      <c r="L27" s="31">
        <v>43531</v>
      </c>
      <c r="M27" s="28" t="s">
        <v>41</v>
      </c>
      <c r="O27" s="2">
        <v>17</v>
      </c>
      <c r="P27" s="32"/>
      <c r="Q27" s="2"/>
      <c r="R27" s="2"/>
      <c r="S27" s="33"/>
      <c r="T27" s="33"/>
      <c r="U27" s="2"/>
      <c r="W27" s="2"/>
      <c r="X27" s="2">
        <f>IF(O27&gt;0,O27,((P27*2.2046*S27)+(Q27+R27)/G27)+V27)</f>
        <v>17</v>
      </c>
      <c r="Y27" s="2">
        <f>IF(O27&gt;0,O27,((P27*2.2046*S27)+(Q27+R27+T27)/G27)+V27+W27)</f>
        <v>17</v>
      </c>
      <c r="Z27" s="3">
        <f>Y27*F27</f>
        <v>58174</v>
      </c>
      <c r="AA27" s="34">
        <v>43539</v>
      </c>
      <c r="AB27" s="3"/>
      <c r="AC27" s="35"/>
    </row>
    <row r="28" spans="1:32" x14ac:dyDescent="0.25">
      <c r="A28" s="45"/>
      <c r="B28" s="27" t="s">
        <v>30</v>
      </c>
      <c r="C28" s="28" t="s">
        <v>1790</v>
      </c>
      <c r="D28" s="28" t="s">
        <v>1790</v>
      </c>
      <c r="E28" t="s">
        <v>2413</v>
      </c>
      <c r="F28" s="29">
        <f>39369*0.4536</f>
        <v>17857.778399999999</v>
      </c>
      <c r="G28" s="30">
        <v>17774.189999999999</v>
      </c>
      <c r="H28" s="30">
        <f>G28-F28</f>
        <v>-83.588400000000547</v>
      </c>
      <c r="I28" s="28" t="s">
        <v>2502</v>
      </c>
      <c r="J28" s="52" t="s">
        <v>196</v>
      </c>
      <c r="K28" s="31">
        <v>43532</v>
      </c>
      <c r="L28" s="31">
        <v>43533</v>
      </c>
      <c r="M28" s="28" t="s">
        <v>46</v>
      </c>
      <c r="N28" s="28" t="s">
        <v>2565</v>
      </c>
      <c r="O28" s="2"/>
      <c r="P28" s="32">
        <f>0.4625+0.095</f>
        <v>0.5575</v>
      </c>
      <c r="Q28" s="140">
        <v>26000</v>
      </c>
      <c r="R28" s="2">
        <v>86342</v>
      </c>
      <c r="S28" s="68">
        <v>19.145</v>
      </c>
      <c r="T28" s="33">
        <f>X28*F28*0.005</f>
        <v>2676.0731776110815</v>
      </c>
      <c r="V28" s="2">
        <v>0.12</v>
      </c>
      <c r="W28" s="2">
        <v>0.3</v>
      </c>
      <c r="X28" s="2">
        <f>IF(O28&gt;0,O28,((P28*2.2046*S28)+(Q28+R28)/G28)+V28)</f>
        <v>29.970952911041628</v>
      </c>
      <c r="Y28" s="2">
        <f>IF(O28&gt;0,O28,((P28*2.2046*S28)+(Q28+R28+T28)/G28)+V28+W28)</f>
        <v>30.421512412071554</v>
      </c>
      <c r="Z28" s="3">
        <f>Y28*F28</f>
        <v>543260.62724762328</v>
      </c>
      <c r="AA28" s="34">
        <v>43522</v>
      </c>
      <c r="AB28" s="3"/>
      <c r="AC28" s="35"/>
    </row>
    <row r="29" spans="1:32" x14ac:dyDescent="0.25">
      <c r="A29" s="45"/>
      <c r="B29" s="27" t="s">
        <v>26</v>
      </c>
      <c r="C29" t="s">
        <v>43</v>
      </c>
      <c r="D29" s="28" t="s">
        <v>44</v>
      </c>
      <c r="E29">
        <v>240</v>
      </c>
      <c r="F29" s="29">
        <v>21750</v>
      </c>
      <c r="G29" s="30">
        <v>21810</v>
      </c>
      <c r="H29" s="30">
        <f t="shared" ref="H29:H32" si="16">G29-F29</f>
        <v>60</v>
      </c>
      <c r="I29" t="s">
        <v>2687</v>
      </c>
      <c r="K29" s="31"/>
      <c r="L29" s="31">
        <v>43532</v>
      </c>
      <c r="M29" s="28" t="s">
        <v>45</v>
      </c>
      <c r="O29" s="2">
        <v>34.200000000000003</v>
      </c>
      <c r="P29" s="32"/>
      <c r="Q29" s="138">
        <v>21300</v>
      </c>
      <c r="R29" s="2"/>
      <c r="S29" s="33"/>
      <c r="T29" s="33">
        <f>X29*F29*0.0045</f>
        <v>3439.0878610729028</v>
      </c>
      <c r="U29" s="2">
        <f>E29*5</f>
        <v>1200</v>
      </c>
      <c r="W29" s="2">
        <v>0.3</v>
      </c>
      <c r="X29" s="2">
        <f>((O29*F29)+Q29+R29+S29+U29)/G29</f>
        <v>35.137551581843198</v>
      </c>
      <c r="Y29" s="2">
        <f>((O29*F29)+Q29+R29+S29+T29+U29)/G29+W29</f>
        <v>35.595235573639293</v>
      </c>
      <c r="Z29" s="3">
        <f>Y29*G29</f>
        <v>776332.08786107297</v>
      </c>
      <c r="AA29" s="34">
        <v>43537</v>
      </c>
      <c r="AB29" s="3"/>
      <c r="AC29" s="35"/>
    </row>
    <row r="30" spans="1:32" x14ac:dyDescent="0.25">
      <c r="A30" s="45"/>
      <c r="B30" s="27" t="s">
        <v>26</v>
      </c>
      <c r="C30" t="s">
        <v>27</v>
      </c>
      <c r="D30" s="28" t="s">
        <v>1720</v>
      </c>
      <c r="E30">
        <v>130</v>
      </c>
      <c r="F30" s="29">
        <v>14400</v>
      </c>
      <c r="G30" s="30">
        <v>11170</v>
      </c>
      <c r="H30" s="30">
        <f t="shared" si="16"/>
        <v>-3230</v>
      </c>
      <c r="I30" s="28" t="s">
        <v>2659</v>
      </c>
      <c r="K30" s="31"/>
      <c r="L30" s="31">
        <v>43532</v>
      </c>
      <c r="M30" s="28" t="s">
        <v>45</v>
      </c>
      <c r="O30" s="2">
        <v>26</v>
      </c>
      <c r="P30" s="32"/>
      <c r="Q30" s="140">
        <v>16900</v>
      </c>
      <c r="R30" s="2">
        <f t="shared" ref="R30" si="17">75.45*E30</f>
        <v>9808.5</v>
      </c>
      <c r="S30" s="33">
        <f>-38*E30</f>
        <v>-4940</v>
      </c>
      <c r="T30" s="33">
        <f>X30*F30*0.0045</f>
        <v>2302.044655326768</v>
      </c>
      <c r="U30" s="2">
        <f>E30*5</f>
        <v>650</v>
      </c>
      <c r="W30" s="2">
        <v>0.3</v>
      </c>
      <c r="X30" s="2">
        <f>((O30*F30)+Q30+R30+S30+U30)/G30</f>
        <v>35.525380483437779</v>
      </c>
      <c r="Y30" s="2">
        <f>((O30*F30)+Q30+R30+S30+T30+U30)/G30+W30</f>
        <v>36.031472216233368</v>
      </c>
      <c r="Z30" s="3">
        <f>Y30*G30</f>
        <v>402471.5446553267</v>
      </c>
      <c r="AA30" s="34">
        <v>43545</v>
      </c>
      <c r="AB30" s="3"/>
      <c r="AC30" s="35" t="s">
        <v>2635</v>
      </c>
    </row>
    <row r="31" spans="1:32" x14ac:dyDescent="0.25">
      <c r="A31" s="45"/>
      <c r="B31" s="27" t="s">
        <v>30</v>
      </c>
      <c r="C31" t="s">
        <v>40</v>
      </c>
      <c r="D31" s="28" t="s">
        <v>40</v>
      </c>
      <c r="E31" t="s">
        <v>37</v>
      </c>
      <c r="F31" s="29">
        <f>43010*0.4536</f>
        <v>19509.335999999999</v>
      </c>
      <c r="G31" s="30">
        <v>19482.84</v>
      </c>
      <c r="H31" s="30">
        <f t="shared" si="16"/>
        <v>-26.495999999999185</v>
      </c>
      <c r="I31" s="28" t="s">
        <v>2503</v>
      </c>
      <c r="J31" s="52" t="s">
        <v>196</v>
      </c>
      <c r="K31" s="31">
        <v>43532</v>
      </c>
      <c r="L31" s="31">
        <v>43533</v>
      </c>
      <c r="M31" s="28" t="s">
        <v>46</v>
      </c>
      <c r="N31" s="28" t="s">
        <v>2504</v>
      </c>
      <c r="O31" s="2"/>
      <c r="P31" s="32">
        <f>0.4732+0.105</f>
        <v>0.57820000000000005</v>
      </c>
      <c r="Q31" s="140">
        <v>26000</v>
      </c>
      <c r="R31" s="2">
        <v>95817</v>
      </c>
      <c r="S31" s="68">
        <v>19.34</v>
      </c>
      <c r="T31" s="33">
        <f>X31*F31*0.005</f>
        <v>3026.4072511994864</v>
      </c>
      <c r="V31" s="2">
        <v>0.12</v>
      </c>
      <c r="W31" s="2">
        <v>0.3</v>
      </c>
      <c r="X31" s="2">
        <f>IF(O31&gt;0,O31,((P31*2.2046*S31)+(Q31+R31)/G31)+V31)</f>
        <v>31.025220450347323</v>
      </c>
      <c r="Y31" s="2">
        <f>IF(O31&gt;0,O31,((P31*2.2046*S31)+(Q31+R31+T31)/G31)+V31+W31)</f>
        <v>31.480557518823968</v>
      </c>
      <c r="Z31" s="3">
        <f>Y31*F31</f>
        <v>614164.77410206315</v>
      </c>
      <c r="AA31" s="34">
        <v>43528</v>
      </c>
      <c r="AB31" s="3" t="s">
        <v>2628</v>
      </c>
      <c r="AC31" s="35"/>
    </row>
    <row r="32" spans="1:32" x14ac:dyDescent="0.25">
      <c r="A32" s="45"/>
      <c r="B32" s="27" t="s">
        <v>2057</v>
      </c>
      <c r="C32" t="s">
        <v>2586</v>
      </c>
      <c r="D32" s="28" t="s">
        <v>2044</v>
      </c>
      <c r="E32" t="s">
        <v>1914</v>
      </c>
      <c r="F32" s="29">
        <v>1000</v>
      </c>
      <c r="G32" s="30">
        <v>1000</v>
      </c>
      <c r="H32" s="30">
        <f t="shared" si="16"/>
        <v>0</v>
      </c>
      <c r="I32" s="28" t="s">
        <v>2668</v>
      </c>
      <c r="K32" s="31"/>
      <c r="L32" s="31">
        <v>43533</v>
      </c>
      <c r="M32" s="28" t="s">
        <v>46</v>
      </c>
      <c r="N32" s="28"/>
      <c r="O32" s="2">
        <v>49</v>
      </c>
      <c r="P32" s="32"/>
      <c r="Q32" s="2"/>
      <c r="R32" s="2"/>
      <c r="S32" s="68"/>
      <c r="T32" s="33"/>
      <c r="V32" s="2"/>
      <c r="W32" s="2"/>
      <c r="X32" s="2">
        <f>IF(O32&gt;0,O32,((P32*2.2046*S32)+(Q32+R32)/G32)+V32)</f>
        <v>49</v>
      </c>
      <c r="Y32" s="2">
        <f>IF(O32&gt;0,O32,((P32*2.2046*S32)+(Q32+R32+T32)/G32)+V32+W32)</f>
        <v>49</v>
      </c>
      <c r="Z32" s="3">
        <f>Y32*F32</f>
        <v>49000</v>
      </c>
      <c r="AA32" s="34">
        <v>43535</v>
      </c>
      <c r="AB32" s="3"/>
      <c r="AC32" s="35"/>
    </row>
    <row r="33" spans="1:32" ht="15.75" thickBot="1" x14ac:dyDescent="0.3">
      <c r="A33" s="47"/>
      <c r="B33" s="41"/>
      <c r="C33" s="4"/>
      <c r="D33" s="4"/>
      <c r="E33" s="4"/>
      <c r="F33" s="42"/>
      <c r="G33" s="42"/>
      <c r="H33" s="42"/>
      <c r="I33" s="7"/>
      <c r="J33" s="4"/>
      <c r="K33" s="8"/>
      <c r="L33" s="8"/>
      <c r="M33" s="4"/>
      <c r="N33" s="4"/>
      <c r="O33" s="9"/>
      <c r="P33" s="10"/>
      <c r="Q33" s="9"/>
      <c r="R33" s="9"/>
      <c r="S33" s="9"/>
      <c r="T33" s="9"/>
      <c r="U33" s="9"/>
      <c r="V33" s="9"/>
      <c r="W33" s="9"/>
      <c r="X33" s="9"/>
      <c r="Y33" s="9"/>
      <c r="Z33" s="13"/>
      <c r="AA33" s="43"/>
      <c r="AB33" s="3"/>
      <c r="AC33" s="35"/>
    </row>
    <row r="34" spans="1:32" x14ac:dyDescent="0.25">
      <c r="A34" s="123"/>
      <c r="B34" s="14" t="s">
        <v>26</v>
      </c>
      <c r="C34" s="14" t="s">
        <v>27</v>
      </c>
      <c r="D34" s="15" t="s">
        <v>2670</v>
      </c>
      <c r="E34" s="14">
        <f>200+50</f>
        <v>250</v>
      </c>
      <c r="F34" s="16">
        <f>24915+5575</f>
        <v>30490</v>
      </c>
      <c r="G34" s="17">
        <f>17040+7150</f>
        <v>24190</v>
      </c>
      <c r="H34" s="30">
        <f t="shared" ref="H34:H36" si="18">G34-F34</f>
        <v>-6300</v>
      </c>
      <c r="I34" s="19" t="s">
        <v>2671</v>
      </c>
      <c r="J34" s="14"/>
      <c r="K34" s="20"/>
      <c r="L34" s="20">
        <v>43534</v>
      </c>
      <c r="M34" s="15" t="s">
        <v>28</v>
      </c>
      <c r="N34" s="14"/>
      <c r="O34" s="21">
        <v>26</v>
      </c>
      <c r="P34" s="22"/>
      <c r="Q34" s="139">
        <v>21300</v>
      </c>
      <c r="R34" s="2">
        <f t="shared" ref="R34:R35" si="19">75.45*E34</f>
        <v>18862.5</v>
      </c>
      <c r="S34" s="21">
        <f>-38*E34</f>
        <v>-9500</v>
      </c>
      <c r="T34" s="23">
        <f>X34*F34*0.0045</f>
        <v>4677.4057983670928</v>
      </c>
      <c r="U34" s="21">
        <f>E34*5</f>
        <v>1250</v>
      </c>
      <c r="V34" s="14"/>
      <c r="W34" s="21">
        <v>0.3</v>
      </c>
      <c r="X34" s="21">
        <f>((O34*F34)+Q34+R34+S34+U34)/G34</f>
        <v>34.090636626705248</v>
      </c>
      <c r="Y34" s="24">
        <f>((O34*F34)+Q34+R34+S34+T34+U34)/G34+W34</f>
        <v>34.583997759337208</v>
      </c>
      <c r="Z34" s="24">
        <f>Y34*G34</f>
        <v>836586.90579836711</v>
      </c>
      <c r="AA34" s="25">
        <v>43549</v>
      </c>
      <c r="AB34" s="3"/>
      <c r="AC34" s="3" t="s">
        <v>2683</v>
      </c>
    </row>
    <row r="35" spans="1:32" x14ac:dyDescent="0.25">
      <c r="A35" s="124"/>
      <c r="B35" s="27" t="s">
        <v>26</v>
      </c>
      <c r="C35" t="s">
        <v>27</v>
      </c>
      <c r="D35" s="28" t="s">
        <v>1684</v>
      </c>
      <c r="E35">
        <f>129+70</f>
        <v>199</v>
      </c>
      <c r="F35" s="29">
        <v>22440</v>
      </c>
      <c r="G35" s="30">
        <f>11620+6250</f>
        <v>17870</v>
      </c>
      <c r="H35" s="30">
        <f t="shared" si="18"/>
        <v>-4570</v>
      </c>
      <c r="I35" s="28" t="s">
        <v>2688</v>
      </c>
      <c r="K35" s="31"/>
      <c r="L35" s="31">
        <v>43535</v>
      </c>
      <c r="M35" s="28" t="s">
        <v>29</v>
      </c>
      <c r="O35" s="2">
        <v>26</v>
      </c>
      <c r="P35" s="32"/>
      <c r="Q35" s="138">
        <v>21300</v>
      </c>
      <c r="R35" s="2">
        <f t="shared" si="19"/>
        <v>15014.550000000001</v>
      </c>
      <c r="S35" s="33">
        <f>-38*E35</f>
        <v>-7562</v>
      </c>
      <c r="T35" s="28">
        <f>X35*F35*0.0045</f>
        <v>3465.0072075545609</v>
      </c>
      <c r="U35" s="2">
        <f>E35*5</f>
        <v>995</v>
      </c>
      <c r="W35" s="2">
        <v>0.3</v>
      </c>
      <c r="X35" s="2">
        <f>((O35*F35)+Q35+R35+S35+U35)/G35</f>
        <v>34.313796866256297</v>
      </c>
      <c r="Y35" s="2">
        <f>((O35*F35)+Q35+R35+S35+T35+U35)/G35+W35</f>
        <v>34.807697661306911</v>
      </c>
      <c r="Z35" s="3">
        <f>Y35*G35</f>
        <v>622013.55720755446</v>
      </c>
      <c r="AA35" s="34">
        <v>43549</v>
      </c>
      <c r="AB35" s="3"/>
      <c r="AC35" s="35" t="s">
        <v>2694</v>
      </c>
    </row>
    <row r="36" spans="1:32" x14ac:dyDescent="0.25">
      <c r="A36" s="124"/>
      <c r="B36" s="27" t="s">
        <v>30</v>
      </c>
      <c r="C36" s="28" t="s">
        <v>1790</v>
      </c>
      <c r="D36" s="28" t="s">
        <v>1790</v>
      </c>
      <c r="E36" t="s">
        <v>2413</v>
      </c>
      <c r="F36" s="29">
        <f>40008*0.4536</f>
        <v>18147.628799999999</v>
      </c>
      <c r="G36" s="30">
        <v>17846.240000000002</v>
      </c>
      <c r="H36" s="165">
        <f t="shared" si="18"/>
        <v>-301.38879999999699</v>
      </c>
      <c r="I36" s="28" t="s">
        <v>2607</v>
      </c>
      <c r="J36" s="52" t="s">
        <v>196</v>
      </c>
      <c r="K36" s="31">
        <v>43535</v>
      </c>
      <c r="L36" s="31">
        <v>43536</v>
      </c>
      <c r="M36" s="28" t="s">
        <v>48</v>
      </c>
      <c r="N36" s="28" t="s">
        <v>2603</v>
      </c>
      <c r="O36" s="2"/>
      <c r="P36" s="32">
        <f>0.5058+0.095</f>
        <v>0.6008</v>
      </c>
      <c r="Q36" s="140">
        <v>26000</v>
      </c>
      <c r="R36" s="2">
        <v>98373</v>
      </c>
      <c r="S36" s="68">
        <v>19.34</v>
      </c>
      <c r="T36" s="33">
        <f t="shared" ref="T36" si="20">X36*F36*0.005</f>
        <v>2967.6301123057592</v>
      </c>
      <c r="V36" s="2">
        <v>0.12</v>
      </c>
      <c r="W36" s="2">
        <v>0.3</v>
      </c>
      <c r="X36" s="2">
        <f>IF(O36&gt;0,O36,((P36*2.2046*S36)+(Q36+R36)/G36)+V36)</f>
        <v>32.705431051198921</v>
      </c>
      <c r="Y36" s="2">
        <f>IF(O36&gt;0,O36,((P36*2.2046*S36)+(Q36+R36+T36)/G36)+V36+W36)</f>
        <v>33.171719866787285</v>
      </c>
      <c r="Z36" s="3">
        <f>Y36*F36</f>
        <v>601988.05880004109</v>
      </c>
      <c r="AA36" s="34">
        <v>43528</v>
      </c>
      <c r="AB36" s="3"/>
      <c r="AC36" s="35"/>
    </row>
    <row r="37" spans="1:32" x14ac:dyDescent="0.25">
      <c r="A37" s="124"/>
      <c r="B37" s="27" t="s">
        <v>30</v>
      </c>
      <c r="C37" s="28" t="s">
        <v>35</v>
      </c>
      <c r="D37" s="28" t="s">
        <v>36</v>
      </c>
      <c r="E37" t="s">
        <v>37</v>
      </c>
      <c r="F37" s="29">
        <f>41615*0.4536</f>
        <v>18876.563999999998</v>
      </c>
      <c r="G37" s="30">
        <v>18811.87</v>
      </c>
      <c r="H37" s="30">
        <f>G37-F37</f>
        <v>-64.693999999999505</v>
      </c>
      <c r="I37" t="s">
        <v>2608</v>
      </c>
      <c r="J37" s="52" t="s">
        <v>196</v>
      </c>
      <c r="K37" s="31">
        <v>43535</v>
      </c>
      <c r="L37" s="31">
        <v>43536</v>
      </c>
      <c r="M37" s="28" t="s">
        <v>48</v>
      </c>
      <c r="N37" s="28" t="s">
        <v>2604</v>
      </c>
      <c r="O37" s="2"/>
      <c r="P37" s="32">
        <f>0.5058+0.1</f>
        <v>0.60580000000000001</v>
      </c>
      <c r="Q37" s="140">
        <v>26000</v>
      </c>
      <c r="R37" s="2">
        <v>98050</v>
      </c>
      <c r="S37" s="68">
        <v>19.47</v>
      </c>
      <c r="T37" s="33">
        <f>X37*F37*0.005</f>
        <v>3087.9543046536442</v>
      </c>
      <c r="V37" s="2">
        <v>0.12</v>
      </c>
      <c r="W37" s="2">
        <v>0.3</v>
      </c>
      <c r="X37" s="2">
        <f>IF(O37&gt;0,O37,((P37*2.2046*S37)+(Q37+R37)/G37)+V37)</f>
        <v>32.717334623543188</v>
      </c>
      <c r="Y37" s="2">
        <f>IF(O37&gt;0,O37,((P37*2.2046*S37)+(Q37+R37+T37)/G37)+V37+W37)</f>
        <v>33.181483871047746</v>
      </c>
      <c r="Z37" s="3">
        <f>Y37*F37</f>
        <v>626352.40390680043</v>
      </c>
      <c r="AA37" s="34">
        <v>43536</v>
      </c>
      <c r="AB37" s="3"/>
      <c r="AC37" s="35"/>
    </row>
    <row r="38" spans="1:32" x14ac:dyDescent="0.25">
      <c r="A38" s="124"/>
      <c r="B38" s="27" t="s">
        <v>26</v>
      </c>
      <c r="C38" t="s">
        <v>27</v>
      </c>
      <c r="D38" s="28" t="s">
        <v>1636</v>
      </c>
      <c r="E38">
        <v>200</v>
      </c>
      <c r="F38" s="29">
        <v>25615</v>
      </c>
      <c r="G38" s="30">
        <f>7180+13490</f>
        <v>20670</v>
      </c>
      <c r="H38" s="30">
        <f>G38-F38</f>
        <v>-4945</v>
      </c>
      <c r="I38" t="s">
        <v>2700</v>
      </c>
      <c r="K38" s="31"/>
      <c r="L38" s="31">
        <v>43536</v>
      </c>
      <c r="M38" s="28" t="s">
        <v>48</v>
      </c>
      <c r="O38" s="2">
        <v>26</v>
      </c>
      <c r="P38" s="32"/>
      <c r="Q38" s="138">
        <v>21300</v>
      </c>
      <c r="R38" s="2">
        <f>75.45*E38</f>
        <v>15090</v>
      </c>
      <c r="S38" s="33">
        <f>-38*E38</f>
        <v>-7600</v>
      </c>
      <c r="T38" s="33">
        <f>X38*F38*0.005</f>
        <v>4311.1767537493952</v>
      </c>
      <c r="U38" s="2">
        <f>E38*5</f>
        <v>1000</v>
      </c>
      <c r="W38" s="2">
        <v>0.3</v>
      </c>
      <c r="X38" s="2">
        <f>((O38*F38)+Q38+R38+S38+U38)/G38</f>
        <v>33.661344944363812</v>
      </c>
      <c r="Y38" s="2">
        <f>((O38*F38)+Q38+R38+S38+T38+U38)/G38+W38</f>
        <v>34.169916630563584</v>
      </c>
      <c r="Z38" s="3">
        <f>Y38*G38</f>
        <v>706292.17675374926</v>
      </c>
      <c r="AA38" s="34">
        <v>43550</v>
      </c>
      <c r="AB38" s="3"/>
      <c r="AC38" s="35" t="s">
        <v>2716</v>
      </c>
      <c r="AF38" s="30"/>
    </row>
    <row r="39" spans="1:32" x14ac:dyDescent="0.25">
      <c r="A39" s="124"/>
      <c r="B39" s="27" t="s">
        <v>1909</v>
      </c>
      <c r="C39" t="s">
        <v>2450</v>
      </c>
      <c r="D39" s="28" t="s">
        <v>1806</v>
      </c>
      <c r="E39" t="s">
        <v>1910</v>
      </c>
      <c r="F39" s="29">
        <f>847+867+856+867+881</f>
        <v>4318</v>
      </c>
      <c r="G39" s="30">
        <v>4318</v>
      </c>
      <c r="H39" s="30">
        <f>G39-F39</f>
        <v>0</v>
      </c>
      <c r="I39" t="s">
        <v>2806</v>
      </c>
      <c r="K39" s="31"/>
      <c r="L39" s="31">
        <v>43536</v>
      </c>
      <c r="M39" s="28" t="s">
        <v>48</v>
      </c>
      <c r="O39" s="2">
        <v>17.2</v>
      </c>
      <c r="P39" s="32"/>
      <c r="Q39" s="2"/>
      <c r="R39" s="2"/>
      <c r="S39" s="33"/>
      <c r="T39" s="33"/>
      <c r="U39" s="2"/>
      <c r="W39" s="2"/>
      <c r="X39" s="2">
        <f>IF(O39&gt;0,O39,((P39*2.2046*S39)+(Q39+R39)/G39)+V39)</f>
        <v>17.2</v>
      </c>
      <c r="Y39" s="2">
        <f>IF(O39&gt;0,O39,((P39*2.2046*S39)+(Q39+R39+T39)/G39)+V39+W39)</f>
        <v>17.2</v>
      </c>
      <c r="Z39" s="3">
        <f>Y39*F39</f>
        <v>74269.599999999991</v>
      </c>
      <c r="AA39" s="34">
        <v>43543</v>
      </c>
      <c r="AB39" s="3"/>
      <c r="AC39" s="35"/>
      <c r="AF39" s="30"/>
    </row>
    <row r="40" spans="1:32" x14ac:dyDescent="0.25">
      <c r="A40" s="124"/>
      <c r="B40" s="27" t="s">
        <v>30</v>
      </c>
      <c r="C40" s="28" t="s">
        <v>31</v>
      </c>
      <c r="D40" s="28" t="s">
        <v>31</v>
      </c>
      <c r="E40" t="s">
        <v>32</v>
      </c>
      <c r="F40" s="29">
        <f>41274*0.4536</f>
        <v>18721.886399999999</v>
      </c>
      <c r="G40" s="30">
        <v>18664.240000000002</v>
      </c>
      <c r="H40" s="30">
        <f t="shared" ref="H40:H41" si="21">G40-F40</f>
        <v>-57.646399999997811</v>
      </c>
      <c r="I40" s="28">
        <v>57059</v>
      </c>
      <c r="J40" s="52" t="s">
        <v>1690</v>
      </c>
      <c r="K40" s="31">
        <v>43536</v>
      </c>
      <c r="L40" s="31">
        <v>43537</v>
      </c>
      <c r="M40" s="28" t="s">
        <v>33</v>
      </c>
      <c r="N40" s="28" t="s">
        <v>2604</v>
      </c>
      <c r="O40" s="2"/>
      <c r="P40" s="32">
        <f>0.5058+0.1</f>
        <v>0.60580000000000001</v>
      </c>
      <c r="Q40" s="140">
        <v>26000</v>
      </c>
      <c r="R40" s="2">
        <v>104514.2</v>
      </c>
      <c r="S40" s="68">
        <v>19.292000000000002</v>
      </c>
      <c r="T40" s="33">
        <f t="shared" ref="T40:T41" si="22">X40*F40*0.005</f>
        <v>3077.7009916910529</v>
      </c>
      <c r="V40" s="2">
        <v>0.12</v>
      </c>
      <c r="W40" s="2">
        <v>0.3</v>
      </c>
      <c r="X40" s="2">
        <f>IF(O40&gt;0,O40,((P40*2.2046*S40)+(Q40+R40)/G40)+V40)</f>
        <v>32.878107749773044</v>
      </c>
      <c r="Y40" s="2">
        <f>IF(O40&gt;0,O40,((P40*2.2046*S40)+(Q40+R40+T40)/G40)+V40+W40)</f>
        <v>33.343006025389457</v>
      </c>
      <c r="Z40" s="3">
        <f>Y40*F40</f>
        <v>624243.97104185692</v>
      </c>
      <c r="AA40" s="34">
        <v>43530</v>
      </c>
      <c r="AB40" s="3" t="s">
        <v>2632</v>
      </c>
      <c r="AC40" s="35"/>
    </row>
    <row r="41" spans="1:32" x14ac:dyDescent="0.25">
      <c r="A41" s="124"/>
      <c r="B41" s="27" t="s">
        <v>26</v>
      </c>
      <c r="C41" t="s">
        <v>27</v>
      </c>
      <c r="D41" s="28" t="s">
        <v>1636</v>
      </c>
      <c r="E41">
        <v>200</v>
      </c>
      <c r="F41" s="29">
        <v>24520</v>
      </c>
      <c r="G41" s="30">
        <f>7120+12480</f>
        <v>19600</v>
      </c>
      <c r="H41" s="30">
        <f t="shared" si="21"/>
        <v>-4920</v>
      </c>
      <c r="I41" s="28" t="s">
        <v>2711</v>
      </c>
      <c r="K41" s="31"/>
      <c r="L41" s="31">
        <v>43537</v>
      </c>
      <c r="M41" s="28" t="s">
        <v>33</v>
      </c>
      <c r="O41" s="2">
        <v>26</v>
      </c>
      <c r="P41" s="32"/>
      <c r="Q41" s="138">
        <v>21300</v>
      </c>
      <c r="R41" s="2">
        <f>75.45*E41</f>
        <v>15090</v>
      </c>
      <c r="S41" s="33">
        <f>-38*E41</f>
        <v>-7600</v>
      </c>
      <c r="T41" s="33">
        <f t="shared" si="22"/>
        <v>4174.0921428571428</v>
      </c>
      <c r="U41" s="2">
        <f>E41*5</f>
        <v>1000</v>
      </c>
      <c r="W41" s="2">
        <v>0.3</v>
      </c>
      <c r="X41" s="2">
        <f t="shared" ref="X41" si="23">((O41*F41)+Q41+R41+S41+U41)/G41</f>
        <v>34.046428571428571</v>
      </c>
      <c r="Y41" s="2">
        <f>((O41*F41)+Q41+R41+S41+T41+U41)/G41+W41</f>
        <v>34.55939245626822</v>
      </c>
      <c r="Z41" s="3">
        <f>Y41*G41</f>
        <v>677364.09214285715</v>
      </c>
      <c r="AA41" s="34">
        <v>43550</v>
      </c>
      <c r="AB41" s="3"/>
      <c r="AC41" s="35" t="s">
        <v>2717</v>
      </c>
    </row>
    <row r="42" spans="1:32" x14ac:dyDescent="0.25">
      <c r="A42" s="124"/>
      <c r="B42" s="27" t="s">
        <v>30</v>
      </c>
      <c r="C42" s="28" t="s">
        <v>40</v>
      </c>
      <c r="D42" s="28" t="s">
        <v>40</v>
      </c>
      <c r="E42" t="s">
        <v>37</v>
      </c>
      <c r="F42" s="29">
        <f>42145*0.4536</f>
        <v>19116.972000000002</v>
      </c>
      <c r="G42" s="30">
        <v>19107.77</v>
      </c>
      <c r="H42" s="30">
        <f>G42-F42</f>
        <v>-9.202000000001135</v>
      </c>
      <c r="I42" t="s">
        <v>2609</v>
      </c>
      <c r="J42" s="52" t="s">
        <v>196</v>
      </c>
      <c r="K42" s="31">
        <v>43537</v>
      </c>
      <c r="L42" s="31">
        <v>43538</v>
      </c>
      <c r="M42" s="28" t="s">
        <v>41</v>
      </c>
      <c r="N42" s="28" t="s">
        <v>2605</v>
      </c>
      <c r="O42" s="2"/>
      <c r="P42" s="32">
        <f>0.5298+0.105</f>
        <v>0.63480000000000003</v>
      </c>
      <c r="Q42" s="140">
        <v>26000</v>
      </c>
      <c r="R42" s="2">
        <v>104611</v>
      </c>
      <c r="S42" s="68">
        <v>19.629000000000001</v>
      </c>
      <c r="T42" s="33">
        <f>X42*F42*0.005</f>
        <v>3290.5934956673236</v>
      </c>
      <c r="V42" s="2">
        <v>0.12</v>
      </c>
      <c r="W42" s="2">
        <v>0.3</v>
      </c>
      <c r="X42" s="2">
        <f>IF(O42&gt;0,O42,((P42*2.2046*S42)+(Q42+R42)/G42)+V42)</f>
        <v>34.425886020728839</v>
      </c>
      <c r="Y42" s="2">
        <f>IF(O42&gt;0,O42,((P42*2.2046*S42)+(Q42+R42+T42)/G42)+V42+W42)</f>
        <v>34.898098345645209</v>
      </c>
      <c r="Z42" s="3">
        <f>Y42*F42</f>
        <v>667145.96892694582</v>
      </c>
      <c r="AA42" s="34">
        <v>43531</v>
      </c>
      <c r="AB42" s="3"/>
      <c r="AC42" s="35"/>
    </row>
    <row r="43" spans="1:32" x14ac:dyDescent="0.25">
      <c r="A43" s="124"/>
      <c r="B43" s="27" t="s">
        <v>30</v>
      </c>
      <c r="C43" s="28" t="s">
        <v>36</v>
      </c>
      <c r="D43" s="28" t="s">
        <v>35</v>
      </c>
      <c r="E43" t="s">
        <v>2703</v>
      </c>
      <c r="F43" s="29">
        <f>35657*0.4536</f>
        <v>16174.0152</v>
      </c>
      <c r="G43" s="30">
        <v>16136.03</v>
      </c>
      <c r="H43" s="30">
        <f>G43-F43</f>
        <v>-37.985199999999168</v>
      </c>
      <c r="I43" t="s">
        <v>2610</v>
      </c>
      <c r="J43" s="52" t="s">
        <v>196</v>
      </c>
      <c r="K43" s="31">
        <v>43537</v>
      </c>
      <c r="L43" s="31">
        <v>43538</v>
      </c>
      <c r="M43" s="28" t="s">
        <v>41</v>
      </c>
      <c r="N43" s="28" t="s">
        <v>2606</v>
      </c>
      <c r="O43" s="2"/>
      <c r="P43" s="32">
        <f>0.5298+0.1</f>
        <v>0.62980000000000003</v>
      </c>
      <c r="Q43" s="140">
        <v>22100</v>
      </c>
      <c r="R43" s="2">
        <v>87307</v>
      </c>
      <c r="S43" s="68">
        <v>19.03</v>
      </c>
      <c r="T43" s="33">
        <f>X43*F43*0.005</f>
        <v>2694.8036638677154</v>
      </c>
      <c r="V43" s="2">
        <v>0.12</v>
      </c>
      <c r="W43" s="2">
        <v>0.3</v>
      </c>
      <c r="X43" s="2">
        <f>IF(O43&gt;0,O43,((P43*2.2046*S43)+(Q43+R43)/G43)+V43)</f>
        <v>33.322630534781688</v>
      </c>
      <c r="Y43" s="2">
        <f>IF(O43&gt;0,O43,((P43*2.2046*S43)+(Q43+R43+T43)/G43)+V43+W43)</f>
        <v>33.789635904991563</v>
      </c>
      <c r="Z43" s="3">
        <f>Y43*F43</f>
        <v>546514.0847297993</v>
      </c>
      <c r="AA43" s="34">
        <v>43543</v>
      </c>
      <c r="AB43" s="3"/>
      <c r="AC43" s="35"/>
    </row>
    <row r="44" spans="1:32" x14ac:dyDescent="0.25">
      <c r="A44" s="124"/>
      <c r="B44" s="27" t="s">
        <v>1805</v>
      </c>
      <c r="C44" s="28" t="s">
        <v>36</v>
      </c>
      <c r="D44" s="28" t="s">
        <v>35</v>
      </c>
      <c r="E44" t="s">
        <v>1815</v>
      </c>
      <c r="F44" s="29">
        <f>5313*0.4536</f>
        <v>2409.9767999999999</v>
      </c>
      <c r="G44" s="30">
        <v>2406.83</v>
      </c>
      <c r="H44" s="30">
        <f>G44-F44</f>
        <v>-3.1467999999999847</v>
      </c>
      <c r="I44" t="s">
        <v>2610</v>
      </c>
      <c r="K44" s="31">
        <v>43537</v>
      </c>
      <c r="L44" s="31">
        <v>43538</v>
      </c>
      <c r="M44" s="28" t="s">
        <v>41</v>
      </c>
      <c r="N44" s="28"/>
      <c r="O44" s="2"/>
      <c r="P44" s="32">
        <v>0.39</v>
      </c>
      <c r="Q44" s="140">
        <v>3900</v>
      </c>
      <c r="R44" s="2">
        <v>1200</v>
      </c>
      <c r="S44" s="68">
        <v>19.03</v>
      </c>
      <c r="T44" s="33">
        <f>X44*F44*0.005</f>
        <v>224.13807980322673</v>
      </c>
      <c r="V44" s="2">
        <v>0.12</v>
      </c>
      <c r="W44" s="2"/>
      <c r="X44" s="2">
        <f>IF(O44&gt;0,O44,((P44*2.2046*S44)+(Q44+R44)/G44)+V44)</f>
        <v>18.600849585209843</v>
      </c>
      <c r="Y44" s="2">
        <f>IF(O44&gt;0,O44,((P44*2.2046*S44)+(Q44+R44+T44)/G44)+V44+W44)</f>
        <v>18.693975431157927</v>
      </c>
      <c r="Z44" s="3">
        <f>Y44*F44</f>
        <v>45052.0470888606</v>
      </c>
      <c r="AA44" s="34">
        <v>43543</v>
      </c>
      <c r="AB44" s="3"/>
      <c r="AC44" s="35"/>
    </row>
    <row r="45" spans="1:32" x14ac:dyDescent="0.25">
      <c r="A45" s="124"/>
      <c r="B45" s="27" t="s">
        <v>26</v>
      </c>
      <c r="C45" t="s">
        <v>27</v>
      </c>
      <c r="D45" s="28" t="s">
        <v>2722</v>
      </c>
      <c r="E45">
        <v>200</v>
      </c>
      <c r="F45" s="29">
        <v>22990</v>
      </c>
      <c r="G45" s="30">
        <v>22610</v>
      </c>
      <c r="H45" s="30">
        <f t="shared" ref="H45:H46" si="24">G45-F45</f>
        <v>-380</v>
      </c>
      <c r="I45" t="s">
        <v>2721</v>
      </c>
      <c r="K45" s="31"/>
      <c r="L45" s="31">
        <v>43538</v>
      </c>
      <c r="M45" s="28" t="s">
        <v>41</v>
      </c>
      <c r="O45" s="2">
        <v>26</v>
      </c>
      <c r="P45" s="32"/>
      <c r="Q45" s="138">
        <v>21300</v>
      </c>
      <c r="R45" s="2">
        <f t="shared" ref="R45:R46" si="25">75.45*E45</f>
        <v>15090</v>
      </c>
      <c r="S45" s="33">
        <f>-38*E45</f>
        <v>-7600</v>
      </c>
      <c r="T45" s="33">
        <f>X45*F45*0.0045</f>
        <v>2871.3452521008403</v>
      </c>
      <c r="U45" s="2">
        <f>E45*5</f>
        <v>1000</v>
      </c>
      <c r="W45" s="2">
        <v>0.3</v>
      </c>
      <c r="X45" s="2">
        <f t="shared" ref="X45" si="26">((O45*F45)+Q45+R45+S45+U45)/G45</f>
        <v>27.754533392304289</v>
      </c>
      <c r="Y45" s="2">
        <f>((O45*F45)+Q45+R45+S45+T45+U45)/G45+W45</f>
        <v>28.181527874927063</v>
      </c>
      <c r="Z45" s="3">
        <f>Y45*G45</f>
        <v>637184.34525210084</v>
      </c>
      <c r="AA45" s="34">
        <v>43551</v>
      </c>
      <c r="AB45" s="3">
        <v>34.82</v>
      </c>
    </row>
    <row r="46" spans="1:32" x14ac:dyDescent="0.25">
      <c r="A46" s="124"/>
      <c r="B46" s="27" t="s">
        <v>26</v>
      </c>
      <c r="C46" t="s">
        <v>27</v>
      </c>
      <c r="D46" s="28" t="s">
        <v>1684</v>
      </c>
      <c r="E46">
        <v>180</v>
      </c>
      <c r="F46" s="29">
        <v>19825</v>
      </c>
      <c r="G46" s="30">
        <v>11410</v>
      </c>
      <c r="H46" s="30">
        <f t="shared" si="24"/>
        <v>-8415</v>
      </c>
      <c r="I46" t="s">
        <v>2723</v>
      </c>
      <c r="K46" s="31"/>
      <c r="L46" s="31">
        <v>43538</v>
      </c>
      <c r="M46" s="28" t="s">
        <v>41</v>
      </c>
      <c r="O46" s="2">
        <v>26</v>
      </c>
      <c r="P46" s="32"/>
      <c r="Q46" s="140">
        <v>16900</v>
      </c>
      <c r="R46" s="2">
        <f t="shared" si="25"/>
        <v>13581</v>
      </c>
      <c r="S46" s="33">
        <f>-38*E46</f>
        <v>-6840</v>
      </c>
      <c r="T46" s="33">
        <f>X46*F46*0.0045</f>
        <v>4222.0812521910602</v>
      </c>
      <c r="U46" s="2">
        <f>E46*5</f>
        <v>900</v>
      </c>
      <c r="W46" s="2">
        <v>0.3</v>
      </c>
      <c r="X46" s="2">
        <f>((O46*F46)+Q46+R46+S46+U46)/G46</f>
        <v>47.326117440841365</v>
      </c>
      <c r="Y46" s="2">
        <f>((O46*F46)+Q46+R46+S46+T46+U46)/G46+W46</f>
        <v>47.996150854705618</v>
      </c>
      <c r="Z46" s="3">
        <f>Y46*G46</f>
        <v>547636.0812521911</v>
      </c>
      <c r="AA46" s="34">
        <v>43551</v>
      </c>
      <c r="AB46" s="3"/>
      <c r="AC46" s="35" t="s">
        <v>2724</v>
      </c>
    </row>
    <row r="47" spans="1:32" x14ac:dyDescent="0.25">
      <c r="A47" s="124"/>
      <c r="B47" s="27" t="s">
        <v>30</v>
      </c>
      <c r="C47" s="28" t="s">
        <v>1790</v>
      </c>
      <c r="D47" s="28" t="s">
        <v>1790</v>
      </c>
      <c r="E47" t="s">
        <v>32</v>
      </c>
      <c r="F47" s="29">
        <f>42040*0.4536</f>
        <v>19069.344000000001</v>
      </c>
      <c r="G47" s="30">
        <v>19254.18</v>
      </c>
      <c r="H47" s="166">
        <f>G47-F47</f>
        <v>184.83599999999933</v>
      </c>
      <c r="I47" s="28" t="s">
        <v>2611</v>
      </c>
      <c r="J47" s="52" t="s">
        <v>196</v>
      </c>
      <c r="K47" s="31">
        <v>43539</v>
      </c>
      <c r="L47" s="31">
        <v>43540</v>
      </c>
      <c r="M47" s="28" t="s">
        <v>46</v>
      </c>
      <c r="N47" s="28" t="s">
        <v>2612</v>
      </c>
      <c r="O47" s="2"/>
      <c r="P47" s="32">
        <f>0.5298+0.095</f>
        <v>0.62480000000000002</v>
      </c>
      <c r="Q47" s="140">
        <v>26000</v>
      </c>
      <c r="R47" s="2">
        <v>102166</v>
      </c>
      <c r="S47" s="68">
        <v>19.32</v>
      </c>
      <c r="T47" s="33">
        <f>X47*F47*0.005</f>
        <v>3183.4892080250347</v>
      </c>
      <c r="V47" s="2">
        <v>0.12</v>
      </c>
      <c r="W47" s="2">
        <v>0.3</v>
      </c>
      <c r="X47" s="2">
        <f>IF(O47&gt;0,O47,((P47*2.2046*S47)+(Q47+R47)/G47)+V47)</f>
        <v>33.388555033933358</v>
      </c>
      <c r="Y47" s="2">
        <f>IF(O47&gt;0,O47,((P47*2.2046*S47)+(Q47+R47+T47)/G47)+V47+W47)</f>
        <v>33.853895194253091</v>
      </c>
      <c r="Z47" s="3">
        <f>Y47*F47</f>
        <v>645571.573199159</v>
      </c>
      <c r="AA47" s="34">
        <v>43529</v>
      </c>
      <c r="AB47" s="3"/>
      <c r="AC47" s="35"/>
    </row>
    <row r="48" spans="1:32" x14ac:dyDescent="0.25">
      <c r="A48" s="124"/>
      <c r="B48" s="27" t="s">
        <v>30</v>
      </c>
      <c r="C48" s="28" t="s">
        <v>31</v>
      </c>
      <c r="D48" s="28" t="s">
        <v>31</v>
      </c>
      <c r="E48" t="s">
        <v>32</v>
      </c>
      <c r="F48" s="29">
        <f>40948*0.4536</f>
        <v>18574.0128</v>
      </c>
      <c r="G48" s="30">
        <v>18511.64</v>
      </c>
      <c r="H48" s="30">
        <f>G48-F48</f>
        <v>-62.372800000001007</v>
      </c>
      <c r="I48">
        <v>57060</v>
      </c>
      <c r="J48" s="52" t="s">
        <v>196</v>
      </c>
      <c r="K48" s="31">
        <v>43538</v>
      </c>
      <c r="L48" s="31">
        <v>43539</v>
      </c>
      <c r="M48" s="28" t="s">
        <v>45</v>
      </c>
      <c r="N48" s="28" t="s">
        <v>2613</v>
      </c>
      <c r="O48" s="2"/>
      <c r="P48" s="32">
        <f>0.5482+0.1</f>
        <v>0.6482</v>
      </c>
      <c r="Q48" s="140">
        <v>26000</v>
      </c>
      <c r="R48" s="2">
        <v>103399</v>
      </c>
      <c r="S48" s="68">
        <v>19.568999999999999</v>
      </c>
      <c r="T48" s="33">
        <f>X48*F48*0.005</f>
        <v>3257.3867043970813</v>
      </c>
      <c r="V48" s="2">
        <v>0.12</v>
      </c>
      <c r="W48" s="2">
        <v>0.3</v>
      </c>
      <c r="X48" s="2">
        <f>IF(O48&gt;0,O48,((P48*2.2046*S48)+(Q48+R48)/G48)+V48)</f>
        <v>35.074668457179925</v>
      </c>
      <c r="Y48" s="2">
        <f>IF(O48&gt;0,O48,((P48*2.2046*S48)+(Q48+R48+T48)/G48)+V48+W48)</f>
        <v>35.550632699375491</v>
      </c>
      <c r="Z48" s="3">
        <f>Y48*F48</f>
        <v>660317.90680629888</v>
      </c>
      <c r="AA48" s="34">
        <v>43532</v>
      </c>
      <c r="AB48" s="3" t="s">
        <v>2633</v>
      </c>
      <c r="AC48" s="35"/>
    </row>
    <row r="49" spans="1:32" x14ac:dyDescent="0.25">
      <c r="A49" s="124"/>
      <c r="B49" s="27" t="s">
        <v>26</v>
      </c>
      <c r="C49" t="s">
        <v>43</v>
      </c>
      <c r="D49" s="28" t="s">
        <v>44</v>
      </c>
      <c r="E49">
        <v>240</v>
      </c>
      <c r="F49" s="29">
        <v>21480</v>
      </c>
      <c r="G49" s="30">
        <v>21480</v>
      </c>
      <c r="H49" s="30">
        <f t="shared" ref="H49:H53" si="27">G49-F49</f>
        <v>0</v>
      </c>
      <c r="I49" t="s">
        <v>2759</v>
      </c>
      <c r="K49" s="31"/>
      <c r="L49" s="31">
        <v>43539</v>
      </c>
      <c r="M49" s="28" t="s">
        <v>45</v>
      </c>
      <c r="O49" s="2">
        <v>33.9</v>
      </c>
      <c r="P49" s="32"/>
      <c r="Q49" s="138">
        <v>21300</v>
      </c>
      <c r="R49" s="2"/>
      <c r="S49" s="33"/>
      <c r="T49" s="33">
        <f>X49*F49*0.0045</f>
        <v>3378.0239999999999</v>
      </c>
      <c r="U49" s="2">
        <f>E49*5</f>
        <v>1200</v>
      </c>
      <c r="W49" s="2">
        <v>0.3</v>
      </c>
      <c r="X49" s="2">
        <f>((O49*F49)+Q49+R49+S49+U49)/G49</f>
        <v>34.947486033519553</v>
      </c>
      <c r="Y49" s="2">
        <f>((O49*F49)+Q49+R49+S49+T49+U49)/G49+W49</f>
        <v>35.404749720670388</v>
      </c>
      <c r="Z49" s="3">
        <f>Y49*G49</f>
        <v>760494.02399999998</v>
      </c>
      <c r="AA49" s="34">
        <v>43544</v>
      </c>
      <c r="AB49" s="3"/>
      <c r="AC49" s="35"/>
    </row>
    <row r="50" spans="1:32" x14ac:dyDescent="0.25">
      <c r="A50" s="124"/>
      <c r="B50" s="27" t="s">
        <v>26</v>
      </c>
      <c r="C50" t="s">
        <v>27</v>
      </c>
      <c r="D50" s="28" t="s">
        <v>1684</v>
      </c>
      <c r="E50">
        <v>129</v>
      </c>
      <c r="F50" s="29">
        <v>14885</v>
      </c>
      <c r="G50" s="30">
        <v>11760</v>
      </c>
      <c r="H50" s="30">
        <f t="shared" si="27"/>
        <v>-3125</v>
      </c>
      <c r="I50" s="28" t="s">
        <v>2734</v>
      </c>
      <c r="J50" s="55">
        <v>129</v>
      </c>
      <c r="K50" s="31"/>
      <c r="L50" s="31">
        <v>43539</v>
      </c>
      <c r="M50" s="28" t="s">
        <v>45</v>
      </c>
      <c r="O50" s="2">
        <v>26</v>
      </c>
      <c r="P50" s="32"/>
      <c r="Q50" s="140">
        <v>16900</v>
      </c>
      <c r="R50" s="2">
        <f t="shared" ref="R50" si="28">75.45*E50</f>
        <v>9733.0500000000011</v>
      </c>
      <c r="S50" s="33">
        <f>-38*E50</f>
        <v>-4902</v>
      </c>
      <c r="T50" s="33">
        <f>X50*F50*0.0045</f>
        <v>2331.7773039221934</v>
      </c>
      <c r="U50" s="2">
        <f>E50*5</f>
        <v>645</v>
      </c>
      <c r="W50" s="2">
        <v>0.3</v>
      </c>
      <c r="X50" s="2">
        <f>((O50*F50)+Q50+R50+S50+U50)/G50</f>
        <v>34.811738945578227</v>
      </c>
      <c r="Y50" s="2">
        <f>((O50*F50)+Q50+R50+S50+T50+U50)/G50+W50</f>
        <v>35.310019328564806</v>
      </c>
      <c r="Z50" s="3">
        <f>Y50*G50</f>
        <v>415245.82730392209</v>
      </c>
      <c r="AA50" s="34">
        <v>43552</v>
      </c>
      <c r="AB50" s="3"/>
      <c r="AC50" s="35" t="s">
        <v>2735</v>
      </c>
    </row>
    <row r="51" spans="1:32" x14ac:dyDescent="0.25">
      <c r="A51" s="124"/>
      <c r="B51" s="27" t="s">
        <v>1729</v>
      </c>
      <c r="C51" t="s">
        <v>1814</v>
      </c>
      <c r="D51" s="28" t="s">
        <v>1734</v>
      </c>
      <c r="E51" t="s">
        <v>2800</v>
      </c>
      <c r="F51" s="29">
        <v>8760.2000000000007</v>
      </c>
      <c r="G51" s="30">
        <v>8760.2000000000007</v>
      </c>
      <c r="H51" s="30">
        <f t="shared" si="27"/>
        <v>0</v>
      </c>
      <c r="I51" s="28" t="s">
        <v>2801</v>
      </c>
      <c r="K51" s="31"/>
      <c r="L51" s="31">
        <v>43539</v>
      </c>
      <c r="M51" s="28" t="s">
        <v>45</v>
      </c>
      <c r="O51" s="2">
        <v>87.8</v>
      </c>
      <c r="P51" s="32"/>
      <c r="Q51" s="2"/>
      <c r="R51" s="2"/>
      <c r="S51" s="33"/>
      <c r="T51" s="33"/>
      <c r="U51" s="2"/>
      <c r="W51" s="2"/>
      <c r="X51" s="2">
        <f>IF(O51&gt;0,O51,((P51*2.2046*S51)+(Q51+R51)/G51)+V51)</f>
        <v>87.8</v>
      </c>
      <c r="Y51" s="2">
        <f>IF(O51&gt;0,O51,((P51*2.2046*S51)+(Q51+R51+T51)/G51)+V51+W51)</f>
        <v>87.8</v>
      </c>
      <c r="Z51" s="3">
        <f>Y51*F51</f>
        <v>769145.56</v>
      </c>
      <c r="AA51" s="34">
        <v>43546</v>
      </c>
      <c r="AB51" s="3"/>
      <c r="AC51" s="35"/>
    </row>
    <row r="52" spans="1:32" x14ac:dyDescent="0.25">
      <c r="A52" s="124"/>
      <c r="B52" s="27" t="s">
        <v>30</v>
      </c>
      <c r="C52" t="s">
        <v>40</v>
      </c>
      <c r="D52" s="28" t="s">
        <v>40</v>
      </c>
      <c r="E52" t="s">
        <v>37</v>
      </c>
      <c r="F52" s="29">
        <f>41423*0.4536</f>
        <v>18789.4728</v>
      </c>
      <c r="G52" s="30">
        <v>18819.95</v>
      </c>
      <c r="H52" s="30">
        <f t="shared" si="27"/>
        <v>30.477200000001176</v>
      </c>
      <c r="I52" s="28" t="s">
        <v>2614</v>
      </c>
      <c r="J52" s="52" t="s">
        <v>196</v>
      </c>
      <c r="K52" s="31">
        <v>43539</v>
      </c>
      <c r="L52" s="31">
        <v>43540</v>
      </c>
      <c r="M52" s="28" t="s">
        <v>46</v>
      </c>
      <c r="N52" s="28" t="s">
        <v>2616</v>
      </c>
      <c r="O52" s="2"/>
      <c r="P52" s="32">
        <f>0.5556+0.105</f>
        <v>0.66059999999999997</v>
      </c>
      <c r="Q52" s="140">
        <v>26000</v>
      </c>
      <c r="R52" s="2">
        <v>107189</v>
      </c>
      <c r="S52" s="68">
        <v>19.47</v>
      </c>
      <c r="T52" s="33">
        <f>X52*F52*0.005</f>
        <v>3340.046411766255</v>
      </c>
      <c r="V52" s="2">
        <v>0.12</v>
      </c>
      <c r="W52" s="2">
        <v>0.3</v>
      </c>
      <c r="X52" s="2">
        <f>IF(O52&gt;0,O52,((P52*2.2046*S52)+(Q52+R52)/G52)+V52)</f>
        <v>35.552316420141977</v>
      </c>
      <c r="Y52" s="2">
        <f>IF(O52&gt;0,O52,((P52*2.2046*S52)+(Q52+R52+T52)/G52)+V52+W52)</f>
        <v>36.029790133502864</v>
      </c>
      <c r="Z52" s="3">
        <f>Y52*F52</f>
        <v>676980.76170316048</v>
      </c>
      <c r="AA52" s="34">
        <v>43535</v>
      </c>
      <c r="AB52" s="3" t="s">
        <v>2745</v>
      </c>
      <c r="AC52" s="35"/>
    </row>
    <row r="53" spans="1:32" x14ac:dyDescent="0.25">
      <c r="A53" s="124"/>
      <c r="B53" s="27" t="s">
        <v>1909</v>
      </c>
      <c r="C53" t="s">
        <v>40</v>
      </c>
      <c r="D53" s="28" t="s">
        <v>1806</v>
      </c>
      <c r="E53" t="s">
        <v>1807</v>
      </c>
      <c r="F53" s="29">
        <v>906.7</v>
      </c>
      <c r="G53" s="30">
        <v>906.7</v>
      </c>
      <c r="H53" s="30">
        <f t="shared" si="27"/>
        <v>0</v>
      </c>
      <c r="I53" s="28" t="s">
        <v>2808</v>
      </c>
      <c r="K53" s="31"/>
      <c r="L53" s="31">
        <v>43540</v>
      </c>
      <c r="M53" s="28"/>
      <c r="N53" s="28"/>
      <c r="O53" s="2">
        <v>17.2</v>
      </c>
      <c r="P53" s="32"/>
      <c r="Q53" s="2"/>
      <c r="R53" s="2"/>
      <c r="S53" s="68"/>
      <c r="T53" s="33"/>
      <c r="V53" s="2"/>
      <c r="W53" s="2"/>
      <c r="X53" s="2">
        <f>IF(O53&gt;0,O53,((P53*2.2046*S53)+(Q53+R53)/G53)+V53)</f>
        <v>17.2</v>
      </c>
      <c r="Y53" s="2">
        <f>IF(O53&gt;0,O53,((P53*2.2046*S53)+(Q53+R53+T53)/G53)+V53+W53)</f>
        <v>17.2</v>
      </c>
      <c r="Z53" s="3">
        <f>Y53*F53</f>
        <v>15595.24</v>
      </c>
      <c r="AA53" s="34">
        <v>43549</v>
      </c>
      <c r="AB53" s="3"/>
      <c r="AC53" s="35"/>
    </row>
    <row r="54" spans="1:32" x14ac:dyDescent="0.25">
      <c r="A54" s="124"/>
      <c r="B54" s="27" t="s">
        <v>30</v>
      </c>
      <c r="C54" s="28" t="s">
        <v>1790</v>
      </c>
      <c r="D54" s="28" t="s">
        <v>1790</v>
      </c>
      <c r="E54" t="s">
        <v>32</v>
      </c>
      <c r="F54" s="29">
        <f>42017*0.4536</f>
        <v>19058.911199999999</v>
      </c>
      <c r="G54" s="30">
        <v>19299.64</v>
      </c>
      <c r="H54" s="166">
        <f>G54-F54</f>
        <v>240.72880000000077</v>
      </c>
      <c r="I54" s="28" t="s">
        <v>2615</v>
      </c>
      <c r="J54" s="52" t="s">
        <v>2207</v>
      </c>
      <c r="K54" s="31">
        <v>43539</v>
      </c>
      <c r="L54" s="31">
        <v>43542</v>
      </c>
      <c r="M54" s="28" t="s">
        <v>29</v>
      </c>
      <c r="N54" s="28" t="s">
        <v>2617</v>
      </c>
      <c r="O54" s="2"/>
      <c r="P54" s="32">
        <f>0.5482+0.095</f>
        <v>0.64319999999999999</v>
      </c>
      <c r="Q54" s="140">
        <v>24400</v>
      </c>
      <c r="R54" s="2">
        <v>104256</v>
      </c>
      <c r="S54" s="68">
        <v>19.349</v>
      </c>
      <c r="T54" s="33">
        <f>X54*F54*0.005</f>
        <v>3261.2746970275416</v>
      </c>
      <c r="V54" s="2">
        <v>0.12</v>
      </c>
      <c r="W54" s="2">
        <v>0.3</v>
      </c>
      <c r="X54" s="2">
        <f>IF(O54&gt;0,O54,((P54*2.2046*S54)+(Q54+R54)/G54)+V54)</f>
        <v>34.223095567259286</v>
      </c>
      <c r="Y54" s="2">
        <f>IF(O54&gt;0,O54,((P54*2.2046*S54)+(Q54+R54+T54)/G54)+V54+W54)</f>
        <v>34.692076682815198</v>
      </c>
      <c r="Z54" s="3">
        <f>Y54*F54</f>
        <v>661193.20884136541</v>
      </c>
      <c r="AA54" s="34">
        <v>43539</v>
      </c>
      <c r="AB54" s="3" t="s">
        <v>2745</v>
      </c>
      <c r="AC54" s="35"/>
    </row>
    <row r="55" spans="1:32" ht="15.75" thickBot="1" x14ac:dyDescent="0.3">
      <c r="A55" s="125"/>
      <c r="B55" s="41"/>
      <c r="C55" s="4"/>
      <c r="D55" s="4"/>
      <c r="E55" s="4"/>
      <c r="F55" s="42"/>
      <c r="G55" s="42"/>
      <c r="H55" s="42"/>
      <c r="I55" s="7"/>
      <c r="J55" s="4"/>
      <c r="K55" s="8"/>
      <c r="L55" s="8"/>
      <c r="M55" s="4"/>
      <c r="N55" s="4"/>
      <c r="O55" s="9"/>
      <c r="P55" s="10"/>
      <c r="Q55" s="9"/>
      <c r="R55" s="9"/>
      <c r="S55" s="9"/>
      <c r="T55" s="9"/>
      <c r="U55" s="9"/>
      <c r="V55" s="9"/>
      <c r="W55" s="9"/>
      <c r="X55" s="9"/>
      <c r="Y55" s="9"/>
      <c r="Z55" s="13"/>
      <c r="AA55" s="43"/>
      <c r="AB55" s="3"/>
      <c r="AC55" s="35"/>
    </row>
    <row r="56" spans="1:32" x14ac:dyDescent="0.25">
      <c r="A56" s="126"/>
      <c r="B56" s="14" t="s">
        <v>26</v>
      </c>
      <c r="C56" s="14" t="s">
        <v>27</v>
      </c>
      <c r="D56" s="28" t="s">
        <v>2722</v>
      </c>
      <c r="E56" s="14">
        <v>198</v>
      </c>
      <c r="F56" s="16">
        <v>23855</v>
      </c>
      <c r="G56" s="17">
        <v>18370</v>
      </c>
      <c r="H56" s="30">
        <f t="shared" ref="H56:H60" si="29">G56-F56</f>
        <v>-5485</v>
      </c>
      <c r="I56" s="19" t="s">
        <v>2750</v>
      </c>
      <c r="J56" s="14"/>
      <c r="K56" s="20"/>
      <c r="L56" s="20">
        <v>43541</v>
      </c>
      <c r="M56" s="15" t="s">
        <v>28</v>
      </c>
      <c r="N56" s="14"/>
      <c r="O56" s="21">
        <v>26</v>
      </c>
      <c r="P56" s="22"/>
      <c r="Q56" s="139">
        <v>22800</v>
      </c>
      <c r="R56" s="2">
        <f t="shared" ref="R56:R58" si="30">75.45*E56</f>
        <v>14939.1</v>
      </c>
      <c r="S56" s="21">
        <f>-38*E56</f>
        <v>-7524</v>
      </c>
      <c r="T56" s="23">
        <f>X56*F56*0.0045</f>
        <v>3806.7462927191068</v>
      </c>
      <c r="U56" s="21">
        <f>E56*5</f>
        <v>990</v>
      </c>
      <c r="V56" s="14"/>
      <c r="W56" s="21">
        <v>0.3</v>
      </c>
      <c r="X56" s="21">
        <f>((O56*F56)+Q56+R56+S56+U56)/G56</f>
        <v>35.461899836690257</v>
      </c>
      <c r="Y56" s="24">
        <f>((O56*F56)+Q56+R56+S56+T56+U56)/G56+W56</f>
        <v>35.969126091057106</v>
      </c>
      <c r="Z56" s="24">
        <f>Y56*G56</f>
        <v>660752.84629271901</v>
      </c>
      <c r="AA56" s="25">
        <v>43556</v>
      </c>
      <c r="AB56" s="3"/>
      <c r="AC56" s="3"/>
    </row>
    <row r="57" spans="1:32" x14ac:dyDescent="0.25">
      <c r="A57" s="127"/>
      <c r="B57" s="27" t="s">
        <v>26</v>
      </c>
      <c r="C57" t="s">
        <v>27</v>
      </c>
      <c r="D57" s="28" t="s">
        <v>1684</v>
      </c>
      <c r="E57">
        <v>132</v>
      </c>
      <c r="F57" s="29">
        <v>15005</v>
      </c>
      <c r="G57" s="30">
        <v>12620</v>
      </c>
      <c r="H57" s="30">
        <f t="shared" si="29"/>
        <v>-2385</v>
      </c>
      <c r="I57" s="28" t="s">
        <v>2751</v>
      </c>
      <c r="K57" s="31"/>
      <c r="L57" s="31">
        <v>43541</v>
      </c>
      <c r="M57" s="28" t="s">
        <v>28</v>
      </c>
      <c r="O57" s="2">
        <v>26</v>
      </c>
      <c r="P57" s="32"/>
      <c r="Q57" s="140">
        <v>16900</v>
      </c>
      <c r="R57" s="2">
        <f t="shared" si="30"/>
        <v>9959.4</v>
      </c>
      <c r="S57" s="33">
        <f>-38*E57</f>
        <v>-5016</v>
      </c>
      <c r="T57" s="33">
        <f>X57*F57*0.0045</f>
        <v>2207.7685223058638</v>
      </c>
      <c r="U57" s="2">
        <f>E57*5</f>
        <v>660</v>
      </c>
      <c r="W57" s="2">
        <v>0.3</v>
      </c>
      <c r="X57" s="2">
        <f>((O57*F57)+Q57+R57+S57+U57)/G57</f>
        <v>32.696782884310622</v>
      </c>
      <c r="Y57" s="2">
        <f>((O57*F57)+Q57+R57+S57+T57+U57)/G57+W57</f>
        <v>33.171724922528199</v>
      </c>
      <c r="Z57" s="3">
        <f>Y57*G57</f>
        <v>418627.16852230584</v>
      </c>
      <c r="AA57" s="34">
        <v>43556</v>
      </c>
      <c r="AB57" s="3"/>
      <c r="AC57" s="35" t="s">
        <v>2753</v>
      </c>
    </row>
    <row r="58" spans="1:32" x14ac:dyDescent="0.25">
      <c r="A58" s="127"/>
      <c r="B58" s="27" t="s">
        <v>26</v>
      </c>
      <c r="C58" t="s">
        <v>27</v>
      </c>
      <c r="D58" s="28" t="s">
        <v>2722</v>
      </c>
      <c r="E58">
        <v>200</v>
      </c>
      <c r="F58" s="29">
        <v>22585</v>
      </c>
      <c r="G58" s="30">
        <f>11770+6300</f>
        <v>18070</v>
      </c>
      <c r="H58" s="30">
        <f t="shared" si="29"/>
        <v>-4515</v>
      </c>
      <c r="I58" s="28" t="s">
        <v>2752</v>
      </c>
      <c r="K58" s="31"/>
      <c r="L58" s="31">
        <v>43542</v>
      </c>
      <c r="M58" s="28" t="s">
        <v>29</v>
      </c>
      <c r="O58" s="2">
        <v>26</v>
      </c>
      <c r="P58" s="32"/>
      <c r="Q58" s="138">
        <v>22800</v>
      </c>
      <c r="R58" s="2">
        <f t="shared" si="30"/>
        <v>15090</v>
      </c>
      <c r="S58" s="33">
        <f>-38*E58</f>
        <v>-7600</v>
      </c>
      <c r="T58" s="33">
        <f>X58*F58*0.0045</f>
        <v>3478.6774349750967</v>
      </c>
      <c r="U58" s="2">
        <f>E58*5</f>
        <v>1000</v>
      </c>
      <c r="W58" s="2">
        <v>0.3</v>
      </c>
      <c r="X58" s="2">
        <f>((O58*F58)+Q58+R58+S58+U58)/G58</f>
        <v>34.228002213613728</v>
      </c>
      <c r="Y58" s="2">
        <f>((O58*F58)+Q58+R58+S58+T58+U58)/G58+W58</f>
        <v>34.720513416434699</v>
      </c>
      <c r="Z58" s="3">
        <f>Y58*G58</f>
        <v>627399.67743497505</v>
      </c>
      <c r="AA58" s="34">
        <v>43556</v>
      </c>
      <c r="AB58" s="3"/>
      <c r="AC58" s="35" t="s">
        <v>2754</v>
      </c>
    </row>
    <row r="59" spans="1:32" x14ac:dyDescent="0.25">
      <c r="A59" s="127"/>
      <c r="B59" s="27" t="s">
        <v>26</v>
      </c>
      <c r="C59" t="s">
        <v>27</v>
      </c>
      <c r="D59" s="28" t="s">
        <v>2722</v>
      </c>
      <c r="E59">
        <v>200</v>
      </c>
      <c r="F59" s="29">
        <v>23025</v>
      </c>
      <c r="G59" s="30">
        <f>11980+6510</f>
        <v>18490</v>
      </c>
      <c r="H59" s="30">
        <f>G59-F59</f>
        <v>-4535</v>
      </c>
      <c r="I59" s="28" t="s">
        <v>2760</v>
      </c>
      <c r="K59" s="31"/>
      <c r="L59" s="31">
        <v>43543</v>
      </c>
      <c r="M59" s="28" t="s">
        <v>48</v>
      </c>
      <c r="O59" s="2">
        <v>26</v>
      </c>
      <c r="P59" s="32"/>
      <c r="Q59" s="138">
        <v>22800</v>
      </c>
      <c r="R59" s="2">
        <f>75.45*E59</f>
        <v>15090</v>
      </c>
      <c r="S59" s="33">
        <f>-38*E59</f>
        <v>-7600</v>
      </c>
      <c r="T59" s="33">
        <f>X59*F59*0.005</f>
        <v>3922.2197133585723</v>
      </c>
      <c r="U59" s="2">
        <f>E59*5</f>
        <v>1000</v>
      </c>
      <c r="W59" s="2">
        <v>0.3</v>
      </c>
      <c r="X59" s="2">
        <f>((O59*F59)+Q59+R59+S59+U59)/G59</f>
        <v>34.069226608977829</v>
      </c>
      <c r="Y59" s="2">
        <f>((O59*F59)+Q59+R59+S59+T59+U59)/G59+W59</f>
        <v>34.58135314836985</v>
      </c>
      <c r="Z59" s="3">
        <f>Y59*G59</f>
        <v>639409.21971335856</v>
      </c>
      <c r="AA59" s="34">
        <v>43557</v>
      </c>
      <c r="AB59" s="3"/>
      <c r="AC59" s="35" t="s">
        <v>2762</v>
      </c>
      <c r="AF59" s="30"/>
    </row>
    <row r="60" spans="1:32" x14ac:dyDescent="0.25">
      <c r="A60" s="127"/>
      <c r="B60" s="27" t="s">
        <v>30</v>
      </c>
      <c r="C60" s="28" t="s">
        <v>35</v>
      </c>
      <c r="D60" s="28" t="s">
        <v>36</v>
      </c>
      <c r="E60" t="s">
        <v>37</v>
      </c>
      <c r="F60" s="29">
        <f>41751*0.4536</f>
        <v>18938.2536</v>
      </c>
      <c r="G60" s="30">
        <v>18824.07</v>
      </c>
      <c r="H60" s="30">
        <f t="shared" si="29"/>
        <v>-114.1836000000003</v>
      </c>
      <c r="I60" s="28" t="s">
        <v>2637</v>
      </c>
      <c r="J60" s="52" t="s">
        <v>1690</v>
      </c>
      <c r="K60" s="31">
        <v>43543</v>
      </c>
      <c r="L60" s="31">
        <v>43544</v>
      </c>
      <c r="M60" s="28" t="s">
        <v>33</v>
      </c>
      <c r="N60" s="28" t="s">
        <v>2636</v>
      </c>
      <c r="O60" s="2"/>
      <c r="P60" s="32">
        <f>0.6063+0.1</f>
        <v>0.70629999999999993</v>
      </c>
      <c r="Q60" s="140">
        <v>26000</v>
      </c>
      <c r="R60" s="2">
        <v>118122</v>
      </c>
      <c r="S60" s="68">
        <v>18.87</v>
      </c>
      <c r="T60" s="33">
        <f t="shared" ref="T60" si="31">X60*F60*0.005</f>
        <v>3518.6240993822289</v>
      </c>
      <c r="V60" s="2">
        <v>0.12</v>
      </c>
      <c r="W60" s="2">
        <v>0.3</v>
      </c>
      <c r="X60" s="2">
        <f>IF(O60&gt;0,O60,((P60*2.2046*S60)+(Q60+R60)/G60)+V60)</f>
        <v>37.158907824343729</v>
      </c>
      <c r="Y60" s="2">
        <f>IF(O60&gt;0,O60,((P60*2.2046*S60)+(Q60+R60+T60)/G60)+V60+W60)</f>
        <v>37.645829361470511</v>
      </c>
      <c r="Z60" s="3">
        <f>Y60*F60</f>
        <v>712946.26342985465</v>
      </c>
      <c r="AA60" s="34">
        <v>43546</v>
      </c>
      <c r="AB60" s="3"/>
      <c r="AC60" s="35"/>
    </row>
    <row r="61" spans="1:32" x14ac:dyDescent="0.25">
      <c r="A61" s="127"/>
      <c r="B61" s="27" t="s">
        <v>30</v>
      </c>
      <c r="C61" s="28" t="s">
        <v>35</v>
      </c>
      <c r="D61" s="28" t="s">
        <v>36</v>
      </c>
      <c r="E61" t="s">
        <v>37</v>
      </c>
      <c r="F61" s="29">
        <f>41574*0.4536</f>
        <v>18857.966400000001</v>
      </c>
      <c r="G61" s="30">
        <v>18798.330000000002</v>
      </c>
      <c r="H61" s="30">
        <f>G61-F61</f>
        <v>-59.636399999999412</v>
      </c>
      <c r="I61" t="s">
        <v>2638</v>
      </c>
      <c r="J61" s="52" t="s">
        <v>196</v>
      </c>
      <c r="K61" s="31">
        <v>43543</v>
      </c>
      <c r="L61" s="31">
        <v>43544</v>
      </c>
      <c r="M61" s="28" t="s">
        <v>33</v>
      </c>
      <c r="N61" s="28" t="s">
        <v>2636</v>
      </c>
      <c r="O61" s="2"/>
      <c r="P61" s="32">
        <f t="shared" ref="P61:P62" si="32">0.6063+0.1</f>
        <v>0.70629999999999993</v>
      </c>
      <c r="Q61" s="140">
        <v>26000</v>
      </c>
      <c r="R61" s="2">
        <v>117526</v>
      </c>
      <c r="S61" s="68">
        <v>18.879000000000001</v>
      </c>
      <c r="T61" s="33">
        <f>X61*F61*0.005</f>
        <v>3503.0275849419722</v>
      </c>
      <c r="V61" s="2">
        <v>0.12</v>
      </c>
      <c r="W61" s="2">
        <v>0.3</v>
      </c>
      <c r="X61" s="2">
        <f>IF(O61&gt;0,O61,((P61*2.2046*S61)+(Q61+R61)/G61)+V61)</f>
        <v>37.15170035451937</v>
      </c>
      <c r="Y61" s="2">
        <f>IF(O61&gt;0,O61,((P61*2.2046*S61)+(Q61+R61+T61)/G61)+V61+W61)</f>
        <v>37.638048162273677</v>
      </c>
      <c r="Z61" s="3">
        <f>Y61*F61</f>
        <v>709777.04760573874</v>
      </c>
      <c r="AA61" s="34">
        <v>43546</v>
      </c>
      <c r="AB61" s="3"/>
      <c r="AC61" s="35"/>
    </row>
    <row r="62" spans="1:32" x14ac:dyDescent="0.25">
      <c r="A62" s="127"/>
      <c r="B62" s="27" t="s">
        <v>30</v>
      </c>
      <c r="C62" s="28" t="s">
        <v>31</v>
      </c>
      <c r="D62" s="28" t="s">
        <v>31</v>
      </c>
      <c r="E62" t="s">
        <v>32</v>
      </c>
      <c r="F62" s="29">
        <f>41496*0.4536</f>
        <v>18822.585599999999</v>
      </c>
      <c r="G62" s="30">
        <v>18759.88</v>
      </c>
      <c r="H62" s="30">
        <f t="shared" ref="H62:H67" si="33">G62-F62</f>
        <v>-62.705599999997503</v>
      </c>
      <c r="I62" s="28">
        <v>57061</v>
      </c>
      <c r="J62" s="52" t="s">
        <v>196</v>
      </c>
      <c r="K62" s="31">
        <v>43543</v>
      </c>
      <c r="L62" s="31">
        <v>43544</v>
      </c>
      <c r="M62" s="28" t="s">
        <v>33</v>
      </c>
      <c r="N62" s="28" t="s">
        <v>2636</v>
      </c>
      <c r="O62" s="2"/>
      <c r="P62" s="32">
        <f t="shared" si="32"/>
        <v>0.70629999999999993</v>
      </c>
      <c r="Q62" s="140">
        <v>26000</v>
      </c>
      <c r="R62" s="2">
        <v>113029</v>
      </c>
      <c r="S62" s="68">
        <v>19.38</v>
      </c>
      <c r="T62" s="33">
        <f t="shared" ref="T62:T67" si="34">X62*F62*0.005</f>
        <v>3548.7864730593469</v>
      </c>
      <c r="V62" s="2">
        <v>0.12</v>
      </c>
      <c r="W62" s="2">
        <v>0.3</v>
      </c>
      <c r="X62" s="2">
        <f>IF(O62&gt;0,O62,((P62*2.2046*S62)+(Q62+R62)/G62)+V62)</f>
        <v>37.707746942687272</v>
      </c>
      <c r="Y62" s="2">
        <f>IF(O62&gt;0,O62,((P62*2.2046*S62)+(Q62+R62+T62)/G62)+V62+W62)</f>
        <v>38.196915875167612</v>
      </c>
      <c r="Z62" s="3">
        <f>Y62*F62</f>
        <v>718964.71871634119</v>
      </c>
      <c r="AA62" s="34">
        <v>43537</v>
      </c>
      <c r="AB62" s="3">
        <v>38.46</v>
      </c>
      <c r="AC62" s="35"/>
    </row>
    <row r="63" spans="1:32" x14ac:dyDescent="0.25">
      <c r="A63" s="127"/>
      <c r="B63" s="27" t="s">
        <v>2321</v>
      </c>
      <c r="C63" s="28" t="s">
        <v>2322</v>
      </c>
      <c r="D63" s="28" t="s">
        <v>2044</v>
      </c>
      <c r="E63" t="s">
        <v>2783</v>
      </c>
      <c r="F63" s="29">
        <v>2006.68</v>
      </c>
      <c r="G63" s="30">
        <v>2006.68</v>
      </c>
      <c r="H63" s="30">
        <f t="shared" si="33"/>
        <v>0</v>
      </c>
      <c r="I63" s="28" t="s">
        <v>2782</v>
      </c>
      <c r="K63" s="31"/>
      <c r="L63" s="31">
        <v>43544</v>
      </c>
      <c r="M63" s="28" t="s">
        <v>33</v>
      </c>
      <c r="N63" s="28"/>
      <c r="O63" s="2">
        <v>52</v>
      </c>
      <c r="P63" s="32"/>
      <c r="Q63" s="2"/>
      <c r="R63" s="2"/>
      <c r="S63" s="68"/>
      <c r="T63" s="33"/>
      <c r="V63" s="2"/>
      <c r="W63" s="2"/>
      <c r="X63" s="2">
        <f t="shared" ref="X63:X66" si="35">IF(O63&gt;0,O63,((P63*2.2046*S63)+(Q63+R63)/G63)+V63)</f>
        <v>52</v>
      </c>
      <c r="Y63" s="2">
        <f t="shared" ref="Y63:Y66" si="36">IF(O63&gt;0,O63,((P63*2.2046*S63)+(Q63+R63+T63)/G63)+V63+W63)</f>
        <v>52</v>
      </c>
      <c r="Z63" s="3">
        <f t="shared" ref="Z63:Z66" si="37">Y63*F63</f>
        <v>104347.36</v>
      </c>
      <c r="AA63" s="34">
        <v>43545</v>
      </c>
      <c r="AB63" s="3"/>
      <c r="AC63" s="35"/>
    </row>
    <row r="64" spans="1:32" x14ac:dyDescent="0.25">
      <c r="A64" s="127"/>
      <c r="B64" s="27" t="s">
        <v>2786</v>
      </c>
      <c r="C64" s="28" t="s">
        <v>2787</v>
      </c>
      <c r="D64" s="28" t="s">
        <v>2044</v>
      </c>
      <c r="E64" t="s">
        <v>2784</v>
      </c>
      <c r="F64" s="29">
        <v>90.8</v>
      </c>
      <c r="G64" s="30">
        <v>90.8</v>
      </c>
      <c r="H64" s="30">
        <f t="shared" si="33"/>
        <v>0</v>
      </c>
      <c r="I64" s="28" t="s">
        <v>2782</v>
      </c>
      <c r="K64" s="31"/>
      <c r="L64" s="31">
        <v>43544</v>
      </c>
      <c r="M64" s="28" t="s">
        <v>33</v>
      </c>
      <c r="N64" s="28"/>
      <c r="O64" s="2">
        <v>180</v>
      </c>
      <c r="P64" s="32"/>
      <c r="Q64" s="2"/>
      <c r="R64" s="2"/>
      <c r="S64" s="68"/>
      <c r="T64" s="33"/>
      <c r="V64" s="2"/>
      <c r="W64" s="2"/>
      <c r="X64" s="2">
        <f t="shared" si="35"/>
        <v>180</v>
      </c>
      <c r="Y64" s="2">
        <f t="shared" si="36"/>
        <v>180</v>
      </c>
      <c r="Z64" s="3">
        <f t="shared" si="37"/>
        <v>16344</v>
      </c>
      <c r="AA64" s="34">
        <v>43545</v>
      </c>
      <c r="AB64" s="3"/>
      <c r="AC64" s="35"/>
    </row>
    <row r="65" spans="1:29" x14ac:dyDescent="0.25">
      <c r="A65" s="127"/>
      <c r="B65" s="27" t="s">
        <v>2057</v>
      </c>
      <c r="C65" s="28" t="s">
        <v>2788</v>
      </c>
      <c r="D65" s="28" t="s">
        <v>2044</v>
      </c>
      <c r="E65" t="s">
        <v>1914</v>
      </c>
      <c r="F65" s="29">
        <v>1000</v>
      </c>
      <c r="G65" s="30">
        <v>1000</v>
      </c>
      <c r="H65" s="30">
        <f t="shared" si="33"/>
        <v>0</v>
      </c>
      <c r="I65" s="28" t="s">
        <v>2782</v>
      </c>
      <c r="K65" s="31"/>
      <c r="L65" s="31">
        <v>43544</v>
      </c>
      <c r="M65" s="28" t="s">
        <v>33</v>
      </c>
      <c r="N65" s="28"/>
      <c r="O65" s="2">
        <v>49</v>
      </c>
      <c r="P65" s="32"/>
      <c r="Q65" s="2"/>
      <c r="R65" s="2"/>
      <c r="S65" s="68"/>
      <c r="T65" s="33"/>
      <c r="V65" s="2"/>
      <c r="W65" s="2"/>
      <c r="X65" s="2">
        <f t="shared" si="35"/>
        <v>49</v>
      </c>
      <c r="Y65" s="2">
        <f t="shared" si="36"/>
        <v>49</v>
      </c>
      <c r="Z65" s="3">
        <f t="shared" si="37"/>
        <v>49000</v>
      </c>
      <c r="AA65" s="34">
        <v>43545</v>
      </c>
      <c r="AB65" s="3"/>
      <c r="AC65" s="35"/>
    </row>
    <row r="66" spans="1:29" x14ac:dyDescent="0.25">
      <c r="A66" s="127"/>
      <c r="B66" s="27" t="s">
        <v>2584</v>
      </c>
      <c r="C66" s="28" t="s">
        <v>2789</v>
      </c>
      <c r="D66" s="28" t="s">
        <v>2044</v>
      </c>
      <c r="E66" t="s">
        <v>2785</v>
      </c>
      <c r="F66" s="29">
        <v>300</v>
      </c>
      <c r="G66" s="30">
        <v>300</v>
      </c>
      <c r="H66" s="30">
        <f t="shared" si="33"/>
        <v>0</v>
      </c>
      <c r="I66" s="28" t="s">
        <v>2782</v>
      </c>
      <c r="K66" s="31"/>
      <c r="L66" s="31">
        <v>43544</v>
      </c>
      <c r="M66" s="28" t="s">
        <v>33</v>
      </c>
      <c r="N66" s="28"/>
      <c r="O66" s="2">
        <v>139</v>
      </c>
      <c r="P66" s="32"/>
      <c r="Q66" s="2"/>
      <c r="R66" s="2"/>
      <c r="S66" s="68"/>
      <c r="T66" s="33"/>
      <c r="V66" s="2"/>
      <c r="W66" s="2"/>
      <c r="X66" s="2">
        <f t="shared" si="35"/>
        <v>139</v>
      </c>
      <c r="Y66" s="2">
        <f t="shared" si="36"/>
        <v>139</v>
      </c>
      <c r="Z66" s="3">
        <f t="shared" si="37"/>
        <v>41700</v>
      </c>
      <c r="AA66" s="34">
        <v>43545</v>
      </c>
      <c r="AB66" s="3"/>
      <c r="AC66" s="35"/>
    </row>
    <row r="67" spans="1:29" x14ac:dyDescent="0.25">
      <c r="A67" s="127"/>
      <c r="B67" s="27" t="s">
        <v>26</v>
      </c>
      <c r="C67" t="s">
        <v>27</v>
      </c>
      <c r="D67" s="28" t="s">
        <v>2722</v>
      </c>
      <c r="E67">
        <v>200</v>
      </c>
      <c r="F67" s="29">
        <v>22630</v>
      </c>
      <c r="G67" s="30">
        <f>11530+6400</f>
        <v>17930</v>
      </c>
      <c r="H67" s="30">
        <f t="shared" si="33"/>
        <v>-4700</v>
      </c>
      <c r="I67" s="28" t="s">
        <v>2761</v>
      </c>
      <c r="J67" s="55">
        <v>199</v>
      </c>
      <c r="K67" s="31"/>
      <c r="L67" s="31">
        <v>43544</v>
      </c>
      <c r="M67" s="28" t="s">
        <v>33</v>
      </c>
      <c r="O67" s="2">
        <v>26</v>
      </c>
      <c r="P67" s="32"/>
      <c r="Q67" s="138">
        <v>22800</v>
      </c>
      <c r="R67" s="2">
        <f>75.45*E67</f>
        <v>15090</v>
      </c>
      <c r="S67" s="33">
        <f>-38*E67</f>
        <v>-7600</v>
      </c>
      <c r="T67" s="33">
        <f t="shared" si="34"/>
        <v>3910.5220580033465</v>
      </c>
      <c r="U67" s="2">
        <f>E67*5</f>
        <v>1000</v>
      </c>
      <c r="W67" s="2">
        <v>0.3</v>
      </c>
      <c r="X67" s="2">
        <f t="shared" ref="X67" si="38">((O67*F67)+Q67+R67+S67+U67)/G67</f>
        <v>34.560513106525377</v>
      </c>
      <c r="Y67" s="2">
        <f>((O67*F67)+Q67+R67+S67+T67+U67)/G67+W67</f>
        <v>35.078612496263432</v>
      </c>
      <c r="Z67" s="3">
        <f>Y67*G67</f>
        <v>628959.52205800335</v>
      </c>
      <c r="AA67" s="34">
        <v>43557</v>
      </c>
      <c r="AB67" s="3"/>
      <c r="AC67" s="35" t="s">
        <v>2781</v>
      </c>
    </row>
    <row r="68" spans="1:29" x14ac:dyDescent="0.25">
      <c r="A68" s="127"/>
      <c r="B68" s="27" t="s">
        <v>30</v>
      </c>
      <c r="C68" s="28" t="s">
        <v>40</v>
      </c>
      <c r="D68" s="28" t="s">
        <v>40</v>
      </c>
      <c r="E68" t="s">
        <v>37</v>
      </c>
      <c r="F68" s="29">
        <f>41671*0.4536</f>
        <v>18901.9656</v>
      </c>
      <c r="G68" s="30">
        <v>18854.98</v>
      </c>
      <c r="H68" s="30">
        <f>G68-F68</f>
        <v>-46.985599999999977</v>
      </c>
      <c r="I68" t="s">
        <v>2643</v>
      </c>
      <c r="J68" s="52" t="s">
        <v>196</v>
      </c>
      <c r="K68" s="31">
        <v>43544</v>
      </c>
      <c r="L68" s="31">
        <v>43545</v>
      </c>
      <c r="M68" s="28" t="s">
        <v>41</v>
      </c>
      <c r="N68" s="28" t="s">
        <v>2639</v>
      </c>
      <c r="O68" s="2"/>
      <c r="P68" s="32">
        <f>0.6491+0.105</f>
        <v>0.75409999999999999</v>
      </c>
      <c r="Q68" s="140">
        <v>26000</v>
      </c>
      <c r="R68" s="2">
        <v>121552</v>
      </c>
      <c r="S68" s="68">
        <v>19.34</v>
      </c>
      <c r="T68" s="33">
        <f>X68*F68*0.005</f>
        <v>3789.6701480657148</v>
      </c>
      <c r="V68" s="2">
        <v>0.12</v>
      </c>
      <c r="W68" s="2">
        <v>0.3</v>
      </c>
      <c r="X68" s="2">
        <f>IF(O68&gt;0,O68,((P68*2.2046*S68)+(Q68+R68)/G68)+V68)</f>
        <v>40.098159400583341</v>
      </c>
      <c r="Y68" s="2">
        <f>IF(O68&gt;0,O68,((P68*2.2046*S68)+(Q68+R68+T68)/G68)+V68+W68)</f>
        <v>40.599149809911047</v>
      </c>
      <c r="Z68" s="3">
        <f>Y68*F68</f>
        <v>767403.73309618514</v>
      </c>
      <c r="AA68" s="34">
        <v>43538</v>
      </c>
      <c r="AB68" s="3"/>
      <c r="AC68" s="35"/>
    </row>
    <row r="69" spans="1:29" x14ac:dyDescent="0.25">
      <c r="A69" s="127"/>
      <c r="B69" s="27" t="s">
        <v>26</v>
      </c>
      <c r="C69" t="s">
        <v>27</v>
      </c>
      <c r="D69" s="28" t="s">
        <v>2722</v>
      </c>
      <c r="E69">
        <v>221</v>
      </c>
      <c r="F69" s="29">
        <v>24995</v>
      </c>
      <c r="G69" s="30">
        <v>22040</v>
      </c>
      <c r="H69" s="30">
        <f t="shared" ref="H69:H70" si="39">G69-F69</f>
        <v>-2955</v>
      </c>
      <c r="I69" s="28" t="s">
        <v>2818</v>
      </c>
      <c r="J69" s="55">
        <v>250</v>
      </c>
      <c r="K69" s="31"/>
      <c r="L69" s="31">
        <v>43545</v>
      </c>
      <c r="M69" s="28" t="s">
        <v>41</v>
      </c>
      <c r="O69" s="2">
        <v>26</v>
      </c>
      <c r="P69" s="32"/>
      <c r="Q69" s="138">
        <v>22800</v>
      </c>
      <c r="R69" s="2">
        <f t="shared" ref="R69:R70" si="40">75.45*E69</f>
        <v>16674.45</v>
      </c>
      <c r="S69" s="33">
        <f>-38*E69</f>
        <v>-8398</v>
      </c>
      <c r="T69" s="33">
        <f>X69*F69*0.0045</f>
        <v>3480.7369313691015</v>
      </c>
      <c r="U69" s="2">
        <f>E69*5</f>
        <v>1105</v>
      </c>
      <c r="W69" s="2">
        <v>0.3</v>
      </c>
      <c r="X69" s="2">
        <f t="shared" ref="X69" si="41">((O69*F69)+Q69+R69+S69+U69)/G69</f>
        <v>30.946073049001814</v>
      </c>
      <c r="Y69" s="2">
        <f>((O69*F69)+Q69+R69+S69+T69+U69)/G69+W69</f>
        <v>31.404001221931445</v>
      </c>
      <c r="Z69" s="3">
        <f>Y69*G69</f>
        <v>692144.18693136901</v>
      </c>
      <c r="AA69" s="34">
        <v>43558</v>
      </c>
      <c r="AB69" s="3"/>
      <c r="AC69" s="35"/>
    </row>
    <row r="70" spans="1:29" x14ac:dyDescent="0.25">
      <c r="A70" s="127"/>
      <c r="B70" s="27" t="s">
        <v>26</v>
      </c>
      <c r="C70" t="s">
        <v>27</v>
      </c>
      <c r="D70" s="28" t="s">
        <v>1720</v>
      </c>
      <c r="E70">
        <v>160</v>
      </c>
      <c r="F70" s="29">
        <v>16725</v>
      </c>
      <c r="G70" s="30">
        <v>10470</v>
      </c>
      <c r="H70" s="30">
        <f t="shared" si="39"/>
        <v>-6255</v>
      </c>
      <c r="I70" s="28" t="s">
        <v>2819</v>
      </c>
      <c r="J70" s="55">
        <v>128</v>
      </c>
      <c r="K70" s="31"/>
      <c r="L70" s="31">
        <v>43545</v>
      </c>
      <c r="M70" s="28" t="s">
        <v>41</v>
      </c>
      <c r="O70" s="2">
        <v>26</v>
      </c>
      <c r="P70" s="32"/>
      <c r="Q70" s="140">
        <v>18100</v>
      </c>
      <c r="R70" s="2">
        <f t="shared" si="40"/>
        <v>12072</v>
      </c>
      <c r="S70" s="33">
        <f>-38*E70</f>
        <v>-6080</v>
      </c>
      <c r="T70" s="33">
        <f>X70*F70*0.0045</f>
        <v>3304.8072851002867</v>
      </c>
      <c r="U70" s="2">
        <f>E70*5</f>
        <v>800</v>
      </c>
      <c r="W70" s="2">
        <v>0.3</v>
      </c>
      <c r="X70" s="2">
        <f>((O70*F70)+Q70+R70+S70+U70)/G70</f>
        <v>43.910410697230184</v>
      </c>
      <c r="Y70" s="2">
        <f>((O70*F70)+Q70+R70+S70+T70+U70)/G70+W70</f>
        <v>44.526056092177676</v>
      </c>
      <c r="Z70" s="3">
        <f>Y70*G70</f>
        <v>466187.80728510028</v>
      </c>
      <c r="AA70" s="34">
        <v>43558</v>
      </c>
      <c r="AB70" s="3">
        <v>35.6</v>
      </c>
      <c r="AC70" s="35" t="s">
        <v>2820</v>
      </c>
    </row>
    <row r="71" spans="1:29" x14ac:dyDescent="0.25">
      <c r="A71" s="127"/>
      <c r="B71" s="27" t="s">
        <v>30</v>
      </c>
      <c r="C71" s="28" t="s">
        <v>1790</v>
      </c>
      <c r="D71" s="28" t="s">
        <v>1790</v>
      </c>
      <c r="E71" t="s">
        <v>32</v>
      </c>
      <c r="F71" s="29">
        <f>40256*0.4536</f>
        <v>18260.121599999999</v>
      </c>
      <c r="G71" s="30">
        <v>18470.54</v>
      </c>
      <c r="H71" s="30">
        <f>G71-F71</f>
        <v>210.41840000000229</v>
      </c>
      <c r="I71" s="28" t="s">
        <v>2644</v>
      </c>
      <c r="J71" s="52" t="s">
        <v>196</v>
      </c>
      <c r="K71" s="31">
        <v>43546</v>
      </c>
      <c r="L71" s="31">
        <v>43547</v>
      </c>
      <c r="M71" s="28" t="s">
        <v>46</v>
      </c>
      <c r="N71" s="28" t="s">
        <v>2640</v>
      </c>
      <c r="O71" s="2"/>
      <c r="P71" s="32">
        <f>0.6491+0.095</f>
        <v>0.74409999999999998</v>
      </c>
      <c r="Q71" s="140">
        <v>26000</v>
      </c>
      <c r="R71" s="2">
        <v>114102</v>
      </c>
      <c r="S71" s="68">
        <v>19.178999999999998</v>
      </c>
      <c r="T71" s="33">
        <f>X71*F71*0.005</f>
        <v>3575.9904105715759</v>
      </c>
      <c r="V71" s="2">
        <v>0.12</v>
      </c>
      <c r="W71" s="2">
        <v>0.3</v>
      </c>
      <c r="X71" s="2">
        <f>IF(O71&gt;0,O71,((P71*2.2046*S71)+(Q71+R71)/G71)+V71)</f>
        <v>39.167213547707981</v>
      </c>
      <c r="Y71" s="2">
        <f>IF(O71&gt;0,O71,((P71*2.2046*S71)+(Q71+R71+T71)/G71)+V71+W71)</f>
        <v>39.660818629669393</v>
      </c>
      <c r="Z71" s="3">
        <f>Y71*F71</f>
        <v>724211.37093330838</v>
      </c>
      <c r="AA71" s="34">
        <v>43549</v>
      </c>
      <c r="AB71" s="3"/>
      <c r="AC71" s="35"/>
    </row>
    <row r="72" spans="1:29" x14ac:dyDescent="0.25">
      <c r="A72" s="127"/>
      <c r="B72" s="27" t="s">
        <v>30</v>
      </c>
      <c r="C72" s="28" t="s">
        <v>31</v>
      </c>
      <c r="D72" s="28" t="s">
        <v>31</v>
      </c>
      <c r="E72" t="s">
        <v>32</v>
      </c>
      <c r="F72" s="29">
        <f>41200*0.4536</f>
        <v>18688.32</v>
      </c>
      <c r="G72" s="30">
        <v>18636.23</v>
      </c>
      <c r="H72" s="30">
        <f>G72-F72</f>
        <v>-52.090000000000146</v>
      </c>
      <c r="I72">
        <v>57062</v>
      </c>
      <c r="J72" s="52" t="s">
        <v>2207</v>
      </c>
      <c r="K72" s="31">
        <v>43545</v>
      </c>
      <c r="L72" s="31">
        <v>43547</v>
      </c>
      <c r="M72" s="28" t="s">
        <v>46</v>
      </c>
      <c r="N72" s="28" t="s">
        <v>2641</v>
      </c>
      <c r="O72" s="2"/>
      <c r="P72" s="32">
        <f>0.6706+0.1</f>
        <v>0.77059999999999995</v>
      </c>
      <c r="Q72" s="140">
        <v>24400</v>
      </c>
      <c r="R72" s="2">
        <v>121829</v>
      </c>
      <c r="S72" s="68">
        <v>19.358000000000001</v>
      </c>
      <c r="T72" s="33">
        <f>X72*F72*0.005</f>
        <v>3817.3803778361275</v>
      </c>
      <c r="V72" s="2">
        <v>0.12</v>
      </c>
      <c r="W72" s="2">
        <v>0.3</v>
      </c>
      <c r="X72" s="2">
        <f>IF(O72&gt;0,O72,((P72*2.2046*S72)+(Q72+R72)/G72)+V72)</f>
        <v>40.853114435499045</v>
      </c>
      <c r="Y72" s="2">
        <f>IF(O72&gt;0,O72,((P72*2.2046*S72)+(Q72+R72+T72)/G72)+V72+W72)</f>
        <v>41.357950948991103</v>
      </c>
      <c r="Z72" s="3">
        <f>Y72*F72</f>
        <v>772910.62187904946</v>
      </c>
      <c r="AA72" s="34">
        <v>43539</v>
      </c>
      <c r="AB72" s="3">
        <v>41.26</v>
      </c>
      <c r="AC72" s="35"/>
    </row>
    <row r="73" spans="1:29" x14ac:dyDescent="0.25">
      <c r="A73" s="127"/>
      <c r="B73" s="27" t="s">
        <v>26</v>
      </c>
      <c r="C73" t="s">
        <v>43</v>
      </c>
      <c r="D73" s="28" t="s">
        <v>44</v>
      </c>
      <c r="E73">
        <v>240</v>
      </c>
      <c r="F73" s="29">
        <v>21013.8</v>
      </c>
      <c r="G73" s="30">
        <v>21150</v>
      </c>
      <c r="H73" s="30">
        <f t="shared" ref="H73:H75" si="42">G73-F73</f>
        <v>136.20000000000073</v>
      </c>
      <c r="I73" t="s">
        <v>2869</v>
      </c>
      <c r="K73" s="31"/>
      <c r="L73" s="31">
        <v>43546</v>
      </c>
      <c r="M73" s="28" t="s">
        <v>45</v>
      </c>
      <c r="O73" s="2">
        <v>33.700000000000003</v>
      </c>
      <c r="P73" s="32"/>
      <c r="Q73" s="138">
        <v>22800</v>
      </c>
      <c r="R73" s="2"/>
      <c r="S73" s="33"/>
      <c r="T73" s="33">
        <f>X73*F73*0.0045</f>
        <v>3273.5255612399997</v>
      </c>
      <c r="U73" s="2">
        <f>E73*5</f>
        <v>1200</v>
      </c>
      <c r="W73" s="2">
        <v>0.3</v>
      </c>
      <c r="X73" s="2">
        <f>((O73*F73)+Q73+R73+S73+U73)/G73</f>
        <v>34.617733333333334</v>
      </c>
      <c r="Y73" s="2">
        <f>((O73*F73)+Q73+R73+S73+T73+U73)/G73+W73</f>
        <v>35.072509955614187</v>
      </c>
      <c r="Z73" s="3">
        <f>Y73*G73</f>
        <v>741783.58556124009</v>
      </c>
      <c r="AA73" s="34">
        <v>43551</v>
      </c>
      <c r="AB73" s="3"/>
      <c r="AC73" s="35"/>
    </row>
    <row r="74" spans="1:29" x14ac:dyDescent="0.25">
      <c r="A74" s="127"/>
      <c r="B74" s="27" t="s">
        <v>26</v>
      </c>
      <c r="C74" t="s">
        <v>27</v>
      </c>
      <c r="D74" s="28" t="s">
        <v>2722</v>
      </c>
      <c r="E74">
        <v>129</v>
      </c>
      <c r="F74" s="29">
        <v>17030</v>
      </c>
      <c r="G74" s="30">
        <v>13700</v>
      </c>
      <c r="H74" s="30">
        <f t="shared" si="42"/>
        <v>-3330</v>
      </c>
      <c r="I74" s="28" t="s">
        <v>2828</v>
      </c>
      <c r="K74" s="31"/>
      <c r="L74" s="31">
        <v>43546</v>
      </c>
      <c r="M74" s="28" t="s">
        <v>45</v>
      </c>
      <c r="O74" s="2">
        <v>25.5</v>
      </c>
      <c r="P74" s="32"/>
      <c r="Q74" s="140">
        <v>18100</v>
      </c>
      <c r="R74" s="2">
        <f t="shared" ref="R74" si="43">75.45*E74</f>
        <v>9733.0500000000011</v>
      </c>
      <c r="S74" s="33">
        <f>-38*E74</f>
        <v>-4902</v>
      </c>
      <c r="T74" s="33">
        <f>X74*F74*0.0045</f>
        <v>2561.0692603467151</v>
      </c>
      <c r="U74" s="2">
        <f>E74*5</f>
        <v>645</v>
      </c>
      <c r="W74" s="2">
        <v>0.3</v>
      </c>
      <c r="X74" s="2">
        <f>((O74*F74)+Q74+R74+S74+U74)/G74</f>
        <v>33.419054744525546</v>
      </c>
      <c r="Y74" s="2">
        <f>((O74*F74)+Q74+R74+S74+T74+U74)/G74+W74</f>
        <v>33.905994106594648</v>
      </c>
      <c r="Z74" s="3">
        <f>Y74*G74</f>
        <v>464512.11926034669</v>
      </c>
      <c r="AA74" s="34">
        <v>43559</v>
      </c>
      <c r="AB74" s="3"/>
      <c r="AC74" s="35" t="s">
        <v>2843</v>
      </c>
    </row>
    <row r="75" spans="1:29" x14ac:dyDescent="0.25">
      <c r="A75" s="127"/>
      <c r="B75" s="27" t="s">
        <v>30</v>
      </c>
      <c r="C75" t="s">
        <v>40</v>
      </c>
      <c r="D75" s="28" t="s">
        <v>40</v>
      </c>
      <c r="E75" t="s">
        <v>37</v>
      </c>
      <c r="F75" s="29">
        <f>41763*0.4536</f>
        <v>18943.696800000002</v>
      </c>
      <c r="G75" s="30">
        <v>18930.53</v>
      </c>
      <c r="H75" s="30">
        <f t="shared" si="42"/>
        <v>-13.166800000002695</v>
      </c>
      <c r="I75" s="28" t="s">
        <v>2645</v>
      </c>
      <c r="J75" s="52" t="s">
        <v>196</v>
      </c>
      <c r="K75" s="31">
        <v>43546</v>
      </c>
      <c r="L75" s="31">
        <v>43547</v>
      </c>
      <c r="M75" s="28" t="s">
        <v>46</v>
      </c>
      <c r="N75" s="28" t="s">
        <v>2642</v>
      </c>
      <c r="O75" s="2"/>
      <c r="P75" s="32">
        <f>0.6778+0.105</f>
        <v>0.78279999999999994</v>
      </c>
      <c r="Q75" s="140">
        <v>26000</v>
      </c>
      <c r="R75" s="2">
        <v>124563</v>
      </c>
      <c r="S75" s="68">
        <v>19.055</v>
      </c>
      <c r="T75" s="33">
        <f>X75*F75*0.005</f>
        <v>3879.4628371129511</v>
      </c>
      <c r="V75" s="2">
        <v>0.12</v>
      </c>
      <c r="W75" s="2">
        <v>0.3</v>
      </c>
      <c r="X75" s="2">
        <f>IF(O75&gt;0,O75,((P75*2.2046*S75)+(Q75+R75)/G75)+V75)</f>
        <v>40.957822309666092</v>
      </c>
      <c r="Y75" s="2">
        <f>IF(O75&gt;0,O75,((P75*2.2046*S75)+(Q75+R75+T75)/G75)+V75+W75)</f>
        <v>41.462753858709512</v>
      </c>
      <c r="Z75" s="3">
        <f>Y75*F75</f>
        <v>785457.83759242308</v>
      </c>
      <c r="AA75" s="34">
        <v>43543</v>
      </c>
      <c r="AB75" s="3" t="s">
        <v>2821</v>
      </c>
      <c r="AC75" s="35"/>
    </row>
    <row r="76" spans="1:29" ht="15.75" thickBot="1" x14ac:dyDescent="0.3">
      <c r="A76" s="128"/>
      <c r="B76" s="41"/>
      <c r="C76" s="4"/>
      <c r="D76" s="4"/>
      <c r="E76" s="4"/>
      <c r="F76" s="42"/>
      <c r="G76" s="42"/>
      <c r="H76" s="42"/>
      <c r="I76" s="7"/>
      <c r="J76" s="4"/>
      <c r="K76" s="8"/>
      <c r="L76" s="8"/>
      <c r="M76" s="4"/>
      <c r="N76" s="4"/>
      <c r="O76" s="9"/>
      <c r="P76" s="10"/>
      <c r="Q76" s="9"/>
      <c r="R76" s="9"/>
      <c r="S76" s="9"/>
      <c r="T76" s="9"/>
      <c r="U76" s="9"/>
      <c r="V76" s="9"/>
      <c r="W76" s="9"/>
      <c r="X76" s="9"/>
      <c r="Y76" s="9"/>
      <c r="Z76" s="13"/>
      <c r="AA76" s="43"/>
      <c r="AB76" s="3"/>
      <c r="AC76" s="35"/>
    </row>
    <row r="77" spans="1:29" x14ac:dyDescent="0.25">
      <c r="A77" s="160"/>
      <c r="B77" s="14" t="s">
        <v>26</v>
      </c>
      <c r="C77" s="14" t="s">
        <v>27</v>
      </c>
      <c r="D77" s="28" t="s">
        <v>2722</v>
      </c>
      <c r="E77" s="14">
        <v>199</v>
      </c>
      <c r="F77" s="16">
        <v>23165</v>
      </c>
      <c r="G77" s="17">
        <v>18640</v>
      </c>
      <c r="H77" s="30">
        <f t="shared" ref="H77:H80" si="44">G77-F77</f>
        <v>-4525</v>
      </c>
      <c r="I77" s="19" t="s">
        <v>2852</v>
      </c>
      <c r="J77" s="14"/>
      <c r="K77" s="20"/>
      <c r="L77" s="20">
        <v>43548</v>
      </c>
      <c r="M77" s="15" t="s">
        <v>28</v>
      </c>
      <c r="N77" s="14"/>
      <c r="O77" s="21">
        <v>25.5</v>
      </c>
      <c r="P77" s="22"/>
      <c r="Q77" s="138">
        <v>22800</v>
      </c>
      <c r="R77" s="2">
        <f t="shared" ref="R77:R79" si="45">75.45*E77</f>
        <v>15014.550000000001</v>
      </c>
      <c r="S77" s="21">
        <f>-38*E77</f>
        <v>-7562</v>
      </c>
      <c r="T77" s="23">
        <f>X77*F77*0.0045</f>
        <v>3478.2268937567055</v>
      </c>
      <c r="U77" s="21">
        <f>E77*5</f>
        <v>995</v>
      </c>
      <c r="V77" s="14"/>
      <c r="W77" s="21">
        <v>0.3</v>
      </c>
      <c r="X77" s="21">
        <f>((O77*F77)+Q77+R77+S77+U77)/G77</f>
        <v>33.366687231759656</v>
      </c>
      <c r="Y77" s="24">
        <f>((O77*F77)+Q77+R77+S77+T77+U77)/G77+W77</f>
        <v>33.853287387004109</v>
      </c>
      <c r="Z77" s="24">
        <f>Y77*G77</f>
        <v>631025.27689375659</v>
      </c>
      <c r="AA77" s="25">
        <v>43563</v>
      </c>
      <c r="AB77" s="3"/>
      <c r="AC77" s="3"/>
    </row>
    <row r="78" spans="1:29" x14ac:dyDescent="0.25">
      <c r="A78" s="161"/>
      <c r="B78" s="27" t="s">
        <v>26</v>
      </c>
      <c r="C78" t="s">
        <v>27</v>
      </c>
      <c r="D78" s="28" t="s">
        <v>1720</v>
      </c>
      <c r="E78">
        <v>130</v>
      </c>
      <c r="F78" s="29">
        <v>14995</v>
      </c>
      <c r="G78" s="30">
        <v>11840</v>
      </c>
      <c r="H78" s="30">
        <f t="shared" si="44"/>
        <v>-3155</v>
      </c>
      <c r="I78" s="28" t="s">
        <v>2853</v>
      </c>
      <c r="K78" s="31"/>
      <c r="L78" s="31">
        <v>43548</v>
      </c>
      <c r="M78" s="28" t="s">
        <v>28</v>
      </c>
      <c r="O78" s="2">
        <v>25.5</v>
      </c>
      <c r="P78" s="32"/>
      <c r="Q78" s="140">
        <v>18100</v>
      </c>
      <c r="R78" s="2">
        <f t="shared" si="45"/>
        <v>9808.5</v>
      </c>
      <c r="S78" s="33">
        <f>-38*E78</f>
        <v>-4940</v>
      </c>
      <c r="T78" s="33">
        <f>X78*F78*0.0045</f>
        <v>2313.7886573057431</v>
      </c>
      <c r="U78" s="2">
        <f>E78*5</f>
        <v>650</v>
      </c>
      <c r="W78" s="2">
        <v>0.3</v>
      </c>
      <c r="X78" s="2">
        <f>((O78*F78)+Q78+R78+S78+U78)/G78</f>
        <v>34.289780405405402</v>
      </c>
      <c r="Y78" s="2">
        <f>((O78*F78)+Q78+R78+S78+T78+U78)/G78+W78</f>
        <v>34.785201744704878</v>
      </c>
      <c r="Z78" s="3">
        <f>Y78*G78</f>
        <v>411856.78865730576</v>
      </c>
      <c r="AA78" s="34">
        <v>43563</v>
      </c>
      <c r="AB78" s="3"/>
      <c r="AC78" s="35" t="s">
        <v>2865</v>
      </c>
    </row>
    <row r="79" spans="1:29" x14ac:dyDescent="0.25">
      <c r="A79" s="161"/>
      <c r="B79" s="27" t="s">
        <v>26</v>
      </c>
      <c r="C79" t="s">
        <v>27</v>
      </c>
      <c r="D79" s="28" t="s">
        <v>2863</v>
      </c>
      <c r="E79">
        <v>200</v>
      </c>
      <c r="F79" s="29">
        <v>23415</v>
      </c>
      <c r="G79" s="30">
        <f>11940+6670</f>
        <v>18610</v>
      </c>
      <c r="H79" s="30">
        <f t="shared" si="44"/>
        <v>-4805</v>
      </c>
      <c r="I79" s="28" t="s">
        <v>2864</v>
      </c>
      <c r="K79" s="31"/>
      <c r="L79" s="31">
        <v>43549</v>
      </c>
      <c r="M79" s="28" t="s">
        <v>29</v>
      </c>
      <c r="O79" s="2">
        <v>25.5</v>
      </c>
      <c r="P79" s="32"/>
      <c r="Q79" s="138">
        <v>22800</v>
      </c>
      <c r="R79" s="2">
        <f t="shared" si="45"/>
        <v>15090</v>
      </c>
      <c r="S79" s="33">
        <f>-38*E79</f>
        <v>-7600</v>
      </c>
      <c r="T79" s="33">
        <f>X79*F79*0.0045</f>
        <v>3557.7667594707141</v>
      </c>
      <c r="U79" s="2">
        <f>E79*5</f>
        <v>1000</v>
      </c>
      <c r="W79" s="2">
        <v>0.3</v>
      </c>
      <c r="X79" s="2">
        <f>((O79*F79)+Q79+R79+S79+U79)/G79</f>
        <v>33.765314347125198</v>
      </c>
      <c r="Y79" s="2">
        <f>((O79*F79)+Q79+R79+S79+T79+U79)/G79+W79</f>
        <v>34.256489347634101</v>
      </c>
      <c r="Z79" s="3">
        <f>Y79*G79</f>
        <v>637513.26675947057</v>
      </c>
      <c r="AA79" s="34">
        <v>43563</v>
      </c>
      <c r="AB79" s="3"/>
      <c r="AC79" s="35" t="s">
        <v>2868</v>
      </c>
    </row>
    <row r="80" spans="1:29" x14ac:dyDescent="0.25">
      <c r="A80" s="161"/>
      <c r="B80" s="27" t="s">
        <v>30</v>
      </c>
      <c r="C80" s="28" t="s">
        <v>1790</v>
      </c>
      <c r="D80" s="28" t="s">
        <v>1790</v>
      </c>
      <c r="E80" t="s">
        <v>32</v>
      </c>
      <c r="F80" s="29">
        <f>42478*0.4536</f>
        <v>19268.020799999998</v>
      </c>
      <c r="G80" s="30">
        <v>19205.599999999999</v>
      </c>
      <c r="H80" s="30">
        <f t="shared" si="44"/>
        <v>-62.420799999999872</v>
      </c>
      <c r="I80" s="28" t="s">
        <v>2654</v>
      </c>
      <c r="J80" s="46" t="s">
        <v>1690</v>
      </c>
      <c r="K80" s="31">
        <v>43550</v>
      </c>
      <c r="L80" s="31">
        <v>43551</v>
      </c>
      <c r="M80" s="28" t="s">
        <v>33</v>
      </c>
      <c r="N80" s="28" t="s">
        <v>2649</v>
      </c>
      <c r="O80" s="2"/>
      <c r="P80" s="32">
        <f>0.7301+0.095</f>
        <v>0.82509999999999994</v>
      </c>
      <c r="Q80" s="140">
        <v>26000</v>
      </c>
      <c r="R80" s="2">
        <v>132027</v>
      </c>
      <c r="S80" s="68">
        <v>19.071000000000002</v>
      </c>
      <c r="T80" s="33">
        <f t="shared" ref="T80" si="46">X80*F80*0.005</f>
        <v>4146.3448253225724</v>
      </c>
      <c r="V80" s="2">
        <v>0.12</v>
      </c>
      <c r="W80" s="2">
        <v>0.3</v>
      </c>
      <c r="X80" s="2">
        <f>IF(O80&gt;0,O80,((P80*2.2046*S80)+(Q80+R80)/G80)+V80)</f>
        <v>43.038616870525409</v>
      </c>
      <c r="Y80" s="2">
        <f>IF(O80&gt;0,O80,((P80*2.2046*S80)+(Q80+R80+T80)/G80)+V80+W80)</f>
        <v>43.554509361534414</v>
      </c>
      <c r="Z80" s="3">
        <f>Y80*F80</f>
        <v>839209.19231183978</v>
      </c>
      <c r="AA80" s="34">
        <v>43551</v>
      </c>
      <c r="AB80" s="3"/>
      <c r="AC80" s="35"/>
    </row>
    <row r="81" spans="1:32" x14ac:dyDescent="0.25">
      <c r="A81" s="161"/>
      <c r="B81" s="27" t="s">
        <v>30</v>
      </c>
      <c r="C81" s="28" t="s">
        <v>35</v>
      </c>
      <c r="D81" s="28" t="s">
        <v>36</v>
      </c>
      <c r="E81" t="s">
        <v>37</v>
      </c>
      <c r="F81" s="29">
        <f>41569*0.4536</f>
        <v>18855.698400000001</v>
      </c>
      <c r="G81" s="30">
        <v>18760.87</v>
      </c>
      <c r="H81" s="30">
        <f>G81-F81</f>
        <v>-94.828400000002148</v>
      </c>
      <c r="I81" t="s">
        <v>2655</v>
      </c>
      <c r="J81" s="46" t="s">
        <v>196</v>
      </c>
      <c r="K81" s="31">
        <v>43549</v>
      </c>
      <c r="L81" s="31">
        <v>43550</v>
      </c>
      <c r="M81" s="28" t="s">
        <v>48</v>
      </c>
      <c r="N81" s="28" t="s">
        <v>2650</v>
      </c>
      <c r="O81" s="2"/>
      <c r="P81" s="32">
        <f>0.7301+0.1</f>
        <v>0.83009999999999995</v>
      </c>
      <c r="Q81" s="140">
        <v>26000</v>
      </c>
      <c r="R81" s="2">
        <v>130421</v>
      </c>
      <c r="S81" s="68">
        <v>19.059999999999999</v>
      </c>
      <c r="T81" s="33">
        <f>X81*F81*0.005</f>
        <v>4085.8556906213512</v>
      </c>
      <c r="V81" s="2">
        <v>0.12</v>
      </c>
      <c r="W81" s="2">
        <v>0.3</v>
      </c>
      <c r="X81" s="2">
        <f>IF(O81&gt;0,O81,((P81*2.2046*S81)+(Q81+R81)/G81)+V81)</f>
        <v>43.338152784850983</v>
      </c>
      <c r="Y81" s="2">
        <f>IF(O81&gt;0,O81,((P81*2.2046*S81)+(Q81+R81+T81)/G81)+V81+W81)</f>
        <v>43.855938830520579</v>
      </c>
      <c r="Z81" s="3">
        <f>Y81*F81</f>
        <v>826934.35563714476</v>
      </c>
      <c r="AA81" s="34">
        <v>43550</v>
      </c>
      <c r="AB81" s="3"/>
      <c r="AC81" s="35"/>
    </row>
    <row r="82" spans="1:32" x14ac:dyDescent="0.25">
      <c r="A82" s="161"/>
      <c r="B82" s="27" t="s">
        <v>30</v>
      </c>
      <c r="C82" s="28" t="s">
        <v>31</v>
      </c>
      <c r="D82" s="28" t="s">
        <v>31</v>
      </c>
      <c r="E82" t="s">
        <v>32</v>
      </c>
      <c r="F82" s="29">
        <f>40991*0.4536</f>
        <v>18593.517599999999</v>
      </c>
      <c r="G82" s="30">
        <v>18513.509999999998</v>
      </c>
      <c r="H82" s="30">
        <f>G82-F82</f>
        <v>-80.007600000000821</v>
      </c>
      <c r="I82">
        <v>57063</v>
      </c>
      <c r="J82" s="46" t="s">
        <v>196</v>
      </c>
      <c r="K82" s="31">
        <v>43549</v>
      </c>
      <c r="L82" s="31">
        <v>43550</v>
      </c>
      <c r="M82" s="28" t="s">
        <v>48</v>
      </c>
      <c r="N82" s="28" t="s">
        <v>2648</v>
      </c>
      <c r="O82" s="2"/>
      <c r="P82" s="32">
        <f>0.6926+0.1</f>
        <v>0.79259999999999997</v>
      </c>
      <c r="Q82" s="140">
        <v>26000</v>
      </c>
      <c r="R82" s="2">
        <v>123921</v>
      </c>
      <c r="S82" s="68">
        <v>19.059999999999999</v>
      </c>
      <c r="T82" s="33">
        <f>X82*F82*0.005</f>
        <v>3860.2670663018012</v>
      </c>
      <c r="V82" s="2">
        <v>0.12</v>
      </c>
      <c r="W82" s="2">
        <v>0.3</v>
      </c>
      <c r="X82" s="2">
        <f>IF(O82&gt;0,O82,((P82*2.2046*S82)+(Q82+R82)/G82)+V82)</f>
        <v>41.522719362169546</v>
      </c>
      <c r="Y82" s="2">
        <f>IF(O82&gt;0,O82,((P82*2.2046*S82)+(Q82+R82+T82)/G82)+V82+W82)</f>
        <v>42.03123017758498</v>
      </c>
      <c r="Z82" s="3">
        <f>Y82*F82</f>
        <v>781508.41805657744</v>
      </c>
      <c r="AA82" s="34">
        <v>43543</v>
      </c>
      <c r="AB82" s="3" t="s">
        <v>2871</v>
      </c>
      <c r="AC82" s="35"/>
    </row>
    <row r="83" spans="1:32" x14ac:dyDescent="0.25">
      <c r="A83" s="161"/>
      <c r="B83" s="27" t="s">
        <v>2983</v>
      </c>
      <c r="C83" s="28" t="s">
        <v>1800</v>
      </c>
      <c r="D83" s="28" t="s">
        <v>2557</v>
      </c>
      <c r="E83" t="s">
        <v>2982</v>
      </c>
      <c r="F83" s="29">
        <v>7003.71</v>
      </c>
      <c r="G83" s="30">
        <v>7003.71</v>
      </c>
      <c r="H83" s="30">
        <f>G83-F83</f>
        <v>0</v>
      </c>
      <c r="I83" s="28" t="s">
        <v>2984</v>
      </c>
      <c r="K83" s="31"/>
      <c r="L83" s="31">
        <v>43550</v>
      </c>
      <c r="M83" s="28" t="s">
        <v>48</v>
      </c>
      <c r="N83" s="28"/>
      <c r="O83" s="2">
        <v>96</v>
      </c>
      <c r="P83" s="32"/>
      <c r="Q83" s="2"/>
      <c r="R83" s="2"/>
      <c r="S83" s="68"/>
      <c r="T83" s="33"/>
      <c r="V83" s="2"/>
      <c r="W83" s="2"/>
      <c r="X83" s="2">
        <f>IF(O83&gt;0,O83,((P83*2.2046*S83)+(Q83+R83)/G83)+V83)</f>
        <v>96</v>
      </c>
      <c r="Y83" s="2">
        <f>IF(O83&gt;0,O83,((P83*2.2046*S83)+(Q83+R83+T83)/G83)+V83+W83)</f>
        <v>96</v>
      </c>
      <c r="Z83" s="3">
        <f>Y83*F83</f>
        <v>672356.16</v>
      </c>
      <c r="AA83" s="34">
        <v>43564</v>
      </c>
      <c r="AB83" s="3"/>
      <c r="AC83" s="35"/>
    </row>
    <row r="84" spans="1:32" x14ac:dyDescent="0.25">
      <c r="A84" s="161"/>
      <c r="B84" s="27" t="s">
        <v>26</v>
      </c>
      <c r="C84" t="s">
        <v>27</v>
      </c>
      <c r="D84" s="28" t="s">
        <v>2863</v>
      </c>
      <c r="E84">
        <v>200</v>
      </c>
      <c r="F84" s="29">
        <v>22140</v>
      </c>
      <c r="G84" s="30">
        <f>11360+6100</f>
        <v>17460</v>
      </c>
      <c r="H84" s="30">
        <f>G84-F84</f>
        <v>-4680</v>
      </c>
      <c r="I84" s="28" t="s">
        <v>2949</v>
      </c>
      <c r="J84" s="159">
        <f>130+69</f>
        <v>199</v>
      </c>
      <c r="K84" s="31"/>
      <c r="L84" s="31">
        <v>43550</v>
      </c>
      <c r="M84" s="28" t="s">
        <v>48</v>
      </c>
      <c r="O84" s="2">
        <v>25.5</v>
      </c>
      <c r="P84" s="32"/>
      <c r="Q84" s="138">
        <v>22800</v>
      </c>
      <c r="R84" s="2">
        <f>75.45*E84</f>
        <v>15090</v>
      </c>
      <c r="S84" s="33">
        <f>-38*E84</f>
        <v>-7600</v>
      </c>
      <c r="T84" s="33">
        <f>X84*F84*0.005</f>
        <v>3777.8752577319592</v>
      </c>
      <c r="U84" s="2">
        <f>E84*5</f>
        <v>1000</v>
      </c>
      <c r="W84" s="2">
        <v>0.3</v>
      </c>
      <c r="X84" s="2">
        <f>((O84*F84)+Q84+R84+S84+U84)/G84</f>
        <v>34.127147766323027</v>
      </c>
      <c r="Y84" s="2">
        <f>((O84*F84)+Q84+R84+S84+T84+U84)/G84+W84</f>
        <v>34.643520919686821</v>
      </c>
      <c r="Z84" s="3">
        <f>Y84*G84</f>
        <v>604875.87525773188</v>
      </c>
      <c r="AA84" s="34">
        <v>43564</v>
      </c>
      <c r="AB84" s="3"/>
      <c r="AC84" s="35" t="s">
        <v>2953</v>
      </c>
      <c r="AF84" s="30"/>
    </row>
    <row r="85" spans="1:32" x14ac:dyDescent="0.25">
      <c r="A85" s="161"/>
      <c r="B85" s="27" t="s">
        <v>30</v>
      </c>
      <c r="C85" s="28" t="s">
        <v>31</v>
      </c>
      <c r="D85" s="28" t="s">
        <v>31</v>
      </c>
      <c r="E85" t="s">
        <v>32</v>
      </c>
      <c r="F85" s="29">
        <f>41060*0.4536</f>
        <v>18624.815999999999</v>
      </c>
      <c r="G85" s="30">
        <v>18576.78</v>
      </c>
      <c r="H85" s="30">
        <f t="shared" ref="H85:H87" si="47">G85-F85</f>
        <v>-48.036000000000058</v>
      </c>
      <c r="I85" s="28">
        <v>57064</v>
      </c>
      <c r="J85" s="46" t="s">
        <v>196</v>
      </c>
      <c r="K85" s="31">
        <v>43550</v>
      </c>
      <c r="L85" s="31">
        <v>43551</v>
      </c>
      <c r="M85" s="28" t="s">
        <v>33</v>
      </c>
      <c r="N85" s="28" t="s">
        <v>2650</v>
      </c>
      <c r="O85" s="2"/>
      <c r="P85" s="32">
        <f>0.7301+0.1</f>
        <v>0.83009999999999995</v>
      </c>
      <c r="Q85" s="140">
        <v>26000</v>
      </c>
      <c r="R85" s="2">
        <v>131435</v>
      </c>
      <c r="S85" s="68">
        <v>19.042999999999999</v>
      </c>
      <c r="T85" s="33">
        <f t="shared" ref="T85:T87" si="48">X85*F85*0.005</f>
        <v>4045.7057725434647</v>
      </c>
      <c r="V85" s="2">
        <v>0.12</v>
      </c>
      <c r="W85" s="2">
        <v>0.3</v>
      </c>
      <c r="X85" s="2">
        <f>IF(O85&gt;0,O85,((P85*2.2046*S85)+(Q85+R85)/G85)+V85)</f>
        <v>43.444249570502762</v>
      </c>
      <c r="Y85" s="2">
        <f>IF(O85&gt;0,O85,((P85*2.2046*S85)+(Q85+R85+T85)/G85)+V85+W85)</f>
        <v>43.962032510955488</v>
      </c>
      <c r="Z85" s="3">
        <f>Y85*F85</f>
        <v>818784.76650256396</v>
      </c>
      <c r="AA85" s="34">
        <v>43543</v>
      </c>
      <c r="AB85" s="3"/>
      <c r="AC85" s="35"/>
    </row>
    <row r="86" spans="1:32" x14ac:dyDescent="0.25">
      <c r="A86" s="161"/>
      <c r="B86" s="27" t="s">
        <v>30</v>
      </c>
      <c r="C86" s="28" t="s">
        <v>1790</v>
      </c>
      <c r="D86" s="28" t="s">
        <v>1790</v>
      </c>
      <c r="E86" t="s">
        <v>2413</v>
      </c>
      <c r="F86" s="29">
        <f>39638*0.4536</f>
        <v>17979.7968</v>
      </c>
      <c r="G86" s="30">
        <v>17914.8</v>
      </c>
      <c r="H86" s="30">
        <f>G86-F86</f>
        <v>-64.996800000000803</v>
      </c>
      <c r="I86" s="28" t="s">
        <v>2657</v>
      </c>
      <c r="J86" s="46" t="s">
        <v>196</v>
      </c>
      <c r="K86" s="31">
        <v>43549</v>
      </c>
      <c r="L86" s="31">
        <v>43550</v>
      </c>
      <c r="M86" s="28" t="s">
        <v>48</v>
      </c>
      <c r="N86" s="28" t="s">
        <v>2652</v>
      </c>
      <c r="O86" s="2"/>
      <c r="P86" s="32">
        <f>0.7524+0.095</f>
        <v>0.84739999999999993</v>
      </c>
      <c r="Q86" s="140">
        <v>26000</v>
      </c>
      <c r="R86" s="2">
        <v>128269</v>
      </c>
      <c r="S86" s="68">
        <v>19.41</v>
      </c>
      <c r="T86" s="33">
        <f>X86*F86*0.005</f>
        <v>4044.7886427713165</v>
      </c>
      <c r="V86" s="2">
        <v>0.12</v>
      </c>
      <c r="W86" s="2">
        <v>0.3</v>
      </c>
      <c r="X86" s="2">
        <f>IF(O86&gt;0,O86,((P86*2.2046*S86)+(Q86+R86)/G86)+V86)</f>
        <v>44.992595720228785</v>
      </c>
      <c r="Y86" s="2">
        <f>IF(O86&gt;0,O86,((P86*2.2046*S86)+(Q86+R86+T86)/G86)+V86+W86)</f>
        <v>45.518374888445642</v>
      </c>
      <c r="Z86" s="3">
        <f>Y86*F86</f>
        <v>818411.13116047531</v>
      </c>
      <c r="AA86" s="34">
        <v>43553</v>
      </c>
      <c r="AB86" s="3"/>
      <c r="AC86" s="35"/>
    </row>
    <row r="87" spans="1:32" x14ac:dyDescent="0.25">
      <c r="A87" s="161"/>
      <c r="B87" s="27" t="s">
        <v>26</v>
      </c>
      <c r="C87" t="s">
        <v>27</v>
      </c>
      <c r="D87" s="28" t="s">
        <v>1720</v>
      </c>
      <c r="E87">
        <v>200</v>
      </c>
      <c r="F87" s="29">
        <v>22195</v>
      </c>
      <c r="G87" s="30">
        <f>11270+6080</f>
        <v>17350</v>
      </c>
      <c r="H87" s="30">
        <f t="shared" si="47"/>
        <v>-4845</v>
      </c>
      <c r="I87" s="28" t="s">
        <v>2954</v>
      </c>
      <c r="J87" s="159">
        <f>130+69</f>
        <v>199</v>
      </c>
      <c r="K87" s="31"/>
      <c r="L87" s="31">
        <v>43551</v>
      </c>
      <c r="M87" s="28" t="s">
        <v>33</v>
      </c>
      <c r="O87" s="2">
        <v>25.5</v>
      </c>
      <c r="P87" s="32"/>
      <c r="Q87" s="138">
        <v>22800</v>
      </c>
      <c r="R87" s="2">
        <f>75.45*E87</f>
        <v>15090</v>
      </c>
      <c r="S87" s="33">
        <f>-38*E87</f>
        <v>-7600</v>
      </c>
      <c r="T87" s="33">
        <f t="shared" si="48"/>
        <v>3820.2424171469738</v>
      </c>
      <c r="U87" s="2">
        <f>E87*5</f>
        <v>1000</v>
      </c>
      <c r="W87" s="2">
        <v>0.3</v>
      </c>
      <c r="X87" s="2">
        <f t="shared" ref="X87" si="49">((O87*F87)+Q87+R87+S87+U87)/G87</f>
        <v>34.424351585014406</v>
      </c>
      <c r="Y87" s="2">
        <f>((O87*F87)+Q87+R87+S87+T87+U87)/G87+W87</f>
        <v>34.944538467847082</v>
      </c>
      <c r="Z87" s="3">
        <f>Y87*G87</f>
        <v>606287.74241714692</v>
      </c>
      <c r="AA87" s="34">
        <v>43564</v>
      </c>
      <c r="AB87" s="3"/>
      <c r="AC87" s="35" t="s">
        <v>2955</v>
      </c>
    </row>
    <row r="88" spans="1:32" x14ac:dyDescent="0.25">
      <c r="A88" s="161"/>
      <c r="B88" s="27" t="s">
        <v>30</v>
      </c>
      <c r="C88" s="28" t="s">
        <v>40</v>
      </c>
      <c r="D88" s="28" t="s">
        <v>40</v>
      </c>
      <c r="E88" t="s">
        <v>37</v>
      </c>
      <c r="F88" s="29">
        <f>41549*0.4536</f>
        <v>18846.626400000001</v>
      </c>
      <c r="G88" s="30">
        <v>18806.95</v>
      </c>
      <c r="H88" s="30">
        <f>G88-F88</f>
        <v>-39.676400000000285</v>
      </c>
      <c r="I88" t="s">
        <v>2656</v>
      </c>
      <c r="J88" s="46" t="s">
        <v>2882</v>
      </c>
      <c r="K88" s="31">
        <v>43551</v>
      </c>
      <c r="L88" s="31">
        <v>43553</v>
      </c>
      <c r="M88" s="28" t="s">
        <v>45</v>
      </c>
      <c r="N88" s="28" t="s">
        <v>2651</v>
      </c>
      <c r="O88" s="2"/>
      <c r="P88" s="32">
        <f>0.7524+0.105</f>
        <v>0.85739999999999994</v>
      </c>
      <c r="Q88" s="2">
        <v>26000</v>
      </c>
      <c r="R88" s="2">
        <f>7000+(F88/0.4536*S88*P88*0.2)</f>
        <v>141509.52435508001</v>
      </c>
      <c r="S88" s="68">
        <v>18.879000000000001</v>
      </c>
      <c r="T88" s="33">
        <f>X88*F88*0.005</f>
        <v>4213.3827125534599</v>
      </c>
      <c r="V88" s="2">
        <v>0.12</v>
      </c>
      <c r="W88" s="2">
        <v>0.3</v>
      </c>
      <c r="X88" s="2">
        <f>IF(O88&gt;0,O88,((P88*2.2046*S88)+(Q88+R88)/G88)+V88)</f>
        <v>44.712328064756036</v>
      </c>
      <c r="Y88" s="2">
        <f>IF(O88&gt;0,O88,((P88*2.2046*S88)+(Q88+R88+T88)/G88)+V88+W88)</f>
        <v>45.236361345673643</v>
      </c>
      <c r="Z88" s="3">
        <f>Y88*F88</f>
        <v>852552.80197731243</v>
      </c>
      <c r="AA88" s="34">
        <v>43545</v>
      </c>
      <c r="AB88" s="3"/>
      <c r="AC88" s="35"/>
    </row>
    <row r="89" spans="1:32" x14ac:dyDescent="0.25">
      <c r="A89" s="161"/>
      <c r="B89" s="27" t="s">
        <v>30</v>
      </c>
      <c r="C89" s="28" t="s">
        <v>35</v>
      </c>
      <c r="D89" s="28" t="s">
        <v>36</v>
      </c>
      <c r="E89" t="s">
        <v>37</v>
      </c>
      <c r="F89" s="29">
        <f>41739*0.4536</f>
        <v>18932.810399999998</v>
      </c>
      <c r="G89" s="30">
        <v>18910.87</v>
      </c>
      <c r="H89" s="30">
        <f>G89-F89</f>
        <v>-21.940399999999499</v>
      </c>
      <c r="I89" t="s">
        <v>2763</v>
      </c>
      <c r="J89" s="46" t="s">
        <v>196</v>
      </c>
      <c r="K89" s="31">
        <v>43551</v>
      </c>
      <c r="L89" s="31">
        <v>43553</v>
      </c>
      <c r="M89" s="28" t="s">
        <v>45</v>
      </c>
      <c r="N89" s="28" t="s">
        <v>2764</v>
      </c>
      <c r="O89" s="2"/>
      <c r="P89" s="32">
        <f>0.7524+0.1</f>
        <v>0.85239999999999994</v>
      </c>
      <c r="Q89" s="140">
        <v>26000</v>
      </c>
      <c r="R89" s="2">
        <v>136175</v>
      </c>
      <c r="S89" s="68">
        <v>19.425000000000001</v>
      </c>
      <c r="T89" s="33">
        <f>X89*F89*0.005</f>
        <v>4278.7428118079697</v>
      </c>
      <c r="V89" s="2">
        <v>0.12</v>
      </c>
      <c r="W89" s="2">
        <v>0.3</v>
      </c>
      <c r="X89" s="2">
        <f>IF(O89&gt;0,O89,((P89*2.2046*S89)+(Q89+R89)/G89)+V89)</f>
        <v>45.199235838837431</v>
      </c>
      <c r="Y89" s="2">
        <f>IF(O89&gt;0,O89,((P89*2.2046*S89)+(Q89+R89+T89)/G89)+V89+W89)</f>
        <v>45.725494218901808</v>
      </c>
      <c r="Z89" s="3">
        <f>Y89*F89</f>
        <v>865712.1124927639</v>
      </c>
      <c r="AA89" s="34">
        <v>43553</v>
      </c>
      <c r="AB89" s="3"/>
      <c r="AC89" s="35"/>
    </row>
    <row r="90" spans="1:32" x14ac:dyDescent="0.25">
      <c r="A90" s="161"/>
      <c r="B90" s="27" t="s">
        <v>26</v>
      </c>
      <c r="C90" t="s">
        <v>27</v>
      </c>
      <c r="D90" s="28" t="s">
        <v>2863</v>
      </c>
      <c r="E90">
        <v>199</v>
      </c>
      <c r="F90" s="29">
        <v>23100</v>
      </c>
      <c r="G90" s="30">
        <v>22520</v>
      </c>
      <c r="H90" s="30">
        <f t="shared" ref="H90:H91" si="50">G90-F90</f>
        <v>-580</v>
      </c>
      <c r="I90" s="28" t="s">
        <v>2977</v>
      </c>
      <c r="J90" s="55">
        <v>250</v>
      </c>
      <c r="K90" s="31"/>
      <c r="L90" s="31">
        <v>43552</v>
      </c>
      <c r="M90" s="28" t="s">
        <v>41</v>
      </c>
      <c r="O90" s="2">
        <v>25.5</v>
      </c>
      <c r="P90" s="32"/>
      <c r="Q90" s="138">
        <v>22800</v>
      </c>
      <c r="R90" s="2">
        <f t="shared" ref="R90:R91" si="51">75.45*E90</f>
        <v>15014.550000000001</v>
      </c>
      <c r="S90" s="33">
        <f>-38*E90</f>
        <v>-7562</v>
      </c>
      <c r="T90" s="33">
        <f>X90*F90*0.0045</f>
        <v>2863.2295880328597</v>
      </c>
      <c r="U90" s="2">
        <f>E90*5</f>
        <v>995</v>
      </c>
      <c r="W90" s="2">
        <v>0.3</v>
      </c>
      <c r="X90" s="2">
        <f t="shared" ref="X90" si="52">((O90*F90)+Q90+R90+S90+U90)/G90</f>
        <v>27.544296181172292</v>
      </c>
      <c r="Y90" s="2">
        <f>((O90*F90)+Q90+R90+S90+T90+U90)/G90+W90</f>
        <v>27.971437814743911</v>
      </c>
      <c r="Z90" s="3">
        <f>Y90*G90</f>
        <v>629916.77958803286</v>
      </c>
      <c r="AA90" s="34">
        <v>43565</v>
      </c>
      <c r="AB90" s="3">
        <v>34.6</v>
      </c>
      <c r="AC90" s="35"/>
    </row>
    <row r="91" spans="1:32" x14ac:dyDescent="0.25">
      <c r="A91" s="161"/>
      <c r="B91" s="27" t="s">
        <v>26</v>
      </c>
      <c r="C91" t="s">
        <v>27</v>
      </c>
      <c r="D91" s="28" t="s">
        <v>1720</v>
      </c>
      <c r="E91">
        <v>180</v>
      </c>
      <c r="F91" s="29">
        <v>18970</v>
      </c>
      <c r="G91" s="30">
        <v>10550</v>
      </c>
      <c r="H91" s="30">
        <f t="shared" si="50"/>
        <v>-8420</v>
      </c>
      <c r="I91" s="28" t="s">
        <v>2978</v>
      </c>
      <c r="J91" s="55">
        <v>129</v>
      </c>
      <c r="K91" s="31"/>
      <c r="L91" s="31">
        <v>43552</v>
      </c>
      <c r="M91" s="28" t="s">
        <v>41</v>
      </c>
      <c r="O91" s="2">
        <v>25.5</v>
      </c>
      <c r="P91" s="32"/>
      <c r="Q91" s="140">
        <v>18100</v>
      </c>
      <c r="R91" s="2">
        <f t="shared" si="51"/>
        <v>13581</v>
      </c>
      <c r="S91" s="33">
        <f>-38*E91</f>
        <v>-6840</v>
      </c>
      <c r="T91" s="33">
        <f>X91*F91*0.0045</f>
        <v>4122.4093592417057</v>
      </c>
      <c r="U91" s="2">
        <f>E91*5</f>
        <v>900</v>
      </c>
      <c r="W91" s="2">
        <v>0.3</v>
      </c>
      <c r="X91" s="2">
        <f>((O91*F91)+Q91+R91+S91+U91)/G91</f>
        <v>48.291563981042657</v>
      </c>
      <c r="Y91" s="2">
        <f>((O91*F91)+Q91+R91+S91+T91+U91)/G91+W91</f>
        <v>48.982313683340443</v>
      </c>
      <c r="Z91" s="3">
        <f>Y91*G91</f>
        <v>516763.40935924166</v>
      </c>
      <c r="AA91" s="34">
        <v>43565</v>
      </c>
      <c r="AB91" s="3"/>
      <c r="AC91" s="35" t="s">
        <v>2980</v>
      </c>
    </row>
    <row r="92" spans="1:32" x14ac:dyDescent="0.25">
      <c r="A92" s="161"/>
      <c r="B92" s="27" t="s">
        <v>2765</v>
      </c>
      <c r="C92" s="28" t="s">
        <v>40</v>
      </c>
      <c r="D92" s="28" t="s">
        <v>40</v>
      </c>
      <c r="E92" t="s">
        <v>2964</v>
      </c>
      <c r="F92" s="29">
        <f>25992*0.4536</f>
        <v>11789.9712</v>
      </c>
      <c r="G92" s="30">
        <v>11804.7</v>
      </c>
      <c r="H92" s="30">
        <f t="shared" ref="H92" si="53">G92-F92</f>
        <v>14.728800000000774</v>
      </c>
      <c r="I92" s="28" t="s">
        <v>2770</v>
      </c>
      <c r="J92" s="37" t="s">
        <v>196</v>
      </c>
      <c r="K92" s="31">
        <v>43552</v>
      </c>
      <c r="L92" s="31">
        <v>43553</v>
      </c>
      <c r="M92" s="28" t="s">
        <v>45</v>
      </c>
      <c r="N92" s="28"/>
      <c r="O92" s="2"/>
      <c r="P92" s="32">
        <v>0.87</v>
      </c>
      <c r="Q92" s="2">
        <f>(26000*G92)/(G92+G93+G94+G95+G96)</f>
        <v>16327.229550945889</v>
      </c>
      <c r="R92" s="2">
        <v>10000</v>
      </c>
      <c r="S92" s="68">
        <v>19.024999999999999</v>
      </c>
      <c r="T92" s="33">
        <f t="shared" ref="T92:T96" si="54">X92*F92*0.005</f>
        <v>2289.6254281970264</v>
      </c>
      <c r="V92" s="2">
        <v>0.12</v>
      </c>
      <c r="W92" s="2">
        <v>0.3</v>
      </c>
      <c r="X92" s="2">
        <f t="shared" ref="X92" si="55">IF(O92&gt;0,O92,((P92*2.2046*S92)+(Q92+R92)/G92)+V92)</f>
        <v>38.840220885306763</v>
      </c>
      <c r="Y92" s="2">
        <f t="shared" ref="Y92" si="56">IF(O92&gt;0,O92,((P92*2.2046*S92)+(Q92+R92+T92)/G92)+V92+W92)</f>
        <v>39.334179683768141</v>
      </c>
      <c r="Z92" s="3">
        <f t="shared" ref="Z92" si="57">Y92*F92</f>
        <v>463748.84564725147</v>
      </c>
      <c r="AA92" s="34">
        <v>43543</v>
      </c>
    </row>
    <row r="93" spans="1:32" x14ac:dyDescent="0.25">
      <c r="A93" s="161"/>
      <c r="B93" s="27" t="s">
        <v>2766</v>
      </c>
      <c r="C93" s="28" t="s">
        <v>40</v>
      </c>
      <c r="D93" s="28" t="s">
        <v>40</v>
      </c>
      <c r="E93" t="s">
        <v>2965</v>
      </c>
      <c r="F93" s="29">
        <f>10992.5*0.4536</f>
        <v>4986.1980000000003</v>
      </c>
      <c r="G93" s="30">
        <v>4985.7</v>
      </c>
      <c r="H93" s="30">
        <f>G93-F93</f>
        <v>-0.49800000000050204</v>
      </c>
      <c r="I93" s="28" t="s">
        <v>2770</v>
      </c>
      <c r="K93" s="31">
        <v>43552</v>
      </c>
      <c r="L93" s="31">
        <v>43553</v>
      </c>
      <c r="M93" s="28" t="s">
        <v>45</v>
      </c>
      <c r="N93" s="28"/>
      <c r="O93" s="2"/>
      <c r="P93" s="32">
        <v>0.91</v>
      </c>
      <c r="Q93" s="2">
        <f>(26000*G93)/(G93+G94+G95+G96+G92)</f>
        <v>6895.7845919126212</v>
      </c>
      <c r="R93" s="2">
        <v>35428</v>
      </c>
      <c r="S93" s="68">
        <v>19.024999999999999</v>
      </c>
      <c r="T93" s="33">
        <f t="shared" si="54"/>
        <v>1166.1900435143712</v>
      </c>
      <c r="V93" s="2">
        <v>0.12</v>
      </c>
      <c r="W93" s="2">
        <v>0.3</v>
      </c>
      <c r="X93" s="2">
        <f>IF(O93&gt;0,O93,((P93*2.2046*S93)+(Q93+R93)/G93)+V93)</f>
        <v>46.77672421008436</v>
      </c>
      <c r="Y93" s="2">
        <f>IF(O93&gt;0,O93,((P93*2.2046*S93)+(Q93+R93+T93)/G93)+V93+W93)</f>
        <v>47.310631192757675</v>
      </c>
      <c r="Z93" s="3">
        <f>Y93*F93</f>
        <v>235900.17463206596</v>
      </c>
      <c r="AA93" s="34">
        <v>43544</v>
      </c>
      <c r="AB93" s="3"/>
      <c r="AC93" s="35"/>
    </row>
    <row r="94" spans="1:32" x14ac:dyDescent="0.25">
      <c r="A94" s="161"/>
      <c r="B94" s="27" t="s">
        <v>2767</v>
      </c>
      <c r="C94" s="28" t="s">
        <v>40</v>
      </c>
      <c r="D94" s="28" t="s">
        <v>40</v>
      </c>
      <c r="E94" t="s">
        <v>2966</v>
      </c>
      <c r="F94" s="29">
        <f>2160*0.4536</f>
        <v>979.77599999999995</v>
      </c>
      <c r="G94" s="30">
        <v>993.53</v>
      </c>
      <c r="H94" s="30">
        <f>G94-F94</f>
        <v>13.754000000000019</v>
      </c>
      <c r="I94" s="28" t="s">
        <v>2770</v>
      </c>
      <c r="K94" s="31">
        <v>43552</v>
      </c>
      <c r="L94" s="31">
        <v>43553</v>
      </c>
      <c r="M94" s="28" t="s">
        <v>45</v>
      </c>
      <c r="N94" s="28"/>
      <c r="O94" s="2"/>
      <c r="P94" s="32">
        <v>0.91</v>
      </c>
      <c r="Q94" s="2">
        <f>(26000*G94)/(G94+G95+G96+G92+G93)</f>
        <v>1374.163881822602</v>
      </c>
      <c r="R94" s="2">
        <v>1000</v>
      </c>
      <c r="S94" s="68">
        <v>19.024999999999999</v>
      </c>
      <c r="T94" s="33">
        <f t="shared" si="54"/>
        <v>199.2732770884937</v>
      </c>
      <c r="V94" s="2">
        <v>0.12</v>
      </c>
      <c r="W94" s="2">
        <v>0.3</v>
      </c>
      <c r="X94" s="2">
        <f>IF(O94&gt;0,O94,((P94*2.2046*S94)+(Q94+R94)/G94)+V94)</f>
        <v>40.677313403980854</v>
      </c>
      <c r="Y94" s="2">
        <f>IF(O94&gt;0,O94,((P94*2.2046*S94)+(Q94+R94+T94)/G94)+V94+W94)</f>
        <v>41.177884375253477</v>
      </c>
      <c r="Z94" s="3">
        <f>Y94*F94</f>
        <v>40345.102841648346</v>
      </c>
      <c r="AA94" s="34">
        <v>43544</v>
      </c>
      <c r="AB94" s="3"/>
      <c r="AC94" s="35"/>
    </row>
    <row r="95" spans="1:32" x14ac:dyDescent="0.25">
      <c r="A95" s="161"/>
      <c r="B95" s="27" t="s">
        <v>2768</v>
      </c>
      <c r="C95" s="28" t="s">
        <v>40</v>
      </c>
      <c r="D95" s="28" t="s">
        <v>40</v>
      </c>
      <c r="E95" t="s">
        <v>2967</v>
      </c>
      <c r="F95" s="29">
        <f>1110*0.4536</f>
        <v>503.49599999999998</v>
      </c>
      <c r="G95" s="30">
        <v>503.57</v>
      </c>
      <c r="H95" s="30">
        <f>G95-F95</f>
        <v>7.4000000000012278E-2</v>
      </c>
      <c r="I95" s="28" t="s">
        <v>2770</v>
      </c>
      <c r="K95" s="31">
        <v>43552</v>
      </c>
      <c r="L95" s="31">
        <v>43553</v>
      </c>
      <c r="M95" s="28" t="s">
        <v>45</v>
      </c>
      <c r="N95" s="28"/>
      <c r="O95" s="2"/>
      <c r="P95" s="32">
        <v>0.59</v>
      </c>
      <c r="Q95" s="2">
        <f>(26000*G95)/(G95+G96+G92+G93+G94)</f>
        <v>696.49402229364762</v>
      </c>
      <c r="R95" s="2">
        <v>500</v>
      </c>
      <c r="S95" s="68">
        <v>19.024999999999999</v>
      </c>
      <c r="T95" s="33">
        <f t="shared" si="54"/>
        <v>68.581459753567941</v>
      </c>
      <c r="V95" s="2">
        <v>0.12</v>
      </c>
      <c r="W95" s="2">
        <v>0.3</v>
      </c>
      <c r="X95" s="2">
        <f>IF(O95&gt;0,O95,((P95*2.2046*S95)+(Q95+R95)/G95)+V95)</f>
        <v>27.242107088663239</v>
      </c>
      <c r="Y95" s="2">
        <f>IF(O95&gt;0,O95,((P95*2.2046*S95)+(Q95+R95+T95)/G95)+V95+W95)</f>
        <v>27.678297607863286</v>
      </c>
      <c r="Z95" s="3">
        <f>Y95*F95</f>
        <v>13935.912132368732</v>
      </c>
      <c r="AA95" s="34">
        <v>43544</v>
      </c>
      <c r="AB95" s="3"/>
      <c r="AC95" s="35"/>
    </row>
    <row r="96" spans="1:32" x14ac:dyDescent="0.25">
      <c r="A96" s="161"/>
      <c r="B96" s="27" t="s">
        <v>2769</v>
      </c>
      <c r="C96" s="28" t="s">
        <v>40</v>
      </c>
      <c r="D96" s="28" t="s">
        <v>40</v>
      </c>
      <c r="E96" t="s">
        <v>2968</v>
      </c>
      <c r="F96" s="29">
        <f>1125.4*0.4536</f>
        <v>510.48144000000002</v>
      </c>
      <c r="G96" s="30">
        <v>510.68</v>
      </c>
      <c r="H96" s="30">
        <f>G96-F96</f>
        <v>0.1985599999999863</v>
      </c>
      <c r="I96" s="28" t="s">
        <v>2770</v>
      </c>
      <c r="K96" s="31">
        <v>43552</v>
      </c>
      <c r="L96" s="31">
        <v>43553</v>
      </c>
      <c r="M96" s="28" t="s">
        <v>45</v>
      </c>
      <c r="N96" s="28"/>
      <c r="O96" s="2"/>
      <c r="P96" s="32">
        <v>0.9</v>
      </c>
      <c r="Q96" s="2">
        <f>(26000*G96)/(G96+G92+G93+G94+G95)</f>
        <v>706.32795302523971</v>
      </c>
      <c r="R96" s="2">
        <v>500</v>
      </c>
      <c r="S96" s="68">
        <v>19.024999999999999</v>
      </c>
      <c r="T96" s="33">
        <f t="shared" si="54"/>
        <v>102.68452298253018</v>
      </c>
      <c r="V96" s="2">
        <v>0.12</v>
      </c>
      <c r="W96" s="2">
        <v>0.3</v>
      </c>
      <c r="X96" s="2">
        <f>IF(O96&gt;0,O96,((P96*2.2046*S96)+(Q96+R96)/G96)+V96)</f>
        <v>40.230462828395943</v>
      </c>
      <c r="Y96" s="2">
        <f>IF(O96&gt;0,O96,((P96*2.2046*S96)+(Q96+R96+T96)/G96)+V96+W96)</f>
        <v>40.731536931518306</v>
      </c>
      <c r="Z96" s="3">
        <f>Y96*F96</f>
        <v>20792.693626214648</v>
      </c>
      <c r="AA96" s="34">
        <v>43544</v>
      </c>
      <c r="AB96" s="3"/>
      <c r="AC96" s="35"/>
    </row>
    <row r="97" spans="1:29" x14ac:dyDescent="0.25">
      <c r="A97" s="161"/>
      <c r="B97" s="27" t="s">
        <v>26</v>
      </c>
      <c r="C97" t="s">
        <v>43</v>
      </c>
      <c r="D97" s="28" t="s">
        <v>44</v>
      </c>
      <c r="E97">
        <v>210</v>
      </c>
      <c r="F97" s="29">
        <v>19670</v>
      </c>
      <c r="G97" s="30">
        <v>19680</v>
      </c>
      <c r="H97" s="30">
        <f t="shared" ref="H97:H99" si="58">G97-F97</f>
        <v>10</v>
      </c>
      <c r="I97" s="37"/>
      <c r="K97" s="31"/>
      <c r="L97" s="31">
        <v>43553</v>
      </c>
      <c r="M97" s="28" t="s">
        <v>45</v>
      </c>
      <c r="O97" s="2">
        <v>33.700000000000003</v>
      </c>
      <c r="P97" s="32"/>
      <c r="Q97" s="138">
        <v>22800</v>
      </c>
      <c r="R97" s="2"/>
      <c r="S97" s="33"/>
      <c r="T97" s="33">
        <f>X97*F97*0.0045</f>
        <v>3088.7102355182924</v>
      </c>
      <c r="U97" s="2">
        <f>E97*5</f>
        <v>1050</v>
      </c>
      <c r="W97" s="2">
        <v>0.3</v>
      </c>
      <c r="X97" s="2">
        <f>((O97*F97)+Q97+R97+S97+U97)/G97</f>
        <v>34.894766260162605</v>
      </c>
      <c r="Y97" s="2">
        <f>((O97*F97)+Q97+R97+S97+T97+U97)/G97+W97</f>
        <v>35.351712918471456</v>
      </c>
      <c r="Z97" s="3">
        <f>Y97*G97</f>
        <v>695721.71023551829</v>
      </c>
      <c r="AA97" s="34">
        <v>43559</v>
      </c>
      <c r="AB97" s="3"/>
      <c r="AC97" s="35"/>
    </row>
    <row r="98" spans="1:29" x14ac:dyDescent="0.25">
      <c r="A98" s="161"/>
      <c r="B98" s="27" t="s">
        <v>26</v>
      </c>
      <c r="C98" t="s">
        <v>27</v>
      </c>
      <c r="D98" s="28" t="s">
        <v>2863</v>
      </c>
      <c r="E98">
        <v>130</v>
      </c>
      <c r="F98" s="29">
        <v>16390</v>
      </c>
      <c r="G98" s="30">
        <v>13270</v>
      </c>
      <c r="H98" s="30">
        <f t="shared" si="58"/>
        <v>-3120</v>
      </c>
      <c r="I98" s="28" t="s">
        <v>2979</v>
      </c>
      <c r="K98" s="31"/>
      <c r="L98" s="31">
        <v>43553</v>
      </c>
      <c r="M98" s="28" t="s">
        <v>45</v>
      </c>
      <c r="O98" s="2">
        <v>25.5</v>
      </c>
      <c r="P98" s="32"/>
      <c r="Q98" s="140">
        <v>18100</v>
      </c>
      <c r="R98" s="2">
        <f t="shared" ref="R98" si="59">75.45*E98</f>
        <v>9808.5</v>
      </c>
      <c r="S98" s="33">
        <f>-38*E98</f>
        <v>-4940</v>
      </c>
      <c r="T98" s="33">
        <f>X98*F98*0.0045</f>
        <v>2454.2212466088918</v>
      </c>
      <c r="U98" s="2">
        <f>E98*5</f>
        <v>650</v>
      </c>
      <c r="W98" s="2">
        <v>0.3</v>
      </c>
      <c r="X98" s="2">
        <f>((O98*F98)+Q98+R98+S98+U98)/G98</f>
        <v>33.275320271288621</v>
      </c>
      <c r="Y98" s="2">
        <f>((O98*F98)+Q98+R98+S98+T98+U98)/G98+W98</f>
        <v>33.760265353926819</v>
      </c>
      <c r="Z98" s="3">
        <f>Y98*G98</f>
        <v>447998.72124660888</v>
      </c>
      <c r="AA98" s="34">
        <v>43566</v>
      </c>
      <c r="AB98" s="3"/>
      <c r="AC98" s="35" t="s">
        <v>2981</v>
      </c>
    </row>
    <row r="99" spans="1:29" x14ac:dyDescent="0.25">
      <c r="A99" s="161"/>
      <c r="B99" s="179" t="s">
        <v>30</v>
      </c>
      <c r="C99" s="180" t="s">
        <v>40</v>
      </c>
      <c r="D99" s="181" t="s">
        <v>40</v>
      </c>
      <c r="E99" s="180" t="s">
        <v>37</v>
      </c>
      <c r="F99" s="182">
        <v>19000</v>
      </c>
      <c r="G99" s="183">
        <v>19000</v>
      </c>
      <c r="H99" s="183">
        <f t="shared" si="58"/>
        <v>0</v>
      </c>
      <c r="I99" s="181" t="s">
        <v>2658</v>
      </c>
      <c r="J99" s="48" t="s">
        <v>563</v>
      </c>
      <c r="K99" s="184">
        <v>43553</v>
      </c>
      <c r="L99" s="184">
        <v>43554</v>
      </c>
      <c r="M99" s="181" t="s">
        <v>46</v>
      </c>
      <c r="N99" s="181" t="s">
        <v>2653</v>
      </c>
      <c r="O99" s="185"/>
      <c r="P99" s="186">
        <f>0.7317+0.105</f>
        <v>0.8367</v>
      </c>
      <c r="Q99" s="185">
        <v>26000</v>
      </c>
      <c r="R99" s="185">
        <f>7000+(F99/0.4536*S99*P99*0.2)</f>
        <v>140809.28439153437</v>
      </c>
      <c r="S99" s="187">
        <v>19.09</v>
      </c>
      <c r="T99" s="188">
        <f>X99*F99*0.005</f>
        <v>4190.7004764686717</v>
      </c>
      <c r="U99" s="180"/>
      <c r="V99" s="185">
        <v>0.12</v>
      </c>
      <c r="W99" s="185">
        <v>0.3</v>
      </c>
      <c r="X99" s="185">
        <f>IF(O99&gt;0,O99,((P99*2.2046*S99)+(Q99+R99)/G99)+V99)</f>
        <v>44.112636594407071</v>
      </c>
      <c r="Y99" s="185">
        <f>IF(O99&gt;0,O99,((P99*2.2046*S99)+(Q99+R99+T99)/G99)+V99+W99)</f>
        <v>44.633199777379104</v>
      </c>
      <c r="Z99" s="167">
        <f>Y99*F99</f>
        <v>848030.795770203</v>
      </c>
      <c r="AA99" s="48" t="s">
        <v>563</v>
      </c>
      <c r="AB99" s="3"/>
      <c r="AC99" s="35"/>
    </row>
    <row r="100" spans="1:29" ht="15.75" thickBot="1" x14ac:dyDescent="0.3">
      <c r="A100" s="162"/>
      <c r="B100" s="41"/>
      <c r="C100" s="4"/>
      <c r="D100" s="4"/>
      <c r="E100" s="4"/>
      <c r="F100" s="42"/>
      <c r="G100" s="42"/>
      <c r="H100" s="42"/>
      <c r="I100" s="7"/>
      <c r="J100" s="4"/>
      <c r="K100" s="8"/>
      <c r="L100" s="8"/>
      <c r="M100" s="4"/>
      <c r="N100" s="4"/>
      <c r="O100" s="9"/>
      <c r="P100" s="10"/>
      <c r="Q100" s="9"/>
      <c r="R100" s="9"/>
      <c r="S100" s="9"/>
      <c r="T100" s="9"/>
      <c r="U100" s="9"/>
      <c r="V100" s="9"/>
      <c r="W100" s="9"/>
      <c r="X100" s="9"/>
      <c r="Y100" s="9"/>
      <c r="Z100" s="13"/>
      <c r="AA100" s="43"/>
      <c r="AB100" s="3"/>
      <c r="AC100" s="35"/>
    </row>
    <row r="101" spans="1:29" x14ac:dyDescent="0.25">
      <c r="A101" s="129"/>
      <c r="B101" s="14" t="s">
        <v>26</v>
      </c>
      <c r="C101" s="14" t="s">
        <v>27</v>
      </c>
      <c r="D101" s="15"/>
      <c r="E101" s="14">
        <v>200</v>
      </c>
      <c r="F101" s="16"/>
      <c r="G101" s="17"/>
      <c r="H101" s="30">
        <f t="shared" ref="H101:H102" si="60">G101-F101</f>
        <v>0</v>
      </c>
      <c r="I101" s="19"/>
      <c r="J101" s="14"/>
      <c r="K101" s="20"/>
      <c r="L101" s="20">
        <v>43555</v>
      </c>
      <c r="M101" s="15" t="s">
        <v>28</v>
      </c>
      <c r="N101" s="14"/>
      <c r="O101" s="21"/>
      <c r="P101" s="22"/>
      <c r="Q101" s="21">
        <v>21300</v>
      </c>
      <c r="R101" s="2">
        <f t="shared" ref="R101:R102" si="61">75.45*E101</f>
        <v>15090</v>
      </c>
      <c r="S101" s="21">
        <f>-38*E101</f>
        <v>-7600</v>
      </c>
      <c r="T101" s="23" t="e">
        <f>X101*F101*0.0045</f>
        <v>#DIV/0!</v>
      </c>
      <c r="U101" s="21">
        <f>E101*5</f>
        <v>1000</v>
      </c>
      <c r="V101" s="14"/>
      <c r="W101" s="21">
        <v>0.3</v>
      </c>
      <c r="X101" s="21" t="e">
        <f>((O101*F101)+Q101+R101+S101+U101)/G101</f>
        <v>#DIV/0!</v>
      </c>
      <c r="Y101" s="24" t="e">
        <f>((O101*F101)+Q101+R101+S101+T101+U101)/G101+W101</f>
        <v>#DIV/0!</v>
      </c>
      <c r="Z101" s="24" t="e">
        <f>Y101*G101</f>
        <v>#DIV/0!</v>
      </c>
      <c r="AA101" s="25"/>
      <c r="AB101" s="3"/>
      <c r="AC101" s="3"/>
    </row>
    <row r="102" spans="1:29" x14ac:dyDescent="0.25">
      <c r="A102" s="130"/>
      <c r="B102" s="27" t="s">
        <v>26</v>
      </c>
      <c r="C102" t="s">
        <v>27</v>
      </c>
      <c r="D102" s="28"/>
      <c r="E102">
        <v>130</v>
      </c>
      <c r="F102" s="29"/>
      <c r="G102" s="30"/>
      <c r="H102" s="30">
        <f t="shared" si="60"/>
        <v>0</v>
      </c>
      <c r="I102" s="28"/>
      <c r="K102" s="31"/>
      <c r="L102" s="31">
        <v>43555</v>
      </c>
      <c r="M102" s="28" t="s">
        <v>28</v>
      </c>
      <c r="O102" s="2"/>
      <c r="P102" s="32"/>
      <c r="Q102" s="2">
        <v>16900</v>
      </c>
      <c r="R102" s="2">
        <f t="shared" si="61"/>
        <v>9808.5</v>
      </c>
      <c r="S102" s="33">
        <f>-38*E102</f>
        <v>-4940</v>
      </c>
      <c r="T102" s="33" t="e">
        <f>X102*F102*0.0045</f>
        <v>#DIV/0!</v>
      </c>
      <c r="U102" s="2">
        <f>E102*5</f>
        <v>650</v>
      </c>
      <c r="W102" s="2">
        <v>0.3</v>
      </c>
      <c r="X102" s="2" t="e">
        <f>((O102*F102)+Q102+R102+S102+U102)/G102</f>
        <v>#DIV/0!</v>
      </c>
      <c r="Y102" s="2" t="e">
        <f>((O102*F102)+Q102+R102+S102+T102+U102)/G102+W102</f>
        <v>#DIV/0!</v>
      </c>
      <c r="Z102" s="3" t="e">
        <f>Y102*G102</f>
        <v>#DIV/0!</v>
      </c>
      <c r="AA102" s="34"/>
      <c r="AB102" s="3"/>
      <c r="AC102" s="35"/>
    </row>
    <row r="103" spans="1:29" ht="15.75" thickBot="1" x14ac:dyDescent="0.3">
      <c r="A103" s="131"/>
      <c r="B103" s="41"/>
      <c r="C103" s="4"/>
      <c r="D103" s="4"/>
      <c r="E103" s="4"/>
      <c r="F103" s="42"/>
      <c r="G103" s="42"/>
      <c r="H103" s="42"/>
      <c r="I103" s="7"/>
      <c r="J103" s="4"/>
      <c r="K103" s="8"/>
      <c r="L103" s="8"/>
      <c r="M103" s="4"/>
      <c r="N103" s="4"/>
      <c r="O103" s="9"/>
      <c r="P103" s="10"/>
      <c r="Q103" s="9"/>
      <c r="R103" s="9"/>
      <c r="S103" s="9"/>
      <c r="T103" s="9"/>
      <c r="U103" s="9"/>
      <c r="V103" s="9"/>
      <c r="W103" s="9"/>
      <c r="X103" s="9"/>
      <c r="Y103" s="9"/>
      <c r="Z103" s="13"/>
      <c r="AA103" s="43"/>
      <c r="AB103" s="3"/>
      <c r="AC103" s="3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0B1E-FC50-4DE0-B547-D95E0D6E909F}">
  <dimension ref="A2:AF87"/>
  <sheetViews>
    <sheetView topLeftCell="A4" zoomScale="80" zoomScaleNormal="80" workbookViewId="0">
      <selection activeCell="Y13" sqref="Y13"/>
    </sheetView>
  </sheetViews>
  <sheetFormatPr baseColWidth="10" defaultRowHeight="15" x14ac:dyDescent="0.25"/>
  <cols>
    <col min="1" max="1" width="3.7109375" customWidth="1"/>
    <col min="2" max="3" width="16.140625" customWidth="1"/>
    <col min="4" max="4" width="14.28515625" bestFit="1" customWidth="1"/>
    <col min="5" max="5" width="11.42578125" bestFit="1" customWidth="1"/>
    <col min="8" max="8" width="11.140625" bestFit="1" customWidth="1"/>
    <col min="13" max="13" width="4.140625" customWidth="1"/>
    <col min="14" max="14" width="7.28515625" customWidth="1"/>
    <col min="15" max="15" width="12.28515625" customWidth="1"/>
    <col min="18" max="18" width="12.85546875" customWidth="1"/>
    <col min="22" max="22" width="6.5703125" customWidth="1"/>
    <col min="24" max="24" width="0" hidden="1" customWidth="1"/>
    <col min="26" max="26" width="16.140625" customWidth="1"/>
  </cols>
  <sheetData>
    <row r="2" spans="1:32" x14ac:dyDescent="0.25">
      <c r="A2" s="1" t="s">
        <v>2646</v>
      </c>
      <c r="S2" s="2"/>
      <c r="W2" s="2"/>
      <c r="Z2" s="3"/>
    </row>
    <row r="3" spans="1:32" ht="30.75" thickBot="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5" t="s">
        <v>6</v>
      </c>
      <c r="H3" s="6" t="s">
        <v>7</v>
      </c>
      <c r="I3" s="7" t="s">
        <v>8</v>
      </c>
      <c r="J3" s="4" t="s">
        <v>9</v>
      </c>
      <c r="K3" s="8" t="s">
        <v>10</v>
      </c>
      <c r="L3" s="8" t="s">
        <v>11</v>
      </c>
      <c r="M3" s="4" t="s">
        <v>12</v>
      </c>
      <c r="N3" s="4" t="s">
        <v>13</v>
      </c>
      <c r="O3" s="9" t="s">
        <v>14</v>
      </c>
      <c r="P3" s="10" t="s">
        <v>15</v>
      </c>
      <c r="Q3" s="9" t="s">
        <v>16</v>
      </c>
      <c r="R3" s="11" t="s">
        <v>17</v>
      </c>
      <c r="S3" s="11" t="s">
        <v>18</v>
      </c>
      <c r="T3" s="12" t="s">
        <v>19</v>
      </c>
      <c r="U3" s="9" t="s">
        <v>20</v>
      </c>
      <c r="V3" s="9" t="s">
        <v>21</v>
      </c>
      <c r="W3" s="12" t="s">
        <v>22</v>
      </c>
      <c r="X3" s="9" t="s">
        <v>23</v>
      </c>
      <c r="Y3" s="9" t="s">
        <v>24</v>
      </c>
      <c r="Z3" s="13" t="s">
        <v>25</v>
      </c>
      <c r="AA3" s="9"/>
    </row>
    <row r="4" spans="1:32" x14ac:dyDescent="0.25">
      <c r="A4" s="161"/>
      <c r="B4" s="27" t="s">
        <v>26</v>
      </c>
      <c r="C4" t="s">
        <v>27</v>
      </c>
      <c r="D4" s="28"/>
      <c r="E4">
        <v>250</v>
      </c>
      <c r="F4" s="29"/>
      <c r="G4" s="30"/>
      <c r="H4" s="30">
        <f t="shared" ref="H4:H5" si="0">G4-F4</f>
        <v>0</v>
      </c>
      <c r="I4" s="28"/>
      <c r="K4" s="31"/>
      <c r="L4" s="31">
        <v>43556</v>
      </c>
      <c r="M4" s="28" t="s">
        <v>29</v>
      </c>
      <c r="O4" s="2"/>
      <c r="P4" s="32"/>
      <c r="Q4" s="2">
        <v>21300</v>
      </c>
      <c r="R4" s="2">
        <f t="shared" ref="R4" si="1">75.45*E4</f>
        <v>18862.5</v>
      </c>
      <c r="S4" s="33">
        <f>-38*E4</f>
        <v>-9500</v>
      </c>
      <c r="T4" s="33" t="e">
        <f>X4*F4*0.0045</f>
        <v>#DIV/0!</v>
      </c>
      <c r="U4" s="2">
        <f>E4*5</f>
        <v>1250</v>
      </c>
      <c r="W4" s="2">
        <v>0.3</v>
      </c>
      <c r="X4" s="2" t="e">
        <f>((O4*F4)+Q4+R4+S4+U4)/G4</f>
        <v>#DIV/0!</v>
      </c>
      <c r="Y4" s="2" t="e">
        <f>((O4*F4)+Q4+R4+S4+T4+U4)/G4+W4</f>
        <v>#DIV/0!</v>
      </c>
      <c r="Z4" s="3" t="e">
        <f>Y4*G4</f>
        <v>#DIV/0!</v>
      </c>
      <c r="AA4" s="34"/>
      <c r="AB4" s="3"/>
      <c r="AC4" s="35"/>
    </row>
    <row r="5" spans="1:32" x14ac:dyDescent="0.25">
      <c r="A5" s="161"/>
      <c r="B5" s="27" t="s">
        <v>30</v>
      </c>
      <c r="C5" s="28" t="s">
        <v>1790</v>
      </c>
      <c r="D5" s="28" t="s">
        <v>1790</v>
      </c>
      <c r="E5" t="s">
        <v>32</v>
      </c>
      <c r="F5" s="29">
        <f>42696*0.4536</f>
        <v>19366.905600000002</v>
      </c>
      <c r="G5" s="36">
        <v>19300</v>
      </c>
      <c r="H5" s="30">
        <f t="shared" si="0"/>
        <v>-66.905600000001868</v>
      </c>
      <c r="I5" s="28" t="s">
        <v>2890</v>
      </c>
      <c r="J5" s="37"/>
      <c r="K5" s="31">
        <v>43556</v>
      </c>
      <c r="L5" s="31">
        <v>43557</v>
      </c>
      <c r="M5" s="28" t="s">
        <v>48</v>
      </c>
      <c r="N5" s="28" t="s">
        <v>2883</v>
      </c>
      <c r="O5" s="2"/>
      <c r="P5" s="32">
        <f>0.7305+0.095</f>
        <v>0.82550000000000001</v>
      </c>
      <c r="Q5" s="2">
        <v>26000</v>
      </c>
      <c r="R5" s="38">
        <f>7000+(F5/0.4536*S5*P5*0.2)</f>
        <v>145162.54816000003</v>
      </c>
      <c r="S5" s="39">
        <v>19.600000000000001</v>
      </c>
      <c r="T5" s="33">
        <f t="shared" ref="T5" si="2">X5*F5*0.005</f>
        <v>4324.4860170205347</v>
      </c>
      <c r="V5" s="2">
        <v>0.12</v>
      </c>
      <c r="W5" s="2">
        <v>0.3</v>
      </c>
      <c r="X5" s="2">
        <f>IF(O5&gt;0,O5,((P5*2.2046*S5)+(Q5+R5)/G5)+V5)</f>
        <v>44.658512891398971</v>
      </c>
      <c r="Y5" s="2">
        <f>IF(O5&gt;0,O5,((P5*2.2046*S5)+(Q5+R5+T5)/G5)+V5+W5)</f>
        <v>45.182579524405213</v>
      </c>
      <c r="Z5" s="3">
        <f>Y5*F5</f>
        <v>875046.75241364876</v>
      </c>
      <c r="AA5" s="34"/>
      <c r="AB5" s="3"/>
      <c r="AC5" s="35"/>
    </row>
    <row r="6" spans="1:32" x14ac:dyDescent="0.25">
      <c r="A6" s="161"/>
      <c r="B6" s="27" t="s">
        <v>30</v>
      </c>
      <c r="C6" s="28" t="s">
        <v>35</v>
      </c>
      <c r="D6" s="28" t="s">
        <v>36</v>
      </c>
      <c r="E6" t="s">
        <v>37</v>
      </c>
      <c r="F6" s="29">
        <v>18500</v>
      </c>
      <c r="G6" s="36">
        <v>18500</v>
      </c>
      <c r="H6" s="30">
        <f>G6-F6</f>
        <v>0</v>
      </c>
      <c r="I6" t="s">
        <v>2891</v>
      </c>
      <c r="J6" s="37"/>
      <c r="K6" s="31">
        <v>43556</v>
      </c>
      <c r="L6" s="31">
        <v>43557</v>
      </c>
      <c r="M6" s="28" t="s">
        <v>48</v>
      </c>
      <c r="N6" s="28" t="s">
        <v>2884</v>
      </c>
      <c r="O6" s="2"/>
      <c r="P6" s="32">
        <f>0.7305+0.1</f>
        <v>0.83050000000000002</v>
      </c>
      <c r="Q6" s="2">
        <v>26000</v>
      </c>
      <c r="R6" s="38">
        <f>7000+(F6/0.4536*S6*P6*0.2)</f>
        <v>139777.4691358025</v>
      </c>
      <c r="S6" s="39">
        <v>19.600000000000001</v>
      </c>
      <c r="T6" s="33">
        <f>X6*F6*0.005</f>
        <v>4159.4458495790132</v>
      </c>
      <c r="V6" s="2">
        <v>0.12</v>
      </c>
      <c r="W6" s="2">
        <v>0.3</v>
      </c>
      <c r="X6" s="2">
        <f>IF(O6&gt;0,O6,((P6*2.2046*S6)+(Q6+R6)/G6)+V6)</f>
        <v>44.96698215761095</v>
      </c>
      <c r="Y6" s="2">
        <f>IF(O6&gt;0,O6,((P6*2.2046*S6)+(Q6+R6+T6)/G6)+V6+W6)</f>
        <v>45.491817068398994</v>
      </c>
      <c r="Z6" s="3">
        <f>Y6*F6</f>
        <v>841598.61576538137</v>
      </c>
      <c r="AA6" s="34"/>
      <c r="AB6" s="3"/>
      <c r="AC6" s="35"/>
    </row>
    <row r="7" spans="1:32" x14ac:dyDescent="0.25">
      <c r="A7" s="161"/>
      <c r="B7" s="27" t="s">
        <v>30</v>
      </c>
      <c r="C7" s="28" t="s">
        <v>31</v>
      </c>
      <c r="D7" s="28" t="s">
        <v>31</v>
      </c>
      <c r="E7" t="s">
        <v>32</v>
      </c>
      <c r="F7" s="29">
        <v>18500</v>
      </c>
      <c r="G7" s="36">
        <v>18500</v>
      </c>
      <c r="H7" s="30">
        <f>G7-F7</f>
        <v>0</v>
      </c>
      <c r="I7">
        <v>57065</v>
      </c>
      <c r="J7" s="37"/>
      <c r="K7" s="31">
        <v>43556</v>
      </c>
      <c r="L7" s="31">
        <v>43557</v>
      </c>
      <c r="M7" s="28" t="s">
        <v>48</v>
      </c>
      <c r="N7" s="28" t="s">
        <v>2885</v>
      </c>
      <c r="O7" s="2"/>
      <c r="P7" s="32">
        <f>0.7383+0.1</f>
        <v>0.83829999999999993</v>
      </c>
      <c r="Q7" s="2">
        <v>26000</v>
      </c>
      <c r="R7" s="38">
        <f>7000+(F7/0.4536*S7*P7*0.2)</f>
        <v>137379.86016313932</v>
      </c>
      <c r="S7" s="68">
        <v>19.067</v>
      </c>
      <c r="T7" s="33">
        <f>X7*F7*0.005</f>
        <v>4087.5171871912466</v>
      </c>
      <c r="V7" s="2">
        <v>0.12</v>
      </c>
      <c r="W7" s="2">
        <v>0.3</v>
      </c>
      <c r="X7" s="2">
        <f>IF(O7&gt;0,O7,((P7*2.2046*S7)+(Q7+R7)/G7)+V7)</f>
        <v>44.189374996662124</v>
      </c>
      <c r="Y7" s="2">
        <f>IF(O7&gt;0,O7,((P7*2.2046*S7)+(Q7+R7+T7)/G7)+V7+W7)</f>
        <v>44.710321871645434</v>
      </c>
      <c r="Z7" s="3">
        <f>Y7*F7</f>
        <v>827140.95462544053</v>
      </c>
      <c r="AA7" s="34">
        <v>43550</v>
      </c>
      <c r="AB7" s="3"/>
      <c r="AC7" s="35"/>
    </row>
    <row r="8" spans="1:32" x14ac:dyDescent="0.25">
      <c r="A8" s="161"/>
      <c r="B8" s="27" t="s">
        <v>26</v>
      </c>
      <c r="C8" t="s">
        <v>27</v>
      </c>
      <c r="D8" s="28"/>
      <c r="E8">
        <v>250</v>
      </c>
      <c r="F8" s="29"/>
      <c r="G8" s="30"/>
      <c r="H8" s="30">
        <f>G8-F8</f>
        <v>0</v>
      </c>
      <c r="K8" s="31"/>
      <c r="L8" s="31">
        <v>43557</v>
      </c>
      <c r="M8" s="28" t="s">
        <v>48</v>
      </c>
      <c r="O8" s="2"/>
      <c r="P8" s="32"/>
      <c r="Q8" s="2">
        <v>21300</v>
      </c>
      <c r="R8" s="2">
        <f>75.45*E8</f>
        <v>18862.5</v>
      </c>
      <c r="S8" s="33">
        <f>-38*E8</f>
        <v>-9500</v>
      </c>
      <c r="T8" s="33" t="e">
        <f>X8*F8*0.005</f>
        <v>#DIV/0!</v>
      </c>
      <c r="U8" s="2">
        <f>E8*5</f>
        <v>1250</v>
      </c>
      <c r="W8" s="2">
        <v>0.3</v>
      </c>
      <c r="X8" s="2" t="e">
        <f>((O8*F8)+Q8+R8+S8+U8)/G8</f>
        <v>#DIV/0!</v>
      </c>
      <c r="Y8" s="2" t="e">
        <f>((O8*F8)+Q8+R8+S8+T8+U8)/G8+W8</f>
        <v>#DIV/0!</v>
      </c>
      <c r="Z8" s="3" t="e">
        <f>Y8*G8</f>
        <v>#DIV/0!</v>
      </c>
      <c r="AA8" s="34"/>
      <c r="AB8" s="3"/>
      <c r="AC8" s="35"/>
      <c r="AF8" s="30"/>
    </row>
    <row r="9" spans="1:32" x14ac:dyDescent="0.25">
      <c r="A9" s="161"/>
      <c r="B9" s="27" t="s">
        <v>26</v>
      </c>
      <c r="C9" t="s">
        <v>27</v>
      </c>
      <c r="D9" s="28"/>
      <c r="E9">
        <v>220</v>
      </c>
      <c r="F9" s="29"/>
      <c r="G9" s="30"/>
      <c r="H9" s="30">
        <f t="shared" ref="H9" si="3">G9-F9</f>
        <v>0</v>
      </c>
      <c r="K9" s="31"/>
      <c r="L9" s="31">
        <v>43558</v>
      </c>
      <c r="M9" s="28" t="s">
        <v>33</v>
      </c>
      <c r="O9" s="2"/>
      <c r="P9" s="32"/>
      <c r="Q9" s="2">
        <v>21300</v>
      </c>
      <c r="R9" s="2">
        <f>75.45*E9</f>
        <v>16599</v>
      </c>
      <c r="S9" s="33">
        <f>-38*E9</f>
        <v>-8360</v>
      </c>
      <c r="T9" s="33" t="e">
        <f t="shared" ref="T9" si="4">X9*F9*0.005</f>
        <v>#DIV/0!</v>
      </c>
      <c r="U9" s="2">
        <f>E9*5</f>
        <v>1100</v>
      </c>
      <c r="W9" s="2">
        <v>0.3</v>
      </c>
      <c r="X9" s="2" t="e">
        <f t="shared" ref="X9" si="5">((O9*F9)+Q9+R9+S9+U9)/G9</f>
        <v>#DIV/0!</v>
      </c>
      <c r="Y9" s="2" t="e">
        <f>((O9*F9)+Q9+R9+S9+T9+U9)/G9+W9</f>
        <v>#DIV/0!</v>
      </c>
      <c r="Z9" s="3" t="e">
        <f>Y9*G9</f>
        <v>#DIV/0!</v>
      </c>
      <c r="AA9" s="34"/>
      <c r="AB9" s="3"/>
      <c r="AC9" s="35"/>
    </row>
    <row r="10" spans="1:32" x14ac:dyDescent="0.25">
      <c r="A10" s="161"/>
      <c r="B10" s="27" t="s">
        <v>30</v>
      </c>
      <c r="C10" s="28" t="s">
        <v>40</v>
      </c>
      <c r="D10" s="28" t="s">
        <v>40</v>
      </c>
      <c r="E10" t="s">
        <v>37</v>
      </c>
      <c r="F10" s="29">
        <v>19000</v>
      </c>
      <c r="G10" s="36">
        <v>19000</v>
      </c>
      <c r="H10" s="30">
        <f>G10-F10</f>
        <v>0</v>
      </c>
      <c r="I10" t="s">
        <v>2892</v>
      </c>
      <c r="J10" s="37"/>
      <c r="K10" s="31">
        <v>43558</v>
      </c>
      <c r="L10" s="31">
        <v>43559</v>
      </c>
      <c r="M10" s="28" t="s">
        <v>41</v>
      </c>
      <c r="N10" s="28" t="s">
        <v>2886</v>
      </c>
      <c r="O10" s="2"/>
      <c r="P10" s="32">
        <f>0.7083+0.105</f>
        <v>0.81330000000000002</v>
      </c>
      <c r="Q10" s="2">
        <v>26000</v>
      </c>
      <c r="R10" s="38">
        <f>7000+(F10/0.4536*S10*P10*0.2)</f>
        <v>137067.03835978836</v>
      </c>
      <c r="S10" s="68">
        <v>19.09</v>
      </c>
      <c r="T10" s="33">
        <f>X10*F10*0.005</f>
        <v>4078.4324817879419</v>
      </c>
      <c r="V10" s="2">
        <v>0.12</v>
      </c>
      <c r="W10" s="2">
        <v>0.3</v>
      </c>
      <c r="X10" s="2">
        <f>IF(O10&gt;0,O10,((P10*2.2046*S10)+(Q10+R10)/G10)+V10)</f>
        <v>42.930868229346757</v>
      </c>
      <c r="Y10" s="2">
        <f>IF(O10&gt;0,O10,((P10*2.2046*S10)+(Q10+R10+T10)/G10)+V10+W10)</f>
        <v>43.445522570493488</v>
      </c>
      <c r="Z10" s="3">
        <f>Y10*F10</f>
        <v>825464.92883937631</v>
      </c>
      <c r="AA10" s="34">
        <v>43549</v>
      </c>
      <c r="AB10" s="3"/>
      <c r="AC10" s="35"/>
    </row>
    <row r="11" spans="1:32" x14ac:dyDescent="0.25">
      <c r="A11" s="161"/>
      <c r="B11" s="27" t="s">
        <v>26</v>
      </c>
      <c r="C11" t="s">
        <v>27</v>
      </c>
      <c r="D11" s="28"/>
      <c r="E11">
        <v>200</v>
      </c>
      <c r="F11" s="29"/>
      <c r="G11" s="30"/>
      <c r="H11" s="30">
        <f t="shared" ref="H11:H12" si="6">G11-F11</f>
        <v>0</v>
      </c>
      <c r="K11" s="31"/>
      <c r="L11" s="31">
        <v>43559</v>
      </c>
      <c r="M11" s="28" t="s">
        <v>41</v>
      </c>
      <c r="O11" s="2"/>
      <c r="P11" s="32"/>
      <c r="Q11" s="2">
        <v>21300</v>
      </c>
      <c r="R11" s="2">
        <f t="shared" ref="R11:R12" si="7">75.45*E11</f>
        <v>15090</v>
      </c>
      <c r="S11" s="33">
        <f>-38*E11</f>
        <v>-7600</v>
      </c>
      <c r="T11" s="33" t="e">
        <f>X11*F11*0.0045</f>
        <v>#DIV/0!</v>
      </c>
      <c r="U11" s="2">
        <f>E11*5</f>
        <v>1000</v>
      </c>
      <c r="W11" s="2">
        <v>0.3</v>
      </c>
      <c r="X11" s="2" t="e">
        <f t="shared" ref="X11" si="8">((O11*F11)+Q11+R11+S11+U11)/G11</f>
        <v>#DIV/0!</v>
      </c>
      <c r="Y11" s="2" t="e">
        <f>((O11*F11)+Q11+R11+S11+T11+U11)/G11+W11</f>
        <v>#DIV/0!</v>
      </c>
      <c r="Z11" s="3" t="e">
        <f>Y11*G11</f>
        <v>#DIV/0!</v>
      </c>
      <c r="AA11" s="34"/>
      <c r="AB11" s="3"/>
      <c r="AC11" s="35"/>
    </row>
    <row r="12" spans="1:32" x14ac:dyDescent="0.25">
      <c r="A12" s="161"/>
      <c r="B12" s="27" t="s">
        <v>26</v>
      </c>
      <c r="C12" t="s">
        <v>27</v>
      </c>
      <c r="D12" s="28"/>
      <c r="E12">
        <v>130</v>
      </c>
      <c r="F12" s="29"/>
      <c r="G12" s="30"/>
      <c r="H12" s="30">
        <f t="shared" si="6"/>
        <v>0</v>
      </c>
      <c r="K12" s="31"/>
      <c r="L12" s="31">
        <v>43559</v>
      </c>
      <c r="M12" s="28" t="s">
        <v>41</v>
      </c>
      <c r="O12" s="2"/>
      <c r="P12" s="32"/>
      <c r="Q12" s="2">
        <v>16900</v>
      </c>
      <c r="R12" s="2">
        <f t="shared" si="7"/>
        <v>9808.5</v>
      </c>
      <c r="S12" s="33">
        <f>-38*E12</f>
        <v>-4940</v>
      </c>
      <c r="T12" s="33" t="e">
        <f>X12*F12*0.0045</f>
        <v>#DIV/0!</v>
      </c>
      <c r="U12" s="2">
        <f>E12*5</f>
        <v>650</v>
      </c>
      <c r="W12" s="2">
        <v>0.3</v>
      </c>
      <c r="X12" s="2" t="e">
        <f>((O12*F12)+Q12+R12+S12+U12)/G12</f>
        <v>#DIV/0!</v>
      </c>
      <c r="Y12" s="2" t="e">
        <f>((O12*F12)+Q12+R12+S12+T12+U12)/G12+W12</f>
        <v>#DIV/0!</v>
      </c>
      <c r="Z12" s="3" t="e">
        <f>Y12*G12</f>
        <v>#DIV/0!</v>
      </c>
      <c r="AA12" s="34"/>
      <c r="AB12" s="3"/>
      <c r="AC12" s="35"/>
    </row>
    <row r="13" spans="1:32" x14ac:dyDescent="0.25">
      <c r="A13" s="161"/>
      <c r="B13" s="27" t="s">
        <v>30</v>
      </c>
      <c r="C13" s="28" t="s">
        <v>1790</v>
      </c>
      <c r="D13" s="28" t="s">
        <v>1790</v>
      </c>
      <c r="E13" t="s">
        <v>32</v>
      </c>
      <c r="F13" s="29">
        <v>18500</v>
      </c>
      <c r="G13" s="36">
        <v>18500</v>
      </c>
      <c r="H13" s="30">
        <f>G13-F13</f>
        <v>0</v>
      </c>
      <c r="I13" s="28" t="s">
        <v>2893</v>
      </c>
      <c r="J13" s="37"/>
      <c r="K13" s="31">
        <v>43559</v>
      </c>
      <c r="L13" s="31">
        <v>43560</v>
      </c>
      <c r="M13" s="28" t="s">
        <v>45</v>
      </c>
      <c r="N13" s="28" t="s">
        <v>2887</v>
      </c>
      <c r="O13" s="2"/>
      <c r="P13" s="32">
        <f>0.7083+0.095</f>
        <v>0.80330000000000001</v>
      </c>
      <c r="Q13" s="2">
        <v>26000</v>
      </c>
      <c r="R13" s="38">
        <f>7000+(F13/0.4536*S13*P13*0.2)</f>
        <v>135428.82716049385</v>
      </c>
      <c r="S13" s="39">
        <v>19.600000000000001</v>
      </c>
      <c r="T13" s="33">
        <f>X13*F13*0.005</f>
        <v>4028.9858771424688</v>
      </c>
      <c r="V13" s="2">
        <v>0.12</v>
      </c>
      <c r="W13" s="2">
        <v>0.3</v>
      </c>
      <c r="X13" s="2">
        <f>IF(O13&gt;0,O13,((P13*2.2046*S13)+(Q13+R13)/G13)+V13)</f>
        <v>43.55660407721588</v>
      </c>
      <c r="Y13" s="2">
        <f>IF(O13&gt;0,O13,((P13*2.2046*S13)+(Q13+R13+T13)/G13)+V13+W13)</f>
        <v>44.074387097601956</v>
      </c>
      <c r="Z13" s="3">
        <f>Y13*F13</f>
        <v>815376.16130563617</v>
      </c>
      <c r="AA13" s="34"/>
      <c r="AB13" s="3"/>
      <c r="AC13" s="35"/>
    </row>
    <row r="14" spans="1:32" x14ac:dyDescent="0.25">
      <c r="A14" s="161"/>
      <c r="B14" s="27" t="s">
        <v>30</v>
      </c>
      <c r="C14" s="28" t="s">
        <v>31</v>
      </c>
      <c r="D14" s="28" t="s">
        <v>31</v>
      </c>
      <c r="E14" t="s">
        <v>32</v>
      </c>
      <c r="F14" s="29">
        <v>18500</v>
      </c>
      <c r="G14" s="36">
        <v>18500</v>
      </c>
      <c r="H14" s="30">
        <f>G14-F14</f>
        <v>0</v>
      </c>
      <c r="I14" s="28">
        <v>57066</v>
      </c>
      <c r="J14" s="37"/>
      <c r="K14" s="31">
        <v>43559</v>
      </c>
      <c r="L14" s="31">
        <v>43560</v>
      </c>
      <c r="M14" s="28" t="s">
        <v>45</v>
      </c>
      <c r="N14" s="28" t="s">
        <v>2888</v>
      </c>
      <c r="O14" s="2"/>
      <c r="P14" s="32"/>
      <c r="Q14" s="2">
        <v>26000</v>
      </c>
      <c r="R14" s="38">
        <f>7000+(F14/0.4536*S14*P14*0.2)</f>
        <v>7000</v>
      </c>
      <c r="S14" s="68">
        <v>19.41</v>
      </c>
      <c r="T14" s="33">
        <f>X14*F14*0.005</f>
        <v>176.1</v>
      </c>
      <c r="V14" s="2">
        <v>0.12</v>
      </c>
      <c r="W14" s="2">
        <v>0.3</v>
      </c>
      <c r="X14" s="2">
        <f>IF(O14&gt;0,O14,((P14*2.2046*S14)+(Q14+R14)/G14)+V14)</f>
        <v>1.9037837837837839</v>
      </c>
      <c r="Y14" s="2">
        <f>IF(O14&gt;0,O14,((P14*2.2046*S14)+(Q14+R14+T14)/G14)+V14+W14)</f>
        <v>2.2133027027027024</v>
      </c>
      <c r="Z14" s="3">
        <f>Y14*F14</f>
        <v>40946.099999999991</v>
      </c>
      <c r="AA14" s="34">
        <v>43552</v>
      </c>
      <c r="AB14" s="3"/>
      <c r="AC14" s="35"/>
    </row>
    <row r="15" spans="1:32" x14ac:dyDescent="0.25">
      <c r="A15" s="161"/>
      <c r="B15" s="27" t="s">
        <v>26</v>
      </c>
      <c r="C15" t="s">
        <v>43</v>
      </c>
      <c r="D15" s="28" t="s">
        <v>44</v>
      </c>
      <c r="E15">
        <v>200</v>
      </c>
      <c r="F15" s="29"/>
      <c r="G15" s="30"/>
      <c r="H15" s="30">
        <f t="shared" ref="H15:H17" si="9">G15-F15</f>
        <v>0</v>
      </c>
      <c r="K15" s="31"/>
      <c r="L15" s="31">
        <v>43560</v>
      </c>
      <c r="M15" s="28" t="s">
        <v>45</v>
      </c>
      <c r="O15" s="2"/>
      <c r="P15" s="32"/>
      <c r="Q15" s="2">
        <v>21300</v>
      </c>
      <c r="R15" s="2">
        <f t="shared" ref="R15:R16" si="10">75.45*E15</f>
        <v>15090</v>
      </c>
      <c r="S15" s="33">
        <f>-38*E15</f>
        <v>-7600</v>
      </c>
      <c r="T15" s="33" t="e">
        <f>X15*F15*0.0045</f>
        <v>#DIV/0!</v>
      </c>
      <c r="U15" s="2">
        <f>E15*5</f>
        <v>1000</v>
      </c>
      <c r="W15" s="2">
        <v>0.3</v>
      </c>
      <c r="X15" s="2" t="e">
        <f>((O15*F15)+Q15+R15+S15+U15)/G15</f>
        <v>#DIV/0!</v>
      </c>
      <c r="Y15" s="2" t="e">
        <f>((O15*F15)+Q15+R15+S15+T15+U15)/G15+W15</f>
        <v>#DIV/0!</v>
      </c>
      <c r="Z15" s="3" t="e">
        <f>Y15*G15</f>
        <v>#DIV/0!</v>
      </c>
      <c r="AA15" s="34"/>
      <c r="AB15" s="3"/>
      <c r="AC15" s="35"/>
    </row>
    <row r="16" spans="1:32" x14ac:dyDescent="0.25">
      <c r="A16" s="161"/>
      <c r="B16" s="27" t="s">
        <v>26</v>
      </c>
      <c r="C16" t="s">
        <v>27</v>
      </c>
      <c r="D16" s="28"/>
      <c r="E16">
        <v>130</v>
      </c>
      <c r="F16" s="29"/>
      <c r="G16" s="30"/>
      <c r="H16" s="30">
        <f t="shared" si="9"/>
        <v>0</v>
      </c>
      <c r="I16" s="28"/>
      <c r="K16" s="31"/>
      <c r="L16" s="31">
        <v>43560</v>
      </c>
      <c r="M16" s="28" t="s">
        <v>45</v>
      </c>
      <c r="O16" s="2"/>
      <c r="P16" s="32"/>
      <c r="Q16" s="2">
        <v>16900</v>
      </c>
      <c r="R16" s="2">
        <f t="shared" si="10"/>
        <v>9808.5</v>
      </c>
      <c r="S16" s="33">
        <f>-38*E16</f>
        <v>-4940</v>
      </c>
      <c r="T16" s="33" t="e">
        <f>X16*F16*0.0045</f>
        <v>#DIV/0!</v>
      </c>
      <c r="U16" s="2">
        <f>E16*5</f>
        <v>650</v>
      </c>
      <c r="W16" s="2">
        <v>0.3</v>
      </c>
      <c r="X16" s="2" t="e">
        <f>((O16*F16)+Q16+R16+S16+U16)/G16</f>
        <v>#DIV/0!</v>
      </c>
      <c r="Y16" s="2" t="e">
        <f>((O16*F16)+Q16+R16+S16+T16+U16)/G16+W16</f>
        <v>#DIV/0!</v>
      </c>
      <c r="Z16" s="3" t="e">
        <f>Y16*G16</f>
        <v>#DIV/0!</v>
      </c>
      <c r="AA16" s="34"/>
      <c r="AB16" s="3"/>
      <c r="AC16" s="35"/>
    </row>
    <row r="17" spans="1:32" x14ac:dyDescent="0.25">
      <c r="A17" s="161"/>
      <c r="B17" s="27" t="s">
        <v>30</v>
      </c>
      <c r="C17" t="s">
        <v>40</v>
      </c>
      <c r="D17" s="28" t="s">
        <v>40</v>
      </c>
      <c r="E17" t="s">
        <v>37</v>
      </c>
      <c r="F17" s="29">
        <v>19000</v>
      </c>
      <c r="G17" s="36">
        <v>19000</v>
      </c>
      <c r="H17" s="30">
        <f t="shared" si="9"/>
        <v>0</v>
      </c>
      <c r="I17" s="28" t="s">
        <v>2894</v>
      </c>
      <c r="J17" s="37"/>
      <c r="K17" s="31">
        <v>43560</v>
      </c>
      <c r="L17" s="31">
        <v>43561</v>
      </c>
      <c r="M17" s="28" t="s">
        <v>46</v>
      </c>
      <c r="N17" s="28" t="s">
        <v>2889</v>
      </c>
      <c r="O17" s="2"/>
      <c r="P17" s="32"/>
      <c r="Q17" s="2">
        <v>26000</v>
      </c>
      <c r="R17" s="38">
        <f>7000+(F17/0.4536*S17*P17*0.2)</f>
        <v>7000</v>
      </c>
      <c r="S17" s="68">
        <v>19.440000000000001</v>
      </c>
      <c r="T17" s="33">
        <f>X17*F17*0.005</f>
        <v>176.4</v>
      </c>
      <c r="V17" s="2">
        <v>0.12</v>
      </c>
      <c r="W17" s="2">
        <v>0.3</v>
      </c>
      <c r="X17" s="2">
        <f>IF(O17&gt;0,O17,((P17*2.2046*S17)+(Q17+R17)/G17)+V17)</f>
        <v>1.8568421052631581</v>
      </c>
      <c r="Y17" s="2">
        <f>IF(O17&gt;0,O17,((P17*2.2046*S17)+(Q17+R17+T17)/G17)+V17+W17)</f>
        <v>2.1661263157894735</v>
      </c>
      <c r="Z17" s="3">
        <f>Y17*F17</f>
        <v>41156.399999999994</v>
      </c>
      <c r="AA17" s="34">
        <v>43553</v>
      </c>
      <c r="AB17" s="3"/>
      <c r="AC17" s="35"/>
    </row>
    <row r="18" spans="1:32" ht="15.75" thickBot="1" x14ac:dyDescent="0.3">
      <c r="A18" s="162"/>
      <c r="B18" s="41"/>
      <c r="C18" s="4"/>
      <c r="D18" s="4"/>
      <c r="E18" s="4"/>
      <c r="F18" s="42"/>
      <c r="G18" s="42"/>
      <c r="H18" s="42"/>
      <c r="I18" s="7"/>
      <c r="J18" s="4"/>
      <c r="K18" s="8"/>
      <c r="L18" s="8"/>
      <c r="M18" s="4"/>
      <c r="N18" s="4"/>
      <c r="O18" s="9"/>
      <c r="P18" s="10"/>
      <c r="Q18" s="9"/>
      <c r="R18" s="9"/>
      <c r="S18" s="9"/>
      <c r="T18" s="9"/>
      <c r="U18" s="9"/>
      <c r="V18" s="9"/>
      <c r="W18" s="9"/>
      <c r="X18" s="9"/>
      <c r="Y18" s="9"/>
      <c r="Z18" s="13"/>
      <c r="AA18" s="43"/>
      <c r="AB18" s="3"/>
      <c r="AC18" s="35"/>
    </row>
    <row r="19" spans="1:32" x14ac:dyDescent="0.25">
      <c r="A19" s="129"/>
      <c r="B19" s="14" t="s">
        <v>26</v>
      </c>
      <c r="C19" s="14" t="s">
        <v>27</v>
      </c>
      <c r="D19" s="15"/>
      <c r="E19" s="14">
        <v>200</v>
      </c>
      <c r="F19" s="16"/>
      <c r="G19" s="17"/>
      <c r="H19" s="30">
        <f t="shared" ref="H19:H22" si="11">G19-F19</f>
        <v>0</v>
      </c>
      <c r="I19" s="19"/>
      <c r="J19" s="14"/>
      <c r="K19" s="20"/>
      <c r="L19" s="20">
        <v>43562</v>
      </c>
      <c r="M19" s="15" t="s">
        <v>28</v>
      </c>
      <c r="N19" s="14"/>
      <c r="O19" s="21"/>
      <c r="P19" s="22"/>
      <c r="Q19" s="21">
        <v>21300</v>
      </c>
      <c r="R19" s="2">
        <f t="shared" ref="R19:R21" si="12">75.45*E19</f>
        <v>15090</v>
      </c>
      <c r="S19" s="21">
        <f>-38*E19</f>
        <v>-7600</v>
      </c>
      <c r="T19" s="23" t="e">
        <f>X19*F19*0.0045</f>
        <v>#DIV/0!</v>
      </c>
      <c r="U19" s="21">
        <f>E19*5</f>
        <v>1000</v>
      </c>
      <c r="V19" s="14"/>
      <c r="W19" s="21">
        <v>0.3</v>
      </c>
      <c r="X19" s="21" t="e">
        <f>((O19*F19)+Q19+R19+S19+U19)/G19</f>
        <v>#DIV/0!</v>
      </c>
      <c r="Y19" s="24" t="e">
        <f>((O19*F19)+Q19+R19+S19+T19+U19)/G19+W19</f>
        <v>#DIV/0!</v>
      </c>
      <c r="Z19" s="24" t="e">
        <f>Y19*G19</f>
        <v>#DIV/0!</v>
      </c>
      <c r="AA19" s="25"/>
      <c r="AB19" s="3"/>
      <c r="AC19" s="3"/>
    </row>
    <row r="20" spans="1:32" x14ac:dyDescent="0.25">
      <c r="A20" s="130"/>
      <c r="B20" s="27" t="s">
        <v>26</v>
      </c>
      <c r="C20" t="s">
        <v>27</v>
      </c>
      <c r="D20" s="28"/>
      <c r="E20">
        <v>130</v>
      </c>
      <c r="F20" s="29"/>
      <c r="G20" s="30"/>
      <c r="H20" s="30">
        <f t="shared" si="11"/>
        <v>0</v>
      </c>
      <c r="I20" s="28"/>
      <c r="K20" s="31"/>
      <c r="L20" s="31">
        <v>43562</v>
      </c>
      <c r="M20" s="28" t="s">
        <v>28</v>
      </c>
      <c r="O20" s="2"/>
      <c r="P20" s="32"/>
      <c r="Q20" s="2">
        <v>16900</v>
      </c>
      <c r="R20" s="2">
        <f t="shared" si="12"/>
        <v>9808.5</v>
      </c>
      <c r="S20" s="33">
        <f>-38*E20</f>
        <v>-4940</v>
      </c>
      <c r="T20" s="33" t="e">
        <f>X20*F20*0.0045</f>
        <v>#DIV/0!</v>
      </c>
      <c r="U20" s="2">
        <f>E20*5</f>
        <v>650</v>
      </c>
      <c r="W20" s="2">
        <v>0.3</v>
      </c>
      <c r="X20" s="2" t="e">
        <f>((O20*F20)+Q20+R20+S20+U20)/G20</f>
        <v>#DIV/0!</v>
      </c>
      <c r="Y20" s="2" t="e">
        <f>((O20*F20)+Q20+R20+S20+T20+U20)/G20+W20</f>
        <v>#DIV/0!</v>
      </c>
      <c r="Z20" s="3" t="e">
        <f>Y20*G20</f>
        <v>#DIV/0!</v>
      </c>
      <c r="AA20" s="34"/>
      <c r="AB20" s="3"/>
      <c r="AC20" s="35"/>
    </row>
    <row r="21" spans="1:32" x14ac:dyDescent="0.25">
      <c r="A21" s="130"/>
      <c r="B21" s="27" t="s">
        <v>26</v>
      </c>
      <c r="C21" t="s">
        <v>27</v>
      </c>
      <c r="D21" s="28"/>
      <c r="E21">
        <v>250</v>
      </c>
      <c r="F21" s="29"/>
      <c r="G21" s="30"/>
      <c r="H21" s="30">
        <f t="shared" si="11"/>
        <v>0</v>
      </c>
      <c r="I21" s="28"/>
      <c r="K21" s="31"/>
      <c r="L21" s="31">
        <v>43563</v>
      </c>
      <c r="M21" s="28" t="s">
        <v>29</v>
      </c>
      <c r="O21" s="2"/>
      <c r="P21" s="32"/>
      <c r="Q21" s="2">
        <v>21300</v>
      </c>
      <c r="R21" s="2">
        <f t="shared" si="12"/>
        <v>18862.5</v>
      </c>
      <c r="S21" s="33">
        <f>-38*E21</f>
        <v>-9500</v>
      </c>
      <c r="T21" s="33" t="e">
        <f>X21*F21*0.0045</f>
        <v>#DIV/0!</v>
      </c>
      <c r="U21" s="2">
        <f>E21*5</f>
        <v>1250</v>
      </c>
      <c r="W21" s="2">
        <v>0.3</v>
      </c>
      <c r="X21" s="2" t="e">
        <f>((O21*F21)+Q21+R21+S21+U21)/G21</f>
        <v>#DIV/0!</v>
      </c>
      <c r="Y21" s="2" t="e">
        <f>((O21*F21)+Q21+R21+S21+T21+U21)/G21+W21</f>
        <v>#DIV/0!</v>
      </c>
      <c r="Z21" s="3" t="e">
        <f>Y21*G21</f>
        <v>#DIV/0!</v>
      </c>
      <c r="AA21" s="34"/>
      <c r="AB21" s="3"/>
      <c r="AC21" s="35"/>
    </row>
    <row r="22" spans="1:32" x14ac:dyDescent="0.25">
      <c r="A22" s="130"/>
      <c r="B22" s="27" t="s">
        <v>30</v>
      </c>
      <c r="C22" s="28" t="s">
        <v>1790</v>
      </c>
      <c r="D22" s="28" t="s">
        <v>1790</v>
      </c>
      <c r="E22" t="s">
        <v>32</v>
      </c>
      <c r="F22" s="29">
        <v>18500</v>
      </c>
      <c r="G22" s="36">
        <v>18500</v>
      </c>
      <c r="H22" s="30">
        <f t="shared" si="11"/>
        <v>0</v>
      </c>
      <c r="I22" s="28" t="s">
        <v>2901</v>
      </c>
      <c r="J22" s="37"/>
      <c r="K22" s="31">
        <v>43563</v>
      </c>
      <c r="L22" s="31">
        <v>43564</v>
      </c>
      <c r="M22" s="28" t="s">
        <v>48</v>
      </c>
      <c r="N22" s="28" t="s">
        <v>2895</v>
      </c>
      <c r="O22" s="2"/>
      <c r="P22" s="32"/>
      <c r="Q22" s="2">
        <v>26000</v>
      </c>
      <c r="R22" s="38">
        <f>7000+(F22/0.4536*S22*P22*0.2)</f>
        <v>7000</v>
      </c>
      <c r="S22" s="39">
        <v>20</v>
      </c>
      <c r="T22" s="33">
        <f t="shared" ref="T22" si="13">X22*F22*0.005</f>
        <v>176.1</v>
      </c>
      <c r="V22" s="2">
        <v>0.12</v>
      </c>
      <c r="W22" s="2">
        <v>0.3</v>
      </c>
      <c r="X22" s="2">
        <f>IF(O22&gt;0,O22,((P22*2.2046*S22)+(Q22+R22)/G22)+V22)</f>
        <v>1.9037837837837839</v>
      </c>
      <c r="Y22" s="2">
        <f>IF(O22&gt;0,O22,((P22*2.2046*S22)+(Q22+R22+T22)/G22)+V22+W22)</f>
        <v>2.2133027027027024</v>
      </c>
      <c r="Z22" s="3">
        <f>Y22*F22</f>
        <v>40946.099999999991</v>
      </c>
      <c r="AA22" s="34"/>
      <c r="AB22" s="3"/>
      <c r="AC22" s="35"/>
    </row>
    <row r="23" spans="1:32" x14ac:dyDescent="0.25">
      <c r="A23" s="130"/>
      <c r="B23" s="27" t="s">
        <v>30</v>
      </c>
      <c r="C23" s="28" t="s">
        <v>35</v>
      </c>
      <c r="D23" s="28" t="s">
        <v>36</v>
      </c>
      <c r="E23" t="s">
        <v>37</v>
      </c>
      <c r="F23" s="29">
        <v>18500</v>
      </c>
      <c r="G23" s="36">
        <v>18500</v>
      </c>
      <c r="H23" s="30">
        <f>G23-F23</f>
        <v>0</v>
      </c>
      <c r="I23" t="s">
        <v>2902</v>
      </c>
      <c r="J23" s="37"/>
      <c r="K23" s="31">
        <v>43563</v>
      </c>
      <c r="L23" s="31">
        <v>43564</v>
      </c>
      <c r="M23" s="28" t="s">
        <v>48</v>
      </c>
      <c r="N23" s="28" t="s">
        <v>2896</v>
      </c>
      <c r="O23" s="2"/>
      <c r="P23" s="32"/>
      <c r="Q23" s="2">
        <v>26000</v>
      </c>
      <c r="R23" s="38">
        <f>7000+(F23/0.4536*S23*P23*0.2)</f>
        <v>7000</v>
      </c>
      <c r="S23" s="39">
        <v>20</v>
      </c>
      <c r="T23" s="33">
        <f>X23*F23*0.005</f>
        <v>176.1</v>
      </c>
      <c r="V23" s="2">
        <v>0.12</v>
      </c>
      <c r="W23" s="2">
        <v>0.3</v>
      </c>
      <c r="X23" s="2">
        <f>IF(O23&gt;0,O23,((P23*2.2046*S23)+(Q23+R23)/G23)+V23)</f>
        <v>1.9037837837837839</v>
      </c>
      <c r="Y23" s="2">
        <f>IF(O23&gt;0,O23,((P23*2.2046*S23)+(Q23+R23+T23)/G23)+V23+W23)</f>
        <v>2.2133027027027024</v>
      </c>
      <c r="Z23" s="3">
        <f>Y23*F23</f>
        <v>40946.099999999991</v>
      </c>
      <c r="AA23" s="34"/>
      <c r="AB23" s="3"/>
      <c r="AC23" s="35"/>
    </row>
    <row r="24" spans="1:32" x14ac:dyDescent="0.25">
      <c r="A24" s="130"/>
      <c r="B24" s="27" t="s">
        <v>26</v>
      </c>
      <c r="C24" t="s">
        <v>27</v>
      </c>
      <c r="D24" s="28"/>
      <c r="E24">
        <v>250</v>
      </c>
      <c r="F24" s="29"/>
      <c r="G24" s="30"/>
      <c r="H24" s="30">
        <f>G24-F24</f>
        <v>0</v>
      </c>
      <c r="K24" s="31"/>
      <c r="L24" s="31">
        <v>43564</v>
      </c>
      <c r="M24" s="28" t="s">
        <v>48</v>
      </c>
      <c r="O24" s="2"/>
      <c r="P24" s="32"/>
      <c r="Q24" s="2">
        <v>21300</v>
      </c>
      <c r="R24" s="2">
        <f>75.45*E24</f>
        <v>18862.5</v>
      </c>
      <c r="S24" s="33">
        <f>-38*E24</f>
        <v>-9500</v>
      </c>
      <c r="T24" s="33" t="e">
        <f>X24*F24*0.005</f>
        <v>#DIV/0!</v>
      </c>
      <c r="U24" s="2">
        <f>E24*5</f>
        <v>1250</v>
      </c>
      <c r="W24" s="2">
        <v>0.3</v>
      </c>
      <c r="X24" s="2" t="e">
        <f>((O24*F24)+Q24+R24+S24+U24)/G24</f>
        <v>#DIV/0!</v>
      </c>
      <c r="Y24" s="2" t="e">
        <f>((O24*F24)+Q24+R24+S24+T24+U24)/G24+W24</f>
        <v>#DIV/0!</v>
      </c>
      <c r="Z24" s="3" t="e">
        <f>Y24*G24</f>
        <v>#DIV/0!</v>
      </c>
      <c r="AA24" s="34"/>
      <c r="AB24" s="3"/>
      <c r="AC24" s="35"/>
      <c r="AF24" s="30"/>
    </row>
    <row r="25" spans="1:32" x14ac:dyDescent="0.25">
      <c r="A25" s="130"/>
      <c r="B25" s="27" t="s">
        <v>30</v>
      </c>
      <c r="C25" s="28" t="s">
        <v>31</v>
      </c>
      <c r="D25" s="28" t="s">
        <v>31</v>
      </c>
      <c r="E25" t="s">
        <v>32</v>
      </c>
      <c r="F25" s="29">
        <v>18500</v>
      </c>
      <c r="G25" s="36">
        <v>18500</v>
      </c>
      <c r="H25" s="30">
        <f t="shared" ref="H25:H26" si="14">G25-F25</f>
        <v>0</v>
      </c>
      <c r="I25" s="28" t="s">
        <v>2903</v>
      </c>
      <c r="J25" s="37"/>
      <c r="K25" s="31">
        <v>43564</v>
      </c>
      <c r="L25" s="31">
        <v>43565</v>
      </c>
      <c r="M25" s="28" t="s">
        <v>33</v>
      </c>
      <c r="N25" s="28" t="s">
        <v>2896</v>
      </c>
      <c r="O25" s="2"/>
      <c r="P25" s="32"/>
      <c r="Q25" s="2">
        <v>26000</v>
      </c>
      <c r="R25" s="38">
        <f>7000+(F25/0.4536*S25*P25*0.2)</f>
        <v>7000</v>
      </c>
      <c r="S25" s="39">
        <v>20</v>
      </c>
      <c r="T25" s="33">
        <f t="shared" ref="T25:T26" si="15">X25*F25*0.005</f>
        <v>176.1</v>
      </c>
      <c r="V25" s="2">
        <v>0.12</v>
      </c>
      <c r="W25" s="2">
        <v>0.3</v>
      </c>
      <c r="X25" s="2">
        <f>IF(O25&gt;0,O25,((P25*2.2046*S25)+(Q25+R25)/G25)+V25)</f>
        <v>1.9037837837837839</v>
      </c>
      <c r="Y25" s="2">
        <f>IF(O25&gt;0,O25,((P25*2.2046*S25)+(Q25+R25+T25)/G25)+V25+W25)</f>
        <v>2.2133027027027024</v>
      </c>
      <c r="Z25" s="3">
        <f>Y25*F25</f>
        <v>40946.099999999991</v>
      </c>
      <c r="AA25" s="34"/>
      <c r="AB25" s="3"/>
      <c r="AC25" s="35"/>
    </row>
    <row r="26" spans="1:32" x14ac:dyDescent="0.25">
      <c r="A26" s="130"/>
      <c r="B26" s="27" t="s">
        <v>26</v>
      </c>
      <c r="C26" t="s">
        <v>27</v>
      </c>
      <c r="D26" s="28"/>
      <c r="E26">
        <v>220</v>
      </c>
      <c r="F26" s="29"/>
      <c r="G26" s="30"/>
      <c r="H26" s="30">
        <f t="shared" si="14"/>
        <v>0</v>
      </c>
      <c r="K26" s="31"/>
      <c r="L26" s="31">
        <v>43565</v>
      </c>
      <c r="M26" s="28" t="s">
        <v>33</v>
      </c>
      <c r="O26" s="2"/>
      <c r="P26" s="32"/>
      <c r="Q26" s="2">
        <v>21300</v>
      </c>
      <c r="R26" s="2">
        <f>75.45*E26</f>
        <v>16599</v>
      </c>
      <c r="S26" s="33">
        <f>-38*E26</f>
        <v>-8360</v>
      </c>
      <c r="T26" s="33" t="e">
        <f t="shared" si="15"/>
        <v>#DIV/0!</v>
      </c>
      <c r="U26" s="2">
        <f>E26*5</f>
        <v>1100</v>
      </c>
      <c r="W26" s="2">
        <v>0.3</v>
      </c>
      <c r="X26" s="2" t="e">
        <f t="shared" ref="X26" si="16">((O26*F26)+Q26+R26+S26+U26)/G26</f>
        <v>#DIV/0!</v>
      </c>
      <c r="Y26" s="2" t="e">
        <f>((O26*F26)+Q26+R26+S26+T26+U26)/G26+W26</f>
        <v>#DIV/0!</v>
      </c>
      <c r="Z26" s="3" t="e">
        <f>Y26*G26</f>
        <v>#DIV/0!</v>
      </c>
      <c r="AA26" s="34"/>
      <c r="AB26" s="3"/>
      <c r="AC26" s="35"/>
    </row>
    <row r="27" spans="1:32" x14ac:dyDescent="0.25">
      <c r="A27" s="130"/>
      <c r="B27" s="27" t="s">
        <v>30</v>
      </c>
      <c r="C27" s="28" t="s">
        <v>40</v>
      </c>
      <c r="D27" s="28" t="s">
        <v>40</v>
      </c>
      <c r="E27" t="s">
        <v>37</v>
      </c>
      <c r="F27" s="29">
        <v>19000</v>
      </c>
      <c r="G27" s="36">
        <v>19000</v>
      </c>
      <c r="H27" s="30">
        <f>G27-F27</f>
        <v>0</v>
      </c>
      <c r="I27" t="s">
        <v>2904</v>
      </c>
      <c r="J27" s="37"/>
      <c r="K27" s="31">
        <v>43565</v>
      </c>
      <c r="L27" s="31">
        <v>43566</v>
      </c>
      <c r="M27" s="28" t="s">
        <v>41</v>
      </c>
      <c r="N27" s="28" t="s">
        <v>2897</v>
      </c>
      <c r="O27" s="2"/>
      <c r="P27" s="32"/>
      <c r="Q27" s="2">
        <v>26000</v>
      </c>
      <c r="R27" s="38">
        <f>7000+(F27/0.4536*S27*P27*0.2)</f>
        <v>7000</v>
      </c>
      <c r="S27" s="39">
        <v>19.5</v>
      </c>
      <c r="T27" s="33">
        <f>X27*F27*0.005</f>
        <v>176.4</v>
      </c>
      <c r="V27" s="2">
        <v>0.12</v>
      </c>
      <c r="W27" s="2">
        <v>0.3</v>
      </c>
      <c r="X27" s="2">
        <f>IF(O27&gt;0,O27,((P27*2.2046*S27)+(Q27+R27)/G27)+V27)</f>
        <v>1.8568421052631581</v>
      </c>
      <c r="Y27" s="2">
        <f>IF(O27&gt;0,O27,((P27*2.2046*S27)+(Q27+R27+T27)/G27)+V27+W27)</f>
        <v>2.1661263157894735</v>
      </c>
      <c r="Z27" s="3">
        <f>Y27*F27</f>
        <v>41156.399999999994</v>
      </c>
      <c r="AA27" s="34"/>
      <c r="AB27" s="3"/>
      <c r="AC27" s="35"/>
    </row>
    <row r="28" spans="1:32" x14ac:dyDescent="0.25">
      <c r="A28" s="130"/>
      <c r="B28" s="27" t="s">
        <v>26</v>
      </c>
      <c r="C28" t="s">
        <v>27</v>
      </c>
      <c r="D28" s="28"/>
      <c r="E28">
        <v>200</v>
      </c>
      <c r="F28" s="29"/>
      <c r="G28" s="30"/>
      <c r="H28" s="30">
        <f t="shared" ref="H28:H29" si="17">G28-F28</f>
        <v>0</v>
      </c>
      <c r="K28" s="31"/>
      <c r="L28" s="31">
        <v>43566</v>
      </c>
      <c r="M28" s="28" t="s">
        <v>41</v>
      </c>
      <c r="O28" s="2"/>
      <c r="P28" s="32"/>
      <c r="Q28" s="2">
        <v>21300</v>
      </c>
      <c r="R28" s="2">
        <f t="shared" ref="R28:R29" si="18">75.45*E28</f>
        <v>15090</v>
      </c>
      <c r="S28" s="33">
        <f>-38*E28</f>
        <v>-7600</v>
      </c>
      <c r="T28" s="33" t="e">
        <f>X28*F28*0.0045</f>
        <v>#DIV/0!</v>
      </c>
      <c r="U28" s="2">
        <f>E28*5</f>
        <v>1000</v>
      </c>
      <c r="W28" s="2">
        <v>0.3</v>
      </c>
      <c r="X28" s="2" t="e">
        <f t="shared" ref="X28" si="19">((O28*F28)+Q28+R28+S28+U28)/G28</f>
        <v>#DIV/0!</v>
      </c>
      <c r="Y28" s="2" t="e">
        <f>((O28*F28)+Q28+R28+S28+T28+U28)/G28+W28</f>
        <v>#DIV/0!</v>
      </c>
      <c r="Z28" s="3" t="e">
        <f>Y28*G28</f>
        <v>#DIV/0!</v>
      </c>
      <c r="AA28" s="34"/>
      <c r="AB28" s="3"/>
      <c r="AC28" s="35"/>
    </row>
    <row r="29" spans="1:32" x14ac:dyDescent="0.25">
      <c r="A29" s="130"/>
      <c r="B29" s="27" t="s">
        <v>26</v>
      </c>
      <c r="C29" t="s">
        <v>27</v>
      </c>
      <c r="D29" s="28"/>
      <c r="E29">
        <v>130</v>
      </c>
      <c r="F29" s="29"/>
      <c r="G29" s="30"/>
      <c r="H29" s="30">
        <f t="shared" si="17"/>
        <v>0</v>
      </c>
      <c r="K29" s="31"/>
      <c r="L29" s="31">
        <v>43566</v>
      </c>
      <c r="M29" s="28" t="s">
        <v>41</v>
      </c>
      <c r="O29" s="2"/>
      <c r="P29" s="32"/>
      <c r="Q29" s="2">
        <v>16900</v>
      </c>
      <c r="R29" s="2">
        <f t="shared" si="18"/>
        <v>9808.5</v>
      </c>
      <c r="S29" s="33">
        <f>-38*E29</f>
        <v>-4940</v>
      </c>
      <c r="T29" s="33" t="e">
        <f>X29*F29*0.0045</f>
        <v>#DIV/0!</v>
      </c>
      <c r="U29" s="2">
        <f>E29*5</f>
        <v>650</v>
      </c>
      <c r="W29" s="2">
        <v>0.3</v>
      </c>
      <c r="X29" s="2" t="e">
        <f>((O29*F29)+Q29+R29+S29+U29)/G29</f>
        <v>#DIV/0!</v>
      </c>
      <c r="Y29" s="2" t="e">
        <f>((O29*F29)+Q29+R29+S29+T29+U29)/G29+W29</f>
        <v>#DIV/0!</v>
      </c>
      <c r="Z29" s="3" t="e">
        <f>Y29*G29</f>
        <v>#DIV/0!</v>
      </c>
      <c r="AA29" s="34"/>
      <c r="AB29" s="3"/>
      <c r="AC29" s="35"/>
    </row>
    <row r="30" spans="1:32" x14ac:dyDescent="0.25">
      <c r="A30" s="130"/>
      <c r="B30" s="27" t="s">
        <v>30</v>
      </c>
      <c r="C30" s="28" t="s">
        <v>1790</v>
      </c>
      <c r="D30" s="28" t="s">
        <v>1790</v>
      </c>
      <c r="E30" t="s">
        <v>32</v>
      </c>
      <c r="F30" s="29">
        <v>18500</v>
      </c>
      <c r="G30" s="36">
        <v>18500</v>
      </c>
      <c r="H30" s="30">
        <f>G30-F30</f>
        <v>0</v>
      </c>
      <c r="I30" s="28" t="s">
        <v>2905</v>
      </c>
      <c r="J30" s="37"/>
      <c r="K30" s="31">
        <v>43566</v>
      </c>
      <c r="L30" s="31">
        <v>43567</v>
      </c>
      <c r="M30" s="28" t="s">
        <v>45</v>
      </c>
      <c r="N30" s="28" t="s">
        <v>2898</v>
      </c>
      <c r="O30" s="2"/>
      <c r="P30" s="32"/>
      <c r="Q30" s="2">
        <v>26000</v>
      </c>
      <c r="R30" s="38">
        <f>7000+(F30/0.4536*S30*P30*0.2)</f>
        <v>7000</v>
      </c>
      <c r="S30" s="39">
        <v>20</v>
      </c>
      <c r="T30" s="33">
        <f>X30*F30*0.005</f>
        <v>176.1</v>
      </c>
      <c r="V30" s="2">
        <v>0.12</v>
      </c>
      <c r="W30" s="2">
        <v>0.3</v>
      </c>
      <c r="X30" s="2">
        <f>IF(O30&gt;0,O30,((P30*2.2046*S30)+(Q30+R30)/G30)+V30)</f>
        <v>1.9037837837837839</v>
      </c>
      <c r="Y30" s="2">
        <f>IF(O30&gt;0,O30,((P30*2.2046*S30)+(Q30+R30+T30)/G30)+V30+W30)</f>
        <v>2.2133027027027024</v>
      </c>
      <c r="Z30" s="3">
        <f>Y30*F30</f>
        <v>40946.099999999991</v>
      </c>
      <c r="AA30" s="34"/>
      <c r="AB30" s="3"/>
      <c r="AC30" s="35"/>
    </row>
    <row r="31" spans="1:32" x14ac:dyDescent="0.25">
      <c r="A31" s="130"/>
      <c r="B31" s="27" t="s">
        <v>30</v>
      </c>
      <c r="C31" s="28" t="s">
        <v>31</v>
      </c>
      <c r="D31" s="28" t="s">
        <v>31</v>
      </c>
      <c r="E31" t="s">
        <v>32</v>
      </c>
      <c r="F31" s="29">
        <v>18500</v>
      </c>
      <c r="G31" s="36">
        <v>18500</v>
      </c>
      <c r="H31" s="30">
        <f>G31-F31</f>
        <v>0</v>
      </c>
      <c r="I31" t="s">
        <v>2906</v>
      </c>
      <c r="J31" s="37"/>
      <c r="K31" s="31">
        <v>43566</v>
      </c>
      <c r="L31" s="31">
        <v>43567</v>
      </c>
      <c r="M31" s="28" t="s">
        <v>45</v>
      </c>
      <c r="N31" s="28" t="s">
        <v>2899</v>
      </c>
      <c r="O31" s="2"/>
      <c r="P31" s="32"/>
      <c r="Q31" s="2">
        <v>26000</v>
      </c>
      <c r="R31" s="38">
        <f>7000+(F31/0.4536*S31*P31*0.2)</f>
        <v>7000</v>
      </c>
      <c r="S31" s="39">
        <v>20</v>
      </c>
      <c r="T31" s="33">
        <f>X31*F31*0.005</f>
        <v>176.1</v>
      </c>
      <c r="V31" s="2">
        <v>0.12</v>
      </c>
      <c r="W31" s="2">
        <v>0.3</v>
      </c>
      <c r="X31" s="2">
        <f>IF(O31&gt;0,O31,((P31*2.2046*S31)+(Q31+R31)/G31)+V31)</f>
        <v>1.9037837837837839</v>
      </c>
      <c r="Y31" s="2">
        <f>IF(O31&gt;0,O31,((P31*2.2046*S31)+(Q31+R31+T31)/G31)+V31+W31)</f>
        <v>2.2133027027027024</v>
      </c>
      <c r="Z31" s="3">
        <f>Y31*F31</f>
        <v>40946.099999999991</v>
      </c>
      <c r="AA31" s="34"/>
      <c r="AB31" s="3"/>
      <c r="AC31" s="35"/>
    </row>
    <row r="32" spans="1:32" x14ac:dyDescent="0.25">
      <c r="A32" s="130"/>
      <c r="B32" s="27" t="s">
        <v>26</v>
      </c>
      <c r="C32" t="s">
        <v>43</v>
      </c>
      <c r="D32" s="28" t="s">
        <v>44</v>
      </c>
      <c r="E32">
        <v>200</v>
      </c>
      <c r="F32" s="29"/>
      <c r="G32" s="30"/>
      <c r="H32" s="30">
        <f t="shared" ref="H32:H34" si="20">G32-F32</f>
        <v>0</v>
      </c>
      <c r="K32" s="31"/>
      <c r="L32" s="31">
        <v>43567</v>
      </c>
      <c r="M32" s="28" t="s">
        <v>45</v>
      </c>
      <c r="O32" s="2"/>
      <c r="P32" s="32"/>
      <c r="Q32" s="2">
        <v>21300</v>
      </c>
      <c r="R32" s="2">
        <f t="shared" ref="R32:R33" si="21">75.45*E32</f>
        <v>15090</v>
      </c>
      <c r="S32" s="33">
        <f>-38*E32</f>
        <v>-7600</v>
      </c>
      <c r="T32" s="33" t="e">
        <f>X32*F32*0.0045</f>
        <v>#DIV/0!</v>
      </c>
      <c r="U32" s="2">
        <f>E32*5</f>
        <v>1000</v>
      </c>
      <c r="W32" s="2">
        <v>0.3</v>
      </c>
      <c r="X32" s="2" t="e">
        <f>((O32*F32)+Q32+R32+S32+U32)/G32</f>
        <v>#DIV/0!</v>
      </c>
      <c r="Y32" s="2" t="e">
        <f>((O32*F32)+Q32+R32+S32+T32+U32)/G32+W32</f>
        <v>#DIV/0!</v>
      </c>
      <c r="Z32" s="3" t="e">
        <f>Y32*G32</f>
        <v>#DIV/0!</v>
      </c>
      <c r="AA32" s="34"/>
      <c r="AB32" s="3"/>
      <c r="AC32" s="35"/>
    </row>
    <row r="33" spans="1:32" x14ac:dyDescent="0.25">
      <c r="A33" s="130"/>
      <c r="B33" s="27" t="s">
        <v>26</v>
      </c>
      <c r="C33" t="s">
        <v>27</v>
      </c>
      <c r="D33" s="28"/>
      <c r="E33">
        <v>130</v>
      </c>
      <c r="F33" s="29"/>
      <c r="G33" s="30"/>
      <c r="H33" s="30">
        <f t="shared" si="20"/>
        <v>0</v>
      </c>
      <c r="I33" s="28"/>
      <c r="K33" s="31"/>
      <c r="L33" s="31">
        <v>43567</v>
      </c>
      <c r="M33" s="28" t="s">
        <v>45</v>
      </c>
      <c r="O33" s="2"/>
      <c r="P33" s="32"/>
      <c r="Q33" s="2">
        <v>16900</v>
      </c>
      <c r="R33" s="2">
        <f t="shared" si="21"/>
        <v>9808.5</v>
      </c>
      <c r="S33" s="33">
        <f>-38*E33</f>
        <v>-4940</v>
      </c>
      <c r="T33" s="33" t="e">
        <f>X33*F33*0.0045</f>
        <v>#DIV/0!</v>
      </c>
      <c r="U33" s="2">
        <f>E33*5</f>
        <v>650</v>
      </c>
      <c r="W33" s="2">
        <v>0.3</v>
      </c>
      <c r="X33" s="2" t="e">
        <f>((O33*F33)+Q33+R33+S33+U33)/G33</f>
        <v>#DIV/0!</v>
      </c>
      <c r="Y33" s="2" t="e">
        <f>((O33*F33)+Q33+R33+S33+T33+U33)/G33+W33</f>
        <v>#DIV/0!</v>
      </c>
      <c r="Z33" s="3" t="e">
        <f>Y33*G33</f>
        <v>#DIV/0!</v>
      </c>
      <c r="AA33" s="34"/>
      <c r="AB33" s="3"/>
      <c r="AC33" s="35"/>
    </row>
    <row r="34" spans="1:32" x14ac:dyDescent="0.25">
      <c r="A34" s="130"/>
      <c r="B34" s="27" t="s">
        <v>30</v>
      </c>
      <c r="C34" t="s">
        <v>40</v>
      </c>
      <c r="D34" s="28" t="s">
        <v>40</v>
      </c>
      <c r="E34" t="s">
        <v>37</v>
      </c>
      <c r="F34" s="29">
        <v>19000</v>
      </c>
      <c r="G34" s="36">
        <v>19000</v>
      </c>
      <c r="H34" s="30">
        <f t="shared" si="20"/>
        <v>0</v>
      </c>
      <c r="I34" s="28" t="s">
        <v>2907</v>
      </c>
      <c r="J34" s="37"/>
      <c r="K34" s="31">
        <v>43567</v>
      </c>
      <c r="L34" s="31">
        <v>43568</v>
      </c>
      <c r="M34" s="28" t="s">
        <v>46</v>
      </c>
      <c r="N34" s="28" t="s">
        <v>2900</v>
      </c>
      <c r="O34" s="2"/>
      <c r="P34" s="32"/>
      <c r="Q34" s="2">
        <v>26000</v>
      </c>
      <c r="R34" s="38">
        <f>7000+(F34/0.4536*S34*P34*0.2)</f>
        <v>7000</v>
      </c>
      <c r="S34" s="39">
        <v>20</v>
      </c>
      <c r="T34" s="33">
        <f>X34*F34*0.005</f>
        <v>176.4</v>
      </c>
      <c r="V34" s="2">
        <v>0.12</v>
      </c>
      <c r="W34" s="2">
        <v>0.3</v>
      </c>
      <c r="X34" s="2">
        <f>IF(O34&gt;0,O34,((P34*2.2046*S34)+(Q34+R34)/G34)+V34)</f>
        <v>1.8568421052631581</v>
      </c>
      <c r="Y34" s="2">
        <f>IF(O34&gt;0,O34,((P34*2.2046*S34)+(Q34+R34+T34)/G34)+V34+W34)</f>
        <v>2.1661263157894735</v>
      </c>
      <c r="Z34" s="3">
        <f>Y34*F34</f>
        <v>41156.399999999994</v>
      </c>
      <c r="AA34" s="34"/>
      <c r="AB34" s="3"/>
      <c r="AC34" s="35"/>
    </row>
    <row r="35" spans="1:32" ht="15.75" thickBot="1" x14ac:dyDescent="0.3">
      <c r="A35" s="131"/>
      <c r="B35" s="41"/>
      <c r="C35" s="4"/>
      <c r="D35" s="4"/>
      <c r="E35" s="4"/>
      <c r="F35" s="42"/>
      <c r="G35" s="42"/>
      <c r="H35" s="42"/>
      <c r="I35" s="7"/>
      <c r="J35" s="4"/>
      <c r="K35" s="8"/>
      <c r="L35" s="8"/>
      <c r="M35" s="4"/>
      <c r="N35" s="4"/>
      <c r="O35" s="9"/>
      <c r="P35" s="10"/>
      <c r="Q35" s="9"/>
      <c r="R35" s="9"/>
      <c r="S35" s="9"/>
      <c r="T35" s="9"/>
      <c r="U35" s="9"/>
      <c r="V35" s="9"/>
      <c r="W35" s="9"/>
      <c r="X35" s="9"/>
      <c r="Y35" s="9"/>
      <c r="Z35" s="13"/>
      <c r="AA35" s="43"/>
      <c r="AB35" s="3"/>
      <c r="AC35" s="35"/>
    </row>
    <row r="36" spans="1:32" x14ac:dyDescent="0.25">
      <c r="A36" s="168"/>
      <c r="B36" s="14" t="s">
        <v>26</v>
      </c>
      <c r="C36" s="14" t="s">
        <v>27</v>
      </c>
      <c r="D36" s="15"/>
      <c r="E36" s="14">
        <v>200</v>
      </c>
      <c r="F36" s="16"/>
      <c r="G36" s="17"/>
      <c r="H36" s="30">
        <f t="shared" ref="H36:H39" si="22">G36-F36</f>
        <v>0</v>
      </c>
      <c r="I36" s="19"/>
      <c r="J36" s="14"/>
      <c r="K36" s="20"/>
      <c r="L36" s="20">
        <v>43569</v>
      </c>
      <c r="M36" s="15" t="s">
        <v>28</v>
      </c>
      <c r="N36" s="14"/>
      <c r="O36" s="21"/>
      <c r="P36" s="22"/>
      <c r="Q36" s="21">
        <v>21300</v>
      </c>
      <c r="R36" s="2">
        <f t="shared" ref="R36:R38" si="23">75.45*E36</f>
        <v>15090</v>
      </c>
      <c r="S36" s="21">
        <f>-38*E36</f>
        <v>-7600</v>
      </c>
      <c r="T36" s="23" t="e">
        <f>X36*F36*0.0045</f>
        <v>#DIV/0!</v>
      </c>
      <c r="U36" s="21">
        <f>E36*5</f>
        <v>1000</v>
      </c>
      <c r="V36" s="14"/>
      <c r="W36" s="21">
        <v>0.3</v>
      </c>
      <c r="X36" s="21" t="e">
        <f>((O36*F36)+Q36+R36+S36+U36)/G36</f>
        <v>#DIV/0!</v>
      </c>
      <c r="Y36" s="24" t="e">
        <f>((O36*F36)+Q36+R36+S36+T36+U36)/G36+W36</f>
        <v>#DIV/0!</v>
      </c>
      <c r="Z36" s="24" t="e">
        <f>Y36*G36</f>
        <v>#DIV/0!</v>
      </c>
      <c r="AA36" s="25"/>
      <c r="AB36" s="3"/>
      <c r="AC36" s="3"/>
    </row>
    <row r="37" spans="1:32" x14ac:dyDescent="0.25">
      <c r="A37" s="169"/>
      <c r="B37" s="27" t="s">
        <v>26</v>
      </c>
      <c r="C37" t="s">
        <v>27</v>
      </c>
      <c r="D37" s="28"/>
      <c r="E37">
        <v>130</v>
      </c>
      <c r="F37" s="29"/>
      <c r="G37" s="30"/>
      <c r="H37" s="30">
        <f t="shared" si="22"/>
        <v>0</v>
      </c>
      <c r="I37" s="28"/>
      <c r="K37" s="31"/>
      <c r="L37" s="31">
        <v>43569</v>
      </c>
      <c r="M37" s="28" t="s">
        <v>28</v>
      </c>
      <c r="O37" s="2"/>
      <c r="P37" s="32"/>
      <c r="Q37" s="2">
        <v>16900</v>
      </c>
      <c r="R37" s="2">
        <f t="shared" si="23"/>
        <v>9808.5</v>
      </c>
      <c r="S37" s="33">
        <f>-38*E37</f>
        <v>-4940</v>
      </c>
      <c r="T37" s="33" t="e">
        <f>X37*F37*0.0045</f>
        <v>#DIV/0!</v>
      </c>
      <c r="U37" s="2">
        <f>E37*5</f>
        <v>650</v>
      </c>
      <c r="W37" s="2">
        <v>0.3</v>
      </c>
      <c r="X37" s="2" t="e">
        <f>((O37*F37)+Q37+R37+S37+U37)/G37</f>
        <v>#DIV/0!</v>
      </c>
      <c r="Y37" s="2" t="e">
        <f>((O37*F37)+Q37+R37+S37+T37+U37)/G37+W37</f>
        <v>#DIV/0!</v>
      </c>
      <c r="Z37" s="3" t="e">
        <f>Y37*G37</f>
        <v>#DIV/0!</v>
      </c>
      <c r="AA37" s="34"/>
      <c r="AB37" s="3"/>
      <c r="AC37" s="35"/>
    </row>
    <row r="38" spans="1:32" x14ac:dyDescent="0.25">
      <c r="A38" s="169"/>
      <c r="B38" s="27" t="s">
        <v>26</v>
      </c>
      <c r="C38" t="s">
        <v>27</v>
      </c>
      <c r="D38" s="28"/>
      <c r="E38">
        <v>250</v>
      </c>
      <c r="F38" s="29"/>
      <c r="G38" s="30"/>
      <c r="H38" s="30">
        <f t="shared" si="22"/>
        <v>0</v>
      </c>
      <c r="I38" s="28"/>
      <c r="K38" s="31"/>
      <c r="L38" s="31">
        <v>43570</v>
      </c>
      <c r="M38" s="28" t="s">
        <v>29</v>
      </c>
      <c r="O38" s="2"/>
      <c r="P38" s="32"/>
      <c r="Q38" s="2">
        <v>21300</v>
      </c>
      <c r="R38" s="2">
        <f t="shared" si="23"/>
        <v>18862.5</v>
      </c>
      <c r="S38" s="33">
        <f>-38*E38</f>
        <v>-9500</v>
      </c>
      <c r="T38" s="33" t="e">
        <f>X38*F38*0.0045</f>
        <v>#DIV/0!</v>
      </c>
      <c r="U38" s="2">
        <f>E38*5</f>
        <v>1250</v>
      </c>
      <c r="W38" s="2">
        <v>0.3</v>
      </c>
      <c r="X38" s="2" t="e">
        <f>((O38*F38)+Q38+R38+S38+U38)/G38</f>
        <v>#DIV/0!</v>
      </c>
      <c r="Y38" s="2" t="e">
        <f>((O38*F38)+Q38+R38+S38+T38+U38)/G38+W38</f>
        <v>#DIV/0!</v>
      </c>
      <c r="Z38" s="3" t="e">
        <f>Y38*G38</f>
        <v>#DIV/0!</v>
      </c>
      <c r="AA38" s="34"/>
      <c r="AB38" s="3"/>
      <c r="AC38" s="35"/>
    </row>
    <row r="39" spans="1:32" x14ac:dyDescent="0.25">
      <c r="A39" s="169"/>
      <c r="B39" s="27" t="s">
        <v>30</v>
      </c>
      <c r="C39" s="28" t="s">
        <v>1790</v>
      </c>
      <c r="D39" s="28" t="s">
        <v>1790</v>
      </c>
      <c r="E39" t="s">
        <v>32</v>
      </c>
      <c r="F39" s="29">
        <v>18500</v>
      </c>
      <c r="G39" s="36">
        <v>18500</v>
      </c>
      <c r="H39" s="30">
        <f t="shared" si="22"/>
        <v>0</v>
      </c>
      <c r="I39" s="28" t="s">
        <v>2914</v>
      </c>
      <c r="J39" s="37"/>
      <c r="K39" s="31">
        <v>43570</v>
      </c>
      <c r="L39" s="31">
        <v>43571</v>
      </c>
      <c r="M39" s="28" t="s">
        <v>48</v>
      </c>
      <c r="N39" s="28" t="s">
        <v>2908</v>
      </c>
      <c r="O39" s="2"/>
      <c r="P39" s="32"/>
      <c r="Q39" s="2">
        <v>26000</v>
      </c>
      <c r="R39" s="38">
        <f>7000+(F39/0.4536*S39*P39*0.2)</f>
        <v>7000</v>
      </c>
      <c r="S39" s="39">
        <v>20</v>
      </c>
      <c r="T39" s="33">
        <f t="shared" ref="T39" si="24">X39*F39*0.005</f>
        <v>176.1</v>
      </c>
      <c r="V39" s="2">
        <v>0.12</v>
      </c>
      <c r="W39" s="2">
        <v>0.3</v>
      </c>
      <c r="X39" s="2">
        <f>IF(O39&gt;0,O39,((P39*2.2046*S39)+(Q39+R39)/G39)+V39)</f>
        <v>1.9037837837837839</v>
      </c>
      <c r="Y39" s="2">
        <f>IF(O39&gt;0,O39,((P39*2.2046*S39)+(Q39+R39+T39)/G39)+V39+W39)</f>
        <v>2.2133027027027024</v>
      </c>
      <c r="Z39" s="3">
        <f>Y39*F39</f>
        <v>40946.099999999991</v>
      </c>
      <c r="AA39" s="34"/>
      <c r="AB39" s="3"/>
      <c r="AC39" s="35"/>
    </row>
    <row r="40" spans="1:32" x14ac:dyDescent="0.25">
      <c r="A40" s="169"/>
      <c r="B40" s="27" t="s">
        <v>30</v>
      </c>
      <c r="C40" s="28" t="s">
        <v>35</v>
      </c>
      <c r="D40" s="28" t="s">
        <v>36</v>
      </c>
      <c r="E40" t="s">
        <v>37</v>
      </c>
      <c r="F40" s="29">
        <v>18500</v>
      </c>
      <c r="G40" s="36">
        <v>18500</v>
      </c>
      <c r="H40" s="30">
        <f>G40-F40</f>
        <v>0</v>
      </c>
      <c r="I40" t="s">
        <v>2915</v>
      </c>
      <c r="J40" s="37"/>
      <c r="K40" s="31">
        <v>43570</v>
      </c>
      <c r="L40" s="31">
        <v>43571</v>
      </c>
      <c r="M40" s="28" t="s">
        <v>48</v>
      </c>
      <c r="N40" s="28" t="s">
        <v>2909</v>
      </c>
      <c r="O40" s="2"/>
      <c r="P40" s="32"/>
      <c r="Q40" s="2">
        <v>26000</v>
      </c>
      <c r="R40" s="38">
        <f>7000+(F40/0.4536*S40*P40*0.2)</f>
        <v>7000</v>
      </c>
      <c r="S40" s="39">
        <v>20</v>
      </c>
      <c r="T40" s="33">
        <f>X40*F40*0.005</f>
        <v>176.1</v>
      </c>
      <c r="V40" s="2">
        <v>0.12</v>
      </c>
      <c r="W40" s="2">
        <v>0.3</v>
      </c>
      <c r="X40" s="2">
        <f>IF(O40&gt;0,O40,((P40*2.2046*S40)+(Q40+R40)/G40)+V40)</f>
        <v>1.9037837837837839</v>
      </c>
      <c r="Y40" s="2">
        <f>IF(O40&gt;0,O40,((P40*2.2046*S40)+(Q40+R40+T40)/G40)+V40+W40)</f>
        <v>2.2133027027027024</v>
      </c>
      <c r="Z40" s="3">
        <f>Y40*F40</f>
        <v>40946.099999999991</v>
      </c>
      <c r="AA40" s="34"/>
      <c r="AB40" s="3"/>
      <c r="AC40" s="35"/>
    </row>
    <row r="41" spans="1:32" x14ac:dyDescent="0.25">
      <c r="A41" s="169"/>
      <c r="B41" s="27" t="s">
        <v>30</v>
      </c>
      <c r="C41" s="28" t="s">
        <v>31</v>
      </c>
      <c r="D41" s="28" t="s">
        <v>31</v>
      </c>
      <c r="E41" t="s">
        <v>32</v>
      </c>
      <c r="F41" s="29">
        <v>18500</v>
      </c>
      <c r="G41" s="36">
        <v>18500</v>
      </c>
      <c r="H41" s="30">
        <f>G41-F41</f>
        <v>0</v>
      </c>
      <c r="I41" t="s">
        <v>2916</v>
      </c>
      <c r="J41" s="37"/>
      <c r="K41" s="31">
        <v>43570</v>
      </c>
      <c r="L41" s="31">
        <v>43571</v>
      </c>
      <c r="M41" s="28" t="s">
        <v>48</v>
      </c>
      <c r="N41" s="28" t="s">
        <v>2910</v>
      </c>
      <c r="O41" s="2"/>
      <c r="P41" s="32"/>
      <c r="Q41" s="2">
        <v>26000</v>
      </c>
      <c r="R41" s="38">
        <f>7000+(F41/0.4536*S41*P41*0.2)</f>
        <v>7000</v>
      </c>
      <c r="S41" s="39">
        <v>20</v>
      </c>
      <c r="T41" s="33">
        <f>X41*F41*0.005</f>
        <v>176.1</v>
      </c>
      <c r="V41" s="2">
        <v>0.12</v>
      </c>
      <c r="W41" s="2">
        <v>0.3</v>
      </c>
      <c r="X41" s="2">
        <f>IF(O41&gt;0,O41,((P41*2.2046*S41)+(Q41+R41)/G41)+V41)</f>
        <v>1.9037837837837839</v>
      </c>
      <c r="Y41" s="2">
        <f>IF(O41&gt;0,O41,((P41*2.2046*S41)+(Q41+R41+T41)/G41)+V41+W41)</f>
        <v>2.2133027027027024</v>
      </c>
      <c r="Z41" s="3">
        <f>Y41*F41</f>
        <v>40946.099999999991</v>
      </c>
      <c r="AA41" s="34"/>
      <c r="AB41" s="3"/>
      <c r="AC41" s="35"/>
    </row>
    <row r="42" spans="1:32" x14ac:dyDescent="0.25">
      <c r="A42" s="169"/>
      <c r="B42" s="27" t="s">
        <v>26</v>
      </c>
      <c r="C42" t="s">
        <v>27</v>
      </c>
      <c r="D42" s="28"/>
      <c r="E42">
        <v>250</v>
      </c>
      <c r="F42" s="29"/>
      <c r="G42" s="30"/>
      <c r="H42" s="30">
        <f>G42-F42</f>
        <v>0</v>
      </c>
      <c r="K42" s="31"/>
      <c r="L42" s="31">
        <v>43571</v>
      </c>
      <c r="M42" s="28" t="s">
        <v>48</v>
      </c>
      <c r="O42" s="2"/>
      <c r="P42" s="32"/>
      <c r="Q42" s="2">
        <v>21300</v>
      </c>
      <c r="R42" s="2">
        <f>75.45*E42</f>
        <v>18862.5</v>
      </c>
      <c r="S42" s="33">
        <f>-38*E42</f>
        <v>-9500</v>
      </c>
      <c r="T42" s="33" t="e">
        <f>X42*F42*0.005</f>
        <v>#DIV/0!</v>
      </c>
      <c r="U42" s="2">
        <f>E42*5</f>
        <v>1250</v>
      </c>
      <c r="W42" s="2">
        <v>0.3</v>
      </c>
      <c r="X42" s="2" t="e">
        <f>((O42*F42)+Q42+R42+S42+U42)/G42</f>
        <v>#DIV/0!</v>
      </c>
      <c r="Y42" s="2" t="e">
        <f>((O42*F42)+Q42+R42+S42+T42+U42)/G42+W42</f>
        <v>#DIV/0!</v>
      </c>
      <c r="Z42" s="3" t="e">
        <f>Y42*G42</f>
        <v>#DIV/0!</v>
      </c>
      <c r="AA42" s="34"/>
      <c r="AB42" s="3"/>
      <c r="AC42" s="35"/>
      <c r="AF42" s="30"/>
    </row>
    <row r="43" spans="1:32" x14ac:dyDescent="0.25">
      <c r="A43" s="169"/>
      <c r="B43" s="27" t="s">
        <v>30</v>
      </c>
      <c r="C43" s="28" t="s">
        <v>1790</v>
      </c>
      <c r="D43" s="28" t="s">
        <v>1790</v>
      </c>
      <c r="E43" t="s">
        <v>32</v>
      </c>
      <c r="F43" s="29">
        <v>18500</v>
      </c>
      <c r="G43" s="36">
        <v>18500</v>
      </c>
      <c r="H43" s="30">
        <f>G43-F43</f>
        <v>0</v>
      </c>
      <c r="I43" s="28" t="s">
        <v>2917</v>
      </c>
      <c r="J43" s="37"/>
      <c r="K43" s="31">
        <v>43571</v>
      </c>
      <c r="L43" s="31">
        <v>43572</v>
      </c>
      <c r="M43" s="28" t="s">
        <v>33</v>
      </c>
      <c r="N43" s="28" t="s">
        <v>2911</v>
      </c>
      <c r="O43" s="2"/>
      <c r="P43" s="32"/>
      <c r="Q43" s="2">
        <v>26000</v>
      </c>
      <c r="R43" s="38">
        <f>7000+(F43/0.4536*S43*P43*0.2)</f>
        <v>7000</v>
      </c>
      <c r="S43" s="39">
        <v>20</v>
      </c>
      <c r="T43" s="33">
        <f>X43*F43*0.005</f>
        <v>176.1</v>
      </c>
      <c r="V43" s="2">
        <v>0.12</v>
      </c>
      <c r="W43" s="2">
        <v>0.3</v>
      </c>
      <c r="X43" s="2">
        <f>IF(O43&gt;0,O43,((P43*2.2046*S43)+(Q43+R43)/G43)+V43)</f>
        <v>1.9037837837837839</v>
      </c>
      <c r="Y43" s="2">
        <f>IF(O43&gt;0,O43,((P43*2.2046*S43)+(Q43+R43+T43)/G43)+V43+W43)</f>
        <v>2.2133027027027024</v>
      </c>
      <c r="Z43" s="3">
        <f>Y43*F43</f>
        <v>40946.099999999991</v>
      </c>
      <c r="AA43" s="34"/>
      <c r="AB43" s="3"/>
      <c r="AC43" s="35"/>
    </row>
    <row r="44" spans="1:32" x14ac:dyDescent="0.25">
      <c r="A44" s="169"/>
      <c r="B44" s="27" t="s">
        <v>30</v>
      </c>
      <c r="C44" s="28" t="s">
        <v>31</v>
      </c>
      <c r="D44" s="28" t="s">
        <v>31</v>
      </c>
      <c r="E44" t="s">
        <v>32</v>
      </c>
      <c r="F44" s="29">
        <v>18500</v>
      </c>
      <c r="G44" s="36">
        <v>18500</v>
      </c>
      <c r="H44" s="30">
        <f t="shared" ref="H44:H46" si="25">G44-F44</f>
        <v>0</v>
      </c>
      <c r="I44" s="28" t="s">
        <v>2918</v>
      </c>
      <c r="J44" s="37"/>
      <c r="K44" s="31">
        <v>43571</v>
      </c>
      <c r="L44" s="31">
        <v>43572</v>
      </c>
      <c r="M44" s="28" t="s">
        <v>33</v>
      </c>
      <c r="N44" s="28" t="s">
        <v>2909</v>
      </c>
      <c r="O44" s="2"/>
      <c r="P44" s="32"/>
      <c r="Q44" s="2">
        <v>26000</v>
      </c>
      <c r="R44" s="38">
        <f>7000+(F44/0.4536*S44*P44*0.2)</f>
        <v>7000</v>
      </c>
      <c r="S44" s="39">
        <v>20</v>
      </c>
      <c r="T44" s="33">
        <f t="shared" ref="T44:T46" si="26">X44*F44*0.005</f>
        <v>176.1</v>
      </c>
      <c r="V44" s="2">
        <v>0.12</v>
      </c>
      <c r="W44" s="2">
        <v>0.3</v>
      </c>
      <c r="X44" s="2">
        <f>IF(O44&gt;0,O44,((P44*2.2046*S44)+(Q44+R44)/G44)+V44)</f>
        <v>1.9037837837837839</v>
      </c>
      <c r="Y44" s="2">
        <f>IF(O44&gt;0,O44,((P44*2.2046*S44)+(Q44+R44+T44)/G44)+V44+W44)</f>
        <v>2.2133027027027024</v>
      </c>
      <c r="Z44" s="3">
        <f>Y44*F44</f>
        <v>40946.099999999991</v>
      </c>
      <c r="AA44" s="34"/>
      <c r="AB44" s="3"/>
      <c r="AC44" s="35"/>
    </row>
    <row r="45" spans="1:32" x14ac:dyDescent="0.25">
      <c r="A45" s="169"/>
      <c r="B45" s="27" t="s">
        <v>30</v>
      </c>
      <c r="C45" s="28" t="s">
        <v>31</v>
      </c>
      <c r="D45" s="28" t="s">
        <v>31</v>
      </c>
      <c r="E45" t="s">
        <v>37</v>
      </c>
      <c r="F45" s="29">
        <v>18500</v>
      </c>
      <c r="G45" s="36">
        <v>18500</v>
      </c>
      <c r="H45" s="30">
        <f t="shared" ref="H45" si="27">G45-F45</f>
        <v>0</v>
      </c>
      <c r="I45" s="28" t="s">
        <v>2919</v>
      </c>
      <c r="J45" s="37"/>
      <c r="K45" s="31">
        <v>43571</v>
      </c>
      <c r="L45" s="31">
        <v>43572</v>
      </c>
      <c r="M45" s="28" t="s">
        <v>33</v>
      </c>
      <c r="N45" s="28" t="s">
        <v>2909</v>
      </c>
      <c r="O45" s="2"/>
      <c r="P45" s="32"/>
      <c r="Q45" s="2">
        <v>26001</v>
      </c>
      <c r="R45" s="38">
        <f>7000+(F45/0.4536*S45*P45*0.2)</f>
        <v>7000</v>
      </c>
      <c r="S45" s="39">
        <v>21</v>
      </c>
      <c r="T45" s="33">
        <f t="shared" ref="T45" si="28">X45*F45*0.005</f>
        <v>176.10499999999999</v>
      </c>
      <c r="V45" s="2">
        <v>0.12</v>
      </c>
      <c r="W45" s="2">
        <v>0.3</v>
      </c>
      <c r="X45" s="2">
        <f>IF(O45&gt;0,O45,((P45*2.2046*S45)+(Q45+R45)/G45)+V45)</f>
        <v>1.903837837837838</v>
      </c>
      <c r="Y45" s="2">
        <f>IF(O45&gt;0,O45,((P45*2.2046*S45)+(Q45+R45+T45)/G45)+V45+W45)</f>
        <v>2.2133570270270271</v>
      </c>
      <c r="Z45" s="3">
        <f>Y45*F45</f>
        <v>40947.105000000003</v>
      </c>
      <c r="AA45" s="34"/>
      <c r="AB45" s="3"/>
      <c r="AC45" s="35"/>
    </row>
    <row r="46" spans="1:32" x14ac:dyDescent="0.25">
      <c r="A46" s="169"/>
      <c r="B46" s="27" t="s">
        <v>26</v>
      </c>
      <c r="C46" t="s">
        <v>27</v>
      </c>
      <c r="D46" s="28"/>
      <c r="E46">
        <v>220</v>
      </c>
      <c r="F46" s="29"/>
      <c r="G46" s="30"/>
      <c r="H46" s="30">
        <f t="shared" si="25"/>
        <v>0</v>
      </c>
      <c r="K46" s="31"/>
      <c r="L46" s="31">
        <v>43572</v>
      </c>
      <c r="M46" s="28" t="s">
        <v>33</v>
      </c>
      <c r="O46" s="2"/>
      <c r="P46" s="32"/>
      <c r="Q46" s="2">
        <v>21300</v>
      </c>
      <c r="R46" s="2">
        <f>75.45*E46</f>
        <v>16599</v>
      </c>
      <c r="S46" s="33">
        <f>-38*E46</f>
        <v>-8360</v>
      </c>
      <c r="T46" s="33" t="e">
        <f t="shared" si="26"/>
        <v>#DIV/0!</v>
      </c>
      <c r="U46" s="2">
        <f>E46*5</f>
        <v>1100</v>
      </c>
      <c r="W46" s="2">
        <v>0.3</v>
      </c>
      <c r="X46" s="2" t="e">
        <f t="shared" ref="X46" si="29">((O46*F46)+Q46+R46+S46+U46)/G46</f>
        <v>#DIV/0!</v>
      </c>
      <c r="Y46" s="2" t="e">
        <f>((O46*F46)+Q46+R46+S46+T46+U46)/G46+W46</f>
        <v>#DIV/0!</v>
      </c>
      <c r="Z46" s="3" t="e">
        <f>Y46*G46</f>
        <v>#DIV/0!</v>
      </c>
      <c r="AA46" s="34"/>
      <c r="AB46" s="3"/>
      <c r="AC46" s="35"/>
    </row>
    <row r="47" spans="1:32" x14ac:dyDescent="0.25">
      <c r="A47" s="169"/>
      <c r="B47" s="27" t="s">
        <v>30</v>
      </c>
      <c r="C47" s="28" t="s">
        <v>40</v>
      </c>
      <c r="D47" s="28" t="s">
        <v>40</v>
      </c>
      <c r="E47" t="s">
        <v>37</v>
      </c>
      <c r="F47" s="29">
        <v>19000</v>
      </c>
      <c r="G47" s="36">
        <v>19000</v>
      </c>
      <c r="H47" s="30">
        <f>G47-F47</f>
        <v>0</v>
      </c>
      <c r="I47" s="28" t="s">
        <v>2920</v>
      </c>
      <c r="J47" s="37"/>
      <c r="K47" s="31">
        <v>43572</v>
      </c>
      <c r="L47" s="31">
        <v>43573</v>
      </c>
      <c r="M47" s="28" t="s">
        <v>41</v>
      </c>
      <c r="N47" s="28" t="s">
        <v>2912</v>
      </c>
      <c r="O47" s="2"/>
      <c r="P47" s="32"/>
      <c r="Q47" s="2">
        <v>26000</v>
      </c>
      <c r="R47" s="38">
        <f>7000+(F47/0.4536*S47*P47*0.2)</f>
        <v>7000</v>
      </c>
      <c r="S47" s="39">
        <v>19.5</v>
      </c>
      <c r="T47" s="33">
        <f>X47*F47*0.005</f>
        <v>176.4</v>
      </c>
      <c r="V47" s="2">
        <v>0.12</v>
      </c>
      <c r="W47" s="2">
        <v>0.3</v>
      </c>
      <c r="X47" s="2">
        <f>IF(O47&gt;0,O47,((P47*2.2046*S47)+(Q47+R47)/G47)+V47)</f>
        <v>1.8568421052631581</v>
      </c>
      <c r="Y47" s="2">
        <f>IF(O47&gt;0,O47,((P47*2.2046*S47)+(Q47+R47+T47)/G47)+V47+W47)</f>
        <v>2.1661263157894735</v>
      </c>
      <c r="Z47" s="3">
        <f>Y47*F47</f>
        <v>41156.399999999994</v>
      </c>
      <c r="AA47" s="34"/>
      <c r="AB47" s="3"/>
      <c r="AC47" s="35"/>
    </row>
    <row r="48" spans="1:32" x14ac:dyDescent="0.25">
      <c r="A48" s="169"/>
      <c r="B48" s="27" t="s">
        <v>26</v>
      </c>
      <c r="C48" t="s">
        <v>43</v>
      </c>
      <c r="D48" s="28" t="s">
        <v>44</v>
      </c>
      <c r="E48">
        <v>200</v>
      </c>
      <c r="F48" s="29"/>
      <c r="G48" s="30"/>
      <c r="H48" s="30">
        <f t="shared" ref="H48:H49" si="30">G48-F48</f>
        <v>0</v>
      </c>
      <c r="K48" s="31"/>
      <c r="L48" s="31">
        <v>43573</v>
      </c>
      <c r="M48" s="28" t="s">
        <v>41</v>
      </c>
      <c r="O48" s="2"/>
      <c r="P48" s="32"/>
      <c r="Q48" s="2">
        <v>21300</v>
      </c>
      <c r="R48" s="2">
        <f t="shared" ref="R48:R49" si="31">75.45*E48</f>
        <v>15090</v>
      </c>
      <c r="S48" s="33">
        <f>-38*E48</f>
        <v>-7600</v>
      </c>
      <c r="T48" s="33" t="e">
        <f>X48*F48*0.0045</f>
        <v>#DIV/0!</v>
      </c>
      <c r="U48" s="2">
        <f>E48*5</f>
        <v>1000</v>
      </c>
      <c r="W48" s="2">
        <v>0.3</v>
      </c>
      <c r="X48" s="2" t="e">
        <f t="shared" ref="X48" si="32">((O48*F48)+Q48+R48+S48+U48)/G48</f>
        <v>#DIV/0!</v>
      </c>
      <c r="Y48" s="2" t="e">
        <f>((O48*F48)+Q48+R48+S48+T48+U48)/G48+W48</f>
        <v>#DIV/0!</v>
      </c>
      <c r="Z48" s="3" t="e">
        <f>Y48*G48</f>
        <v>#DIV/0!</v>
      </c>
      <c r="AA48" s="34"/>
      <c r="AB48" s="3"/>
      <c r="AC48" s="35"/>
    </row>
    <row r="49" spans="1:32" x14ac:dyDescent="0.25">
      <c r="A49" s="169"/>
      <c r="B49" s="27" t="s">
        <v>26</v>
      </c>
      <c r="C49" t="s">
        <v>43</v>
      </c>
      <c r="D49" s="28" t="s">
        <v>44</v>
      </c>
      <c r="E49">
        <v>130</v>
      </c>
      <c r="F49" s="29"/>
      <c r="G49" s="30"/>
      <c r="H49" s="30">
        <f t="shared" si="30"/>
        <v>0</v>
      </c>
      <c r="K49" s="31"/>
      <c r="L49" s="31">
        <v>43573</v>
      </c>
      <c r="M49" s="28" t="s">
        <v>41</v>
      </c>
      <c r="O49" s="2"/>
      <c r="P49" s="32"/>
      <c r="Q49" s="2">
        <v>16900</v>
      </c>
      <c r="R49" s="2">
        <f t="shared" si="31"/>
        <v>9808.5</v>
      </c>
      <c r="S49" s="33">
        <f>-38*E49</f>
        <v>-4940</v>
      </c>
      <c r="T49" s="33" t="e">
        <f>X49*F49*0.0045</f>
        <v>#DIV/0!</v>
      </c>
      <c r="U49" s="2">
        <f>E49*5</f>
        <v>650</v>
      </c>
      <c r="W49" s="2">
        <v>0.3</v>
      </c>
      <c r="X49" s="2" t="e">
        <f>((O49*F49)+Q49+R49+S49+U49)/G49</f>
        <v>#DIV/0!</v>
      </c>
      <c r="Y49" s="2" t="e">
        <f>((O49*F49)+Q49+R49+S49+T49+U49)/G49+W49</f>
        <v>#DIV/0!</v>
      </c>
      <c r="Z49" s="3" t="e">
        <f>Y49*G49</f>
        <v>#DIV/0!</v>
      </c>
      <c r="AA49" s="34"/>
      <c r="AB49" s="3"/>
      <c r="AC49" s="35"/>
    </row>
    <row r="50" spans="1:32" x14ac:dyDescent="0.25">
      <c r="A50" s="169"/>
      <c r="B50" s="27"/>
      <c r="D50" s="28"/>
      <c r="F50" s="29"/>
      <c r="G50" s="30"/>
      <c r="H50" s="30"/>
      <c r="K50" s="31"/>
      <c r="L50" s="31">
        <v>43574</v>
      </c>
      <c r="M50" s="28" t="s">
        <v>45</v>
      </c>
      <c r="O50" s="2"/>
      <c r="P50" s="32"/>
      <c r="Q50" s="2"/>
      <c r="R50" s="2"/>
      <c r="S50" s="33"/>
      <c r="T50" s="33"/>
      <c r="U50" s="2"/>
      <c r="W50" s="2"/>
      <c r="X50" s="2"/>
      <c r="Y50" s="2"/>
      <c r="Z50" s="3"/>
      <c r="AA50" s="34"/>
      <c r="AB50" s="3"/>
      <c r="AC50" s="35"/>
    </row>
    <row r="51" spans="1:32" x14ac:dyDescent="0.25">
      <c r="A51" s="169"/>
      <c r="B51" s="27" t="s">
        <v>30</v>
      </c>
      <c r="C51" t="s">
        <v>40</v>
      </c>
      <c r="D51" s="28" t="s">
        <v>40</v>
      </c>
      <c r="E51" t="s">
        <v>37</v>
      </c>
      <c r="F51" s="29">
        <v>19000</v>
      </c>
      <c r="G51" s="36">
        <v>19000</v>
      </c>
      <c r="H51" s="30">
        <f t="shared" ref="H51" si="33">G51-F51</f>
        <v>0</v>
      </c>
      <c r="I51" s="28" t="s">
        <v>2921</v>
      </c>
      <c r="J51" s="37"/>
      <c r="K51" s="31">
        <v>43573</v>
      </c>
      <c r="L51" s="31">
        <v>43575</v>
      </c>
      <c r="M51" s="28" t="s">
        <v>46</v>
      </c>
      <c r="N51" s="28" t="s">
        <v>2913</v>
      </c>
      <c r="O51" s="2"/>
      <c r="P51" s="32"/>
      <c r="Q51" s="2">
        <v>26000</v>
      </c>
      <c r="R51" s="38">
        <f>7000+(F51/0.4536*S51*P51*0.2)</f>
        <v>7000</v>
      </c>
      <c r="S51" s="39">
        <v>20</v>
      </c>
      <c r="T51" s="33">
        <f>X51*F51*0.005</f>
        <v>176.4</v>
      </c>
      <c r="V51" s="2">
        <v>0.12</v>
      </c>
      <c r="W51" s="2">
        <v>0.3</v>
      </c>
      <c r="X51" s="2">
        <f>IF(O51&gt;0,O51,((P51*2.2046*S51)+(Q51+R51)/G51)+V51)</f>
        <v>1.8568421052631581</v>
      </c>
      <c r="Y51" s="2">
        <f>IF(O51&gt;0,O51,((P51*2.2046*S51)+(Q51+R51+T51)/G51)+V51+W51)</f>
        <v>2.1661263157894735</v>
      </c>
      <c r="Z51" s="3">
        <f>Y51*F51</f>
        <v>41156.399999999994</v>
      </c>
      <c r="AA51" s="34"/>
      <c r="AB51" s="3"/>
      <c r="AC51" s="35"/>
    </row>
    <row r="52" spans="1:32" ht="15.75" thickBot="1" x14ac:dyDescent="0.3">
      <c r="A52" s="170"/>
      <c r="B52" s="41"/>
      <c r="C52" s="4"/>
      <c r="D52" s="4"/>
      <c r="E52" s="4"/>
      <c r="F52" s="42"/>
      <c r="G52" s="42"/>
      <c r="H52" s="42"/>
      <c r="I52" s="7"/>
      <c r="J52" s="4"/>
      <c r="K52" s="8"/>
      <c r="L52" s="8"/>
      <c r="M52" s="4"/>
      <c r="N52" s="4"/>
      <c r="O52" s="9"/>
      <c r="P52" s="10"/>
      <c r="Q52" s="9"/>
      <c r="R52" s="9"/>
      <c r="S52" s="9"/>
      <c r="T52" s="9"/>
      <c r="U52" s="9"/>
      <c r="V52" s="9"/>
      <c r="W52" s="9"/>
      <c r="X52" s="9"/>
      <c r="Y52" s="9"/>
      <c r="Z52" s="13"/>
      <c r="AA52" s="43"/>
      <c r="AB52" s="3"/>
      <c r="AC52" s="35"/>
    </row>
    <row r="53" spans="1:32" x14ac:dyDescent="0.25">
      <c r="A53" s="171"/>
      <c r="B53" s="14" t="s">
        <v>26</v>
      </c>
      <c r="C53" s="14" t="s">
        <v>27</v>
      </c>
      <c r="D53" s="15"/>
      <c r="E53" s="14">
        <v>200</v>
      </c>
      <c r="F53" s="16"/>
      <c r="G53" s="17"/>
      <c r="H53" s="30">
        <f t="shared" ref="H53:H56" si="34">G53-F53</f>
        <v>0</v>
      </c>
      <c r="I53" s="19"/>
      <c r="J53" s="14"/>
      <c r="K53" s="20"/>
      <c r="L53" s="20">
        <v>43576</v>
      </c>
      <c r="M53" s="15" t="s">
        <v>28</v>
      </c>
      <c r="N53" s="14"/>
      <c r="O53" s="21"/>
      <c r="P53" s="22"/>
      <c r="Q53" s="21">
        <v>21300</v>
      </c>
      <c r="R53" s="2">
        <f t="shared" ref="R53:R55" si="35">75.45*E53</f>
        <v>15090</v>
      </c>
      <c r="S53" s="21">
        <f>-38*E53</f>
        <v>-7600</v>
      </c>
      <c r="T53" s="23" t="e">
        <f>X53*F53*0.0045</f>
        <v>#DIV/0!</v>
      </c>
      <c r="U53" s="21">
        <f>E53*5</f>
        <v>1000</v>
      </c>
      <c r="V53" s="14"/>
      <c r="W53" s="21">
        <v>0.3</v>
      </c>
      <c r="X53" s="21" t="e">
        <f>((O53*F53)+Q53+R53+S53+U53)/G53</f>
        <v>#DIV/0!</v>
      </c>
      <c r="Y53" s="24" t="e">
        <f>((O53*F53)+Q53+R53+S53+T53+U53)/G53+W53</f>
        <v>#DIV/0!</v>
      </c>
      <c r="Z53" s="24" t="e">
        <f>Y53*G53</f>
        <v>#DIV/0!</v>
      </c>
      <c r="AA53" s="25"/>
      <c r="AB53" s="3"/>
      <c r="AC53" s="3"/>
    </row>
    <row r="54" spans="1:32" x14ac:dyDescent="0.25">
      <c r="A54" s="172"/>
      <c r="B54" s="27" t="s">
        <v>26</v>
      </c>
      <c r="C54" t="s">
        <v>27</v>
      </c>
      <c r="D54" s="28"/>
      <c r="E54">
        <v>130</v>
      </c>
      <c r="F54" s="29"/>
      <c r="G54" s="30"/>
      <c r="H54" s="30">
        <f t="shared" si="34"/>
        <v>0</v>
      </c>
      <c r="I54" s="28"/>
      <c r="K54" s="31"/>
      <c r="L54" s="31">
        <v>43576</v>
      </c>
      <c r="M54" s="28" t="s">
        <v>28</v>
      </c>
      <c r="O54" s="2"/>
      <c r="P54" s="32"/>
      <c r="Q54" s="2">
        <v>16900</v>
      </c>
      <c r="R54" s="2">
        <f t="shared" si="35"/>
        <v>9808.5</v>
      </c>
      <c r="S54" s="33">
        <f>-38*E54</f>
        <v>-4940</v>
      </c>
      <c r="T54" s="33" t="e">
        <f>X54*F54*0.0045</f>
        <v>#DIV/0!</v>
      </c>
      <c r="U54" s="2">
        <f>E54*5</f>
        <v>650</v>
      </c>
      <c r="W54" s="2">
        <v>0.3</v>
      </c>
      <c r="X54" s="2" t="e">
        <f>((O54*F54)+Q54+R54+S54+U54)/G54</f>
        <v>#DIV/0!</v>
      </c>
      <c r="Y54" s="2" t="e">
        <f>((O54*F54)+Q54+R54+S54+T54+U54)/G54+W54</f>
        <v>#DIV/0!</v>
      </c>
      <c r="Z54" s="3" t="e">
        <f>Y54*G54</f>
        <v>#DIV/0!</v>
      </c>
      <c r="AA54" s="34"/>
      <c r="AB54" s="3"/>
      <c r="AC54" s="35"/>
    </row>
    <row r="55" spans="1:32" x14ac:dyDescent="0.25">
      <c r="A55" s="172"/>
      <c r="B55" s="27" t="s">
        <v>26</v>
      </c>
      <c r="C55" t="s">
        <v>27</v>
      </c>
      <c r="D55" s="28"/>
      <c r="E55">
        <v>250</v>
      </c>
      <c r="F55" s="29"/>
      <c r="G55" s="30"/>
      <c r="H55" s="30">
        <f t="shared" si="34"/>
        <v>0</v>
      </c>
      <c r="I55" s="28"/>
      <c r="K55" s="31"/>
      <c r="L55" s="31">
        <v>43577</v>
      </c>
      <c r="M55" s="28" t="s">
        <v>29</v>
      </c>
      <c r="O55" s="2"/>
      <c r="P55" s="32"/>
      <c r="Q55" s="2">
        <v>21300</v>
      </c>
      <c r="R55" s="2">
        <f t="shared" si="35"/>
        <v>18862.5</v>
      </c>
      <c r="S55" s="33">
        <f>-38*E55</f>
        <v>-9500</v>
      </c>
      <c r="T55" s="33" t="e">
        <f>X55*F55*0.0045</f>
        <v>#DIV/0!</v>
      </c>
      <c r="U55" s="2">
        <f>E55*5</f>
        <v>1250</v>
      </c>
      <c r="W55" s="2">
        <v>0.3</v>
      </c>
      <c r="X55" s="2" t="e">
        <f>((O55*F55)+Q55+R55+S55+U55)/G55</f>
        <v>#DIV/0!</v>
      </c>
      <c r="Y55" s="2" t="e">
        <f>((O55*F55)+Q55+R55+S55+T55+U55)/G55+W55</f>
        <v>#DIV/0!</v>
      </c>
      <c r="Z55" s="3" t="e">
        <f>Y55*G55</f>
        <v>#DIV/0!</v>
      </c>
      <c r="AA55" s="34"/>
      <c r="AB55" s="3"/>
      <c r="AC55" s="35"/>
    </row>
    <row r="56" spans="1:32" x14ac:dyDescent="0.25">
      <c r="A56" s="172"/>
      <c r="B56" s="27" t="s">
        <v>30</v>
      </c>
      <c r="C56" s="28" t="s">
        <v>1790</v>
      </c>
      <c r="D56" s="28" t="s">
        <v>1790</v>
      </c>
      <c r="E56" t="s">
        <v>32</v>
      </c>
      <c r="F56" s="29">
        <v>18500</v>
      </c>
      <c r="G56" s="36">
        <v>18500</v>
      </c>
      <c r="H56" s="30">
        <f t="shared" si="34"/>
        <v>0</v>
      </c>
      <c r="I56" s="28" t="s">
        <v>2928</v>
      </c>
      <c r="J56" s="37"/>
      <c r="K56" s="31">
        <v>43577</v>
      </c>
      <c r="L56" s="31">
        <v>43578</v>
      </c>
      <c r="M56" s="28" t="s">
        <v>48</v>
      </c>
      <c r="N56" s="28" t="s">
        <v>2922</v>
      </c>
      <c r="O56" s="2"/>
      <c r="P56" s="32"/>
      <c r="Q56" s="2">
        <v>26000</v>
      </c>
      <c r="R56" s="38">
        <f>7000+(F56/0.4536*S56*P56*0.2)</f>
        <v>7000</v>
      </c>
      <c r="S56" s="39">
        <v>20</v>
      </c>
      <c r="T56" s="33">
        <f t="shared" ref="T56" si="36">X56*F56*0.005</f>
        <v>176.1</v>
      </c>
      <c r="V56" s="2">
        <v>0.12</v>
      </c>
      <c r="W56" s="2">
        <v>0.3</v>
      </c>
      <c r="X56" s="2">
        <f>IF(O56&gt;0,O56,((P56*2.2046*S56)+(Q56+R56)/G56)+V56)</f>
        <v>1.9037837837837839</v>
      </c>
      <c r="Y56" s="2">
        <f>IF(O56&gt;0,O56,((P56*2.2046*S56)+(Q56+R56+T56)/G56)+V56+W56)</f>
        <v>2.2133027027027024</v>
      </c>
      <c r="Z56" s="3">
        <f>Y56*F56</f>
        <v>40946.099999999991</v>
      </c>
      <c r="AA56" s="34"/>
      <c r="AB56" s="3"/>
      <c r="AC56" s="35"/>
    </row>
    <row r="57" spans="1:32" x14ac:dyDescent="0.25">
      <c r="A57" s="172"/>
      <c r="B57" s="27" t="s">
        <v>30</v>
      </c>
      <c r="C57" s="28" t="s">
        <v>35</v>
      </c>
      <c r="D57" s="28" t="s">
        <v>36</v>
      </c>
      <c r="E57" t="s">
        <v>37</v>
      </c>
      <c r="F57" s="29">
        <v>18500</v>
      </c>
      <c r="G57" s="36">
        <v>18500</v>
      </c>
      <c r="H57" s="30">
        <f>G57-F57</f>
        <v>0</v>
      </c>
      <c r="I57" t="s">
        <v>2929</v>
      </c>
      <c r="J57" s="37"/>
      <c r="K57" s="31">
        <v>43577</v>
      </c>
      <c r="L57" s="31">
        <v>43578</v>
      </c>
      <c r="M57" s="28" t="s">
        <v>48</v>
      </c>
      <c r="N57" s="28" t="s">
        <v>2923</v>
      </c>
      <c r="O57" s="2"/>
      <c r="P57" s="32"/>
      <c r="Q57" s="2">
        <v>26000</v>
      </c>
      <c r="R57" s="38">
        <f>7000+(F57/0.4536*S57*P57*0.2)</f>
        <v>7000</v>
      </c>
      <c r="S57" s="39">
        <v>20</v>
      </c>
      <c r="T57" s="33">
        <f>X57*F57*0.005</f>
        <v>176.1</v>
      </c>
      <c r="V57" s="2">
        <v>0.12</v>
      </c>
      <c r="W57" s="2">
        <v>0.3</v>
      </c>
      <c r="X57" s="2">
        <f>IF(O57&gt;0,O57,((P57*2.2046*S57)+(Q57+R57)/G57)+V57)</f>
        <v>1.9037837837837839</v>
      </c>
      <c r="Y57" s="2">
        <f>IF(O57&gt;0,O57,((P57*2.2046*S57)+(Q57+R57+T57)/G57)+V57+W57)</f>
        <v>2.2133027027027024</v>
      </c>
      <c r="Z57" s="3">
        <f>Y57*F57</f>
        <v>40946.099999999991</v>
      </c>
      <c r="AA57" s="34"/>
      <c r="AB57" s="3"/>
      <c r="AC57" s="35"/>
    </row>
    <row r="58" spans="1:32" x14ac:dyDescent="0.25">
      <c r="A58" s="172"/>
      <c r="B58" s="27" t="s">
        <v>26</v>
      </c>
      <c r="C58" t="s">
        <v>27</v>
      </c>
      <c r="D58" s="28"/>
      <c r="E58">
        <v>250</v>
      </c>
      <c r="F58" s="29"/>
      <c r="G58" s="30"/>
      <c r="H58" s="30">
        <f>G58-F58</f>
        <v>0</v>
      </c>
      <c r="K58" s="31"/>
      <c r="L58" s="31">
        <v>43578</v>
      </c>
      <c r="M58" s="28" t="s">
        <v>48</v>
      </c>
      <c r="O58" s="2"/>
      <c r="P58" s="32"/>
      <c r="Q58" s="2">
        <v>21300</v>
      </c>
      <c r="R58" s="2">
        <f>75.45*E58</f>
        <v>18862.5</v>
      </c>
      <c r="S58" s="33">
        <f>-38*E58</f>
        <v>-9500</v>
      </c>
      <c r="T58" s="33" t="e">
        <f>X58*F58*0.005</f>
        <v>#DIV/0!</v>
      </c>
      <c r="U58" s="2">
        <f>E58*5</f>
        <v>1250</v>
      </c>
      <c r="W58" s="2">
        <v>0.3</v>
      </c>
      <c r="X58" s="2" t="e">
        <f>((O58*F58)+Q58+R58+S58+U58)/G58</f>
        <v>#DIV/0!</v>
      </c>
      <c r="Y58" s="2" t="e">
        <f>((O58*F58)+Q58+R58+S58+T58+U58)/G58+W58</f>
        <v>#DIV/0!</v>
      </c>
      <c r="Z58" s="3" t="e">
        <f>Y58*G58</f>
        <v>#DIV/0!</v>
      </c>
      <c r="AA58" s="34"/>
      <c r="AB58" s="3"/>
      <c r="AC58" s="35"/>
      <c r="AF58" s="30"/>
    </row>
    <row r="59" spans="1:32" x14ac:dyDescent="0.25">
      <c r="A59" s="172"/>
      <c r="B59" s="27" t="s">
        <v>30</v>
      </c>
      <c r="C59" s="28" t="s">
        <v>31</v>
      </c>
      <c r="D59" s="28" t="s">
        <v>31</v>
      </c>
      <c r="E59" t="s">
        <v>32</v>
      </c>
      <c r="F59" s="29">
        <v>18500</v>
      </c>
      <c r="G59" s="36">
        <v>18500</v>
      </c>
      <c r="H59" s="30">
        <f t="shared" ref="H59:H60" si="37">G59-F59</f>
        <v>0</v>
      </c>
      <c r="I59" s="28" t="s">
        <v>2930</v>
      </c>
      <c r="J59" s="37"/>
      <c r="K59" s="31">
        <v>43578</v>
      </c>
      <c r="L59" s="31">
        <v>43579</v>
      </c>
      <c r="M59" s="28" t="s">
        <v>33</v>
      </c>
      <c r="N59" s="28" t="s">
        <v>2923</v>
      </c>
      <c r="O59" s="2"/>
      <c r="P59" s="32"/>
      <c r="Q59" s="2">
        <v>26000</v>
      </c>
      <c r="R59" s="38">
        <f>7000+(F59/0.4536*S59*P59*0.2)</f>
        <v>7000</v>
      </c>
      <c r="S59" s="39">
        <v>20</v>
      </c>
      <c r="T59" s="33">
        <f t="shared" ref="T59:T60" si="38">X59*F59*0.005</f>
        <v>176.1</v>
      </c>
      <c r="V59" s="2">
        <v>0.12</v>
      </c>
      <c r="W59" s="2">
        <v>0.3</v>
      </c>
      <c r="X59" s="2">
        <f>IF(O59&gt;0,O59,((P59*2.2046*S59)+(Q59+R59)/G59)+V59)</f>
        <v>1.9037837837837839</v>
      </c>
      <c r="Y59" s="2">
        <f>IF(O59&gt;0,O59,((P59*2.2046*S59)+(Q59+R59+T59)/G59)+V59+W59)</f>
        <v>2.2133027027027024</v>
      </c>
      <c r="Z59" s="3">
        <f>Y59*F59</f>
        <v>40946.099999999991</v>
      </c>
      <c r="AA59" s="34"/>
      <c r="AB59" s="3"/>
      <c r="AC59" s="35"/>
    </row>
    <row r="60" spans="1:32" x14ac:dyDescent="0.25">
      <c r="A60" s="172"/>
      <c r="B60" s="27" t="s">
        <v>26</v>
      </c>
      <c r="C60" t="s">
        <v>27</v>
      </c>
      <c r="D60" s="28"/>
      <c r="E60">
        <v>220</v>
      </c>
      <c r="F60" s="29"/>
      <c r="G60" s="30"/>
      <c r="H60" s="30">
        <f t="shared" si="37"/>
        <v>0</v>
      </c>
      <c r="K60" s="31"/>
      <c r="L60" s="31">
        <v>43579</v>
      </c>
      <c r="M60" s="28" t="s">
        <v>33</v>
      </c>
      <c r="O60" s="2"/>
      <c r="P60" s="32"/>
      <c r="Q60" s="2">
        <v>21300</v>
      </c>
      <c r="R60" s="2">
        <f>75.45*E60</f>
        <v>16599</v>
      </c>
      <c r="S60" s="33">
        <f>-38*E60</f>
        <v>-8360</v>
      </c>
      <c r="T60" s="33" t="e">
        <f t="shared" si="38"/>
        <v>#DIV/0!</v>
      </c>
      <c r="U60" s="2">
        <f>E60*5</f>
        <v>1100</v>
      </c>
      <c r="W60" s="2">
        <v>0.3</v>
      </c>
      <c r="X60" s="2" t="e">
        <f t="shared" ref="X60" si="39">((O60*F60)+Q60+R60+S60+U60)/G60</f>
        <v>#DIV/0!</v>
      </c>
      <c r="Y60" s="2" t="e">
        <f>((O60*F60)+Q60+R60+S60+T60+U60)/G60+W60</f>
        <v>#DIV/0!</v>
      </c>
      <c r="Z60" s="3" t="e">
        <f>Y60*G60</f>
        <v>#DIV/0!</v>
      </c>
      <c r="AA60" s="34"/>
      <c r="AB60" s="3"/>
      <c r="AC60" s="35"/>
    </row>
    <row r="61" spans="1:32" x14ac:dyDescent="0.25">
      <c r="A61" s="172"/>
      <c r="B61" s="27" t="s">
        <v>30</v>
      </c>
      <c r="C61" s="28" t="s">
        <v>40</v>
      </c>
      <c r="D61" s="28" t="s">
        <v>40</v>
      </c>
      <c r="E61" t="s">
        <v>37</v>
      </c>
      <c r="F61" s="29">
        <v>19000</v>
      </c>
      <c r="G61" s="36">
        <v>19000</v>
      </c>
      <c r="H61" s="30">
        <f>G61-F61</f>
        <v>0</v>
      </c>
      <c r="I61" t="s">
        <v>2931</v>
      </c>
      <c r="J61" s="37"/>
      <c r="K61" s="31">
        <v>43579</v>
      </c>
      <c r="L61" s="31">
        <v>43580</v>
      </c>
      <c r="M61" s="28" t="s">
        <v>41</v>
      </c>
      <c r="N61" s="28" t="s">
        <v>2924</v>
      </c>
      <c r="O61" s="2"/>
      <c r="P61" s="32"/>
      <c r="Q61" s="2">
        <v>26000</v>
      </c>
      <c r="R61" s="38">
        <f>7000+(F61/0.4536*S61*P61*0.2)</f>
        <v>7000</v>
      </c>
      <c r="S61" s="39">
        <v>19.5</v>
      </c>
      <c r="T61" s="33">
        <f>X61*F61*0.005</f>
        <v>176.4</v>
      </c>
      <c r="V61" s="2">
        <v>0.12</v>
      </c>
      <c r="W61" s="2">
        <v>0.3</v>
      </c>
      <c r="X61" s="2">
        <f>IF(O61&gt;0,O61,((P61*2.2046*S61)+(Q61+R61)/G61)+V61)</f>
        <v>1.8568421052631581</v>
      </c>
      <c r="Y61" s="2">
        <f>IF(O61&gt;0,O61,((P61*2.2046*S61)+(Q61+R61+T61)/G61)+V61+W61)</f>
        <v>2.1661263157894735</v>
      </c>
      <c r="Z61" s="3">
        <f>Y61*F61</f>
        <v>41156.399999999994</v>
      </c>
      <c r="AA61" s="34"/>
      <c r="AB61" s="3"/>
      <c r="AC61" s="35"/>
    </row>
    <row r="62" spans="1:32" x14ac:dyDescent="0.25">
      <c r="A62" s="172"/>
      <c r="B62" s="27" t="s">
        <v>26</v>
      </c>
      <c r="C62" t="s">
        <v>27</v>
      </c>
      <c r="D62" s="28"/>
      <c r="E62">
        <v>200</v>
      </c>
      <c r="F62" s="29"/>
      <c r="G62" s="30"/>
      <c r="H62" s="30">
        <f t="shared" ref="H62:H63" si="40">G62-F62</f>
        <v>0</v>
      </c>
      <c r="K62" s="31"/>
      <c r="L62" s="31">
        <v>43580</v>
      </c>
      <c r="M62" s="28" t="s">
        <v>41</v>
      </c>
      <c r="O62" s="2"/>
      <c r="P62" s="32"/>
      <c r="Q62" s="2">
        <v>21300</v>
      </c>
      <c r="R62" s="2">
        <f t="shared" ref="R62:R63" si="41">75.45*E62</f>
        <v>15090</v>
      </c>
      <c r="S62" s="33">
        <f>-38*E62</f>
        <v>-7600</v>
      </c>
      <c r="T62" s="33" t="e">
        <f>X62*F62*0.0045</f>
        <v>#DIV/0!</v>
      </c>
      <c r="U62" s="2">
        <f>E62*5</f>
        <v>1000</v>
      </c>
      <c r="W62" s="2">
        <v>0.3</v>
      </c>
      <c r="X62" s="2" t="e">
        <f t="shared" ref="X62" si="42">((O62*F62)+Q62+R62+S62+U62)/G62</f>
        <v>#DIV/0!</v>
      </c>
      <c r="Y62" s="2" t="e">
        <f>((O62*F62)+Q62+R62+S62+T62+U62)/G62+W62</f>
        <v>#DIV/0!</v>
      </c>
      <c r="Z62" s="3" t="e">
        <f>Y62*G62</f>
        <v>#DIV/0!</v>
      </c>
      <c r="AA62" s="34"/>
      <c r="AB62" s="3"/>
      <c r="AC62" s="35"/>
    </row>
    <row r="63" spans="1:32" x14ac:dyDescent="0.25">
      <c r="A63" s="172"/>
      <c r="B63" s="27" t="s">
        <v>26</v>
      </c>
      <c r="C63" t="s">
        <v>27</v>
      </c>
      <c r="D63" s="28"/>
      <c r="E63">
        <v>130</v>
      </c>
      <c r="F63" s="29"/>
      <c r="G63" s="30"/>
      <c r="H63" s="30">
        <f t="shared" si="40"/>
        <v>0</v>
      </c>
      <c r="K63" s="31"/>
      <c r="L63" s="31">
        <v>43580</v>
      </c>
      <c r="M63" s="28" t="s">
        <v>41</v>
      </c>
      <c r="O63" s="2"/>
      <c r="P63" s="32"/>
      <c r="Q63" s="2">
        <v>16900</v>
      </c>
      <c r="R63" s="2">
        <f t="shared" si="41"/>
        <v>9808.5</v>
      </c>
      <c r="S63" s="33">
        <f>-38*E63</f>
        <v>-4940</v>
      </c>
      <c r="T63" s="33" t="e">
        <f>X63*F63*0.0045</f>
        <v>#DIV/0!</v>
      </c>
      <c r="U63" s="2">
        <f>E63*5</f>
        <v>650</v>
      </c>
      <c r="W63" s="2">
        <v>0.3</v>
      </c>
      <c r="X63" s="2" t="e">
        <f>((O63*F63)+Q63+R63+S63+U63)/G63</f>
        <v>#DIV/0!</v>
      </c>
      <c r="Y63" s="2" t="e">
        <f>((O63*F63)+Q63+R63+S63+T63+U63)/G63+W63</f>
        <v>#DIV/0!</v>
      </c>
      <c r="Z63" s="3" t="e">
        <f>Y63*G63</f>
        <v>#DIV/0!</v>
      </c>
      <c r="AA63" s="34"/>
      <c r="AB63" s="3"/>
      <c r="AC63" s="35"/>
    </row>
    <row r="64" spans="1:32" x14ac:dyDescent="0.25">
      <c r="A64" s="172"/>
      <c r="B64" s="27" t="s">
        <v>30</v>
      </c>
      <c r="C64" s="28" t="s">
        <v>1790</v>
      </c>
      <c r="D64" s="28" t="s">
        <v>1790</v>
      </c>
      <c r="E64" t="s">
        <v>32</v>
      </c>
      <c r="F64" s="29">
        <v>18500</v>
      </c>
      <c r="G64" s="36">
        <v>18500</v>
      </c>
      <c r="H64" s="30">
        <f>G64-F64</f>
        <v>0</v>
      </c>
      <c r="I64" s="28" t="s">
        <v>2932</v>
      </c>
      <c r="J64" s="37"/>
      <c r="K64" s="31">
        <v>43580</v>
      </c>
      <c r="L64" s="31">
        <v>43581</v>
      </c>
      <c r="M64" s="28" t="s">
        <v>45</v>
      </c>
      <c r="N64" s="28" t="s">
        <v>2925</v>
      </c>
      <c r="O64" s="2"/>
      <c r="P64" s="32"/>
      <c r="Q64" s="2">
        <v>26000</v>
      </c>
      <c r="R64" s="38">
        <f>7000+(F64/0.4536*S64*P64*0.2)</f>
        <v>7000</v>
      </c>
      <c r="S64" s="39">
        <v>20</v>
      </c>
      <c r="T64" s="33">
        <f>X64*F64*0.005</f>
        <v>176.1</v>
      </c>
      <c r="V64" s="2">
        <v>0.12</v>
      </c>
      <c r="W64" s="2">
        <v>0.3</v>
      </c>
      <c r="X64" s="2">
        <f>IF(O64&gt;0,O64,((P64*2.2046*S64)+(Q64+R64)/G64)+V64)</f>
        <v>1.9037837837837839</v>
      </c>
      <c r="Y64" s="2">
        <f>IF(O64&gt;0,O64,((P64*2.2046*S64)+(Q64+R64+T64)/G64)+V64+W64)</f>
        <v>2.2133027027027024</v>
      </c>
      <c r="Z64" s="3">
        <f>Y64*F64</f>
        <v>40946.099999999991</v>
      </c>
      <c r="AA64" s="34"/>
      <c r="AB64" s="3"/>
      <c r="AC64" s="35"/>
    </row>
    <row r="65" spans="1:32" x14ac:dyDescent="0.25">
      <c r="A65" s="172"/>
      <c r="B65" s="27" t="s">
        <v>30</v>
      </c>
      <c r="C65" s="28" t="s">
        <v>31</v>
      </c>
      <c r="D65" s="28" t="s">
        <v>31</v>
      </c>
      <c r="E65" t="s">
        <v>32</v>
      </c>
      <c r="F65" s="29">
        <v>18500</v>
      </c>
      <c r="G65" s="36">
        <v>18500</v>
      </c>
      <c r="H65" s="30">
        <f>G65-F65</f>
        <v>0</v>
      </c>
      <c r="I65" t="s">
        <v>2933</v>
      </c>
      <c r="J65" s="37"/>
      <c r="K65" s="31">
        <v>43580</v>
      </c>
      <c r="L65" s="31">
        <v>43581</v>
      </c>
      <c r="M65" s="28" t="s">
        <v>45</v>
      </c>
      <c r="N65" s="28" t="s">
        <v>2926</v>
      </c>
      <c r="O65" s="2"/>
      <c r="P65" s="32"/>
      <c r="Q65" s="2">
        <v>26000</v>
      </c>
      <c r="R65" s="38">
        <f>7000+(F65/0.4536*S65*P65*0.2)</f>
        <v>7000</v>
      </c>
      <c r="S65" s="39">
        <v>20</v>
      </c>
      <c r="T65" s="33">
        <f>X65*F65*0.005</f>
        <v>176.1</v>
      </c>
      <c r="V65" s="2">
        <v>0.12</v>
      </c>
      <c r="W65" s="2">
        <v>0.3</v>
      </c>
      <c r="X65" s="2">
        <f>IF(O65&gt;0,O65,((P65*2.2046*S65)+(Q65+R65)/G65)+V65)</f>
        <v>1.9037837837837839</v>
      </c>
      <c r="Y65" s="2">
        <f>IF(O65&gt;0,O65,((P65*2.2046*S65)+(Q65+R65+T65)/G65)+V65+W65)</f>
        <v>2.2133027027027024</v>
      </c>
      <c r="Z65" s="3">
        <f>Y65*F65</f>
        <v>40946.099999999991</v>
      </c>
      <c r="AA65" s="34"/>
      <c r="AB65" s="3"/>
      <c r="AC65" s="35"/>
    </row>
    <row r="66" spans="1:32" x14ac:dyDescent="0.25">
      <c r="A66" s="172"/>
      <c r="B66" s="27" t="s">
        <v>26</v>
      </c>
      <c r="C66" t="s">
        <v>27</v>
      </c>
      <c r="D66" s="28" t="s">
        <v>44</v>
      </c>
      <c r="E66">
        <v>200</v>
      </c>
      <c r="F66" s="29"/>
      <c r="G66" s="30"/>
      <c r="H66" s="30">
        <f t="shared" ref="H66:H68" si="43">G66-F66</f>
        <v>0</v>
      </c>
      <c r="K66" s="31"/>
      <c r="L66" s="31">
        <v>43581</v>
      </c>
      <c r="M66" s="28" t="s">
        <v>45</v>
      </c>
      <c r="O66" s="2"/>
      <c r="P66" s="32"/>
      <c r="Q66" s="2">
        <v>21300</v>
      </c>
      <c r="R66" s="2">
        <f t="shared" ref="R66:R67" si="44">75.45*E66</f>
        <v>15090</v>
      </c>
      <c r="S66" s="33">
        <f>-38*E66</f>
        <v>-7600</v>
      </c>
      <c r="T66" s="33" t="e">
        <f>X66*F66*0.0045</f>
        <v>#DIV/0!</v>
      </c>
      <c r="U66" s="2">
        <f>E66*5</f>
        <v>1000</v>
      </c>
      <c r="W66" s="2">
        <v>0.3</v>
      </c>
      <c r="X66" s="2" t="e">
        <f>((O66*F66)+Q66+R66+S66+U66)/G66</f>
        <v>#DIV/0!</v>
      </c>
      <c r="Y66" s="2" t="e">
        <f>((O66*F66)+Q66+R66+S66+T66+U66)/G66+W66</f>
        <v>#DIV/0!</v>
      </c>
      <c r="Z66" s="3" t="e">
        <f>Y66*G66</f>
        <v>#DIV/0!</v>
      </c>
      <c r="AA66" s="34"/>
      <c r="AB66" s="3"/>
      <c r="AC66" s="35"/>
    </row>
    <row r="67" spans="1:32" x14ac:dyDescent="0.25">
      <c r="A67" s="172"/>
      <c r="B67" s="27" t="s">
        <v>26</v>
      </c>
      <c r="C67" t="s">
        <v>27</v>
      </c>
      <c r="D67" s="28"/>
      <c r="E67">
        <v>130</v>
      </c>
      <c r="F67" s="29"/>
      <c r="G67" s="30"/>
      <c r="H67" s="30">
        <f t="shared" si="43"/>
        <v>0</v>
      </c>
      <c r="I67" s="28"/>
      <c r="K67" s="31"/>
      <c r="L67" s="31">
        <v>43581</v>
      </c>
      <c r="M67" s="28" t="s">
        <v>45</v>
      </c>
      <c r="O67" s="2"/>
      <c r="P67" s="32"/>
      <c r="Q67" s="2">
        <v>16900</v>
      </c>
      <c r="R67" s="2">
        <f t="shared" si="44"/>
        <v>9808.5</v>
      </c>
      <c r="S67" s="33">
        <f>-38*E67</f>
        <v>-4940</v>
      </c>
      <c r="T67" s="33" t="e">
        <f>X67*F67*0.0045</f>
        <v>#DIV/0!</v>
      </c>
      <c r="U67" s="2">
        <f>E67*5</f>
        <v>650</v>
      </c>
      <c r="W67" s="2">
        <v>0.3</v>
      </c>
      <c r="X67" s="2" t="e">
        <f>((O67*F67)+Q67+R67+S67+U67)/G67</f>
        <v>#DIV/0!</v>
      </c>
      <c r="Y67" s="2" t="e">
        <f>((O67*F67)+Q67+R67+S67+T67+U67)/G67+W67</f>
        <v>#DIV/0!</v>
      </c>
      <c r="Z67" s="3" t="e">
        <f>Y67*G67</f>
        <v>#DIV/0!</v>
      </c>
      <c r="AA67" s="34"/>
      <c r="AB67" s="3"/>
      <c r="AC67" s="35"/>
    </row>
    <row r="68" spans="1:32" x14ac:dyDescent="0.25">
      <c r="A68" s="172"/>
      <c r="B68" s="27" t="s">
        <v>30</v>
      </c>
      <c r="C68" t="s">
        <v>40</v>
      </c>
      <c r="D68" s="28" t="s">
        <v>40</v>
      </c>
      <c r="E68" t="s">
        <v>37</v>
      </c>
      <c r="F68" s="29">
        <v>19000</v>
      </c>
      <c r="G68" s="36">
        <v>19000</v>
      </c>
      <c r="H68" s="30">
        <f t="shared" si="43"/>
        <v>0</v>
      </c>
      <c r="I68" s="28" t="s">
        <v>2934</v>
      </c>
      <c r="J68" s="37"/>
      <c r="K68" s="31">
        <v>43581</v>
      </c>
      <c r="L68" s="31">
        <v>43582</v>
      </c>
      <c r="M68" s="28" t="s">
        <v>46</v>
      </c>
      <c r="N68" s="28" t="s">
        <v>2927</v>
      </c>
      <c r="O68" s="2"/>
      <c r="P68" s="32"/>
      <c r="Q68" s="2">
        <v>26000</v>
      </c>
      <c r="R68" s="38">
        <f>7000+(F68/0.4536*S68*P68*0.2)</f>
        <v>7000</v>
      </c>
      <c r="S68" s="39">
        <v>20</v>
      </c>
      <c r="T68" s="33">
        <f>X68*F68*0.005</f>
        <v>176.4</v>
      </c>
      <c r="V68" s="2">
        <v>0.12</v>
      </c>
      <c r="W68" s="2">
        <v>0.3</v>
      </c>
      <c r="X68" s="2">
        <f>IF(O68&gt;0,O68,((P68*2.2046*S68)+(Q68+R68)/G68)+V68)</f>
        <v>1.8568421052631581</v>
      </c>
      <c r="Y68" s="2">
        <f>IF(O68&gt;0,O68,((P68*2.2046*S68)+(Q68+R68+T68)/G68)+V68+W68)</f>
        <v>2.1661263157894735</v>
      </c>
      <c r="Z68" s="3">
        <f>Y68*F68</f>
        <v>41156.399999999994</v>
      </c>
      <c r="AA68" s="34"/>
      <c r="AB68" s="3"/>
      <c r="AC68" s="35"/>
    </row>
    <row r="69" spans="1:32" ht="15.75" thickBot="1" x14ac:dyDescent="0.3">
      <c r="A69" s="173"/>
      <c r="B69" s="41"/>
      <c r="C69" s="4"/>
      <c r="D69" s="4"/>
      <c r="E69" s="4"/>
      <c r="F69" s="42"/>
      <c r="G69" s="42"/>
      <c r="H69" s="42"/>
      <c r="I69" s="7"/>
      <c r="J69" s="4"/>
      <c r="K69" s="8"/>
      <c r="L69" s="8"/>
      <c r="M69" s="4"/>
      <c r="N69" s="4"/>
      <c r="O69" s="9"/>
      <c r="P69" s="10"/>
      <c r="Q69" s="9"/>
      <c r="R69" s="9"/>
      <c r="S69" s="9"/>
      <c r="T69" s="9"/>
      <c r="U69" s="9"/>
      <c r="V69" s="9"/>
      <c r="W69" s="9"/>
      <c r="X69" s="9"/>
      <c r="Y69" s="9"/>
      <c r="Z69" s="13"/>
      <c r="AA69" s="43"/>
      <c r="AB69" s="3"/>
      <c r="AC69" s="35"/>
    </row>
    <row r="70" spans="1:32" x14ac:dyDescent="0.25">
      <c r="A70" s="174"/>
      <c r="B70" s="14" t="s">
        <v>26</v>
      </c>
      <c r="C70" s="14" t="s">
        <v>27</v>
      </c>
      <c r="D70" s="15"/>
      <c r="E70" s="14">
        <v>200</v>
      </c>
      <c r="F70" s="16"/>
      <c r="G70" s="17"/>
      <c r="H70" s="30">
        <f t="shared" ref="H70:H73" si="45">G70-F70</f>
        <v>0</v>
      </c>
      <c r="I70" s="19"/>
      <c r="J70" s="14"/>
      <c r="K70" s="20"/>
      <c r="L70" s="20">
        <v>43583</v>
      </c>
      <c r="M70" s="15" t="s">
        <v>28</v>
      </c>
      <c r="N70" s="14"/>
      <c r="O70" s="21"/>
      <c r="P70" s="22"/>
      <c r="Q70" s="21">
        <v>21300</v>
      </c>
      <c r="R70" s="2">
        <f t="shared" ref="R70:R72" si="46">75.45*E70</f>
        <v>15090</v>
      </c>
      <c r="S70" s="21">
        <f>-38*E70</f>
        <v>-7600</v>
      </c>
      <c r="T70" s="23" t="e">
        <f>X70*F70*0.0045</f>
        <v>#DIV/0!</v>
      </c>
      <c r="U70" s="21">
        <f>E70*5</f>
        <v>1000</v>
      </c>
      <c r="V70" s="14"/>
      <c r="W70" s="21">
        <v>0.3</v>
      </c>
      <c r="X70" s="21" t="e">
        <f>((O70*F70)+Q70+R70+S70+U70)/G70</f>
        <v>#DIV/0!</v>
      </c>
      <c r="Y70" s="24" t="e">
        <f>((O70*F70)+Q70+R70+S70+T70+U70)/G70+W70</f>
        <v>#DIV/0!</v>
      </c>
      <c r="Z70" s="24" t="e">
        <f>Y70*G70</f>
        <v>#DIV/0!</v>
      </c>
      <c r="AA70" s="25"/>
      <c r="AB70" s="3"/>
      <c r="AC70" s="3"/>
    </row>
    <row r="71" spans="1:32" x14ac:dyDescent="0.25">
      <c r="A71" s="175"/>
      <c r="B71" s="27" t="s">
        <v>26</v>
      </c>
      <c r="C71" t="s">
        <v>27</v>
      </c>
      <c r="D71" s="28"/>
      <c r="E71">
        <v>130</v>
      </c>
      <c r="F71" s="29"/>
      <c r="G71" s="30"/>
      <c r="H71" s="30">
        <f t="shared" si="45"/>
        <v>0</v>
      </c>
      <c r="I71" s="28"/>
      <c r="K71" s="31"/>
      <c r="L71" s="31">
        <v>43583</v>
      </c>
      <c r="M71" s="28" t="s">
        <v>28</v>
      </c>
      <c r="O71" s="2"/>
      <c r="P71" s="32"/>
      <c r="Q71" s="2">
        <v>16900</v>
      </c>
      <c r="R71" s="2">
        <f t="shared" si="46"/>
        <v>9808.5</v>
      </c>
      <c r="S71" s="33">
        <f>-38*E71</f>
        <v>-4940</v>
      </c>
      <c r="T71" s="33" t="e">
        <f>X71*F71*0.0045</f>
        <v>#DIV/0!</v>
      </c>
      <c r="U71" s="2">
        <f>E71*5</f>
        <v>650</v>
      </c>
      <c r="W71" s="2">
        <v>0.3</v>
      </c>
      <c r="X71" s="2" t="e">
        <f>((O71*F71)+Q71+R71+S71+U71)/G71</f>
        <v>#DIV/0!</v>
      </c>
      <c r="Y71" s="2" t="e">
        <f>((O71*F71)+Q71+R71+S71+T71+U71)/G71+W71</f>
        <v>#DIV/0!</v>
      </c>
      <c r="Z71" s="3" t="e">
        <f>Y71*G71</f>
        <v>#DIV/0!</v>
      </c>
      <c r="AA71" s="34"/>
      <c r="AB71" s="3"/>
      <c r="AC71" s="35"/>
    </row>
    <row r="72" spans="1:32" x14ac:dyDescent="0.25">
      <c r="A72" s="175"/>
      <c r="B72" s="27" t="s">
        <v>26</v>
      </c>
      <c r="C72" t="s">
        <v>27</v>
      </c>
      <c r="D72" s="28"/>
      <c r="E72">
        <v>250</v>
      </c>
      <c r="F72" s="29"/>
      <c r="G72" s="30"/>
      <c r="H72" s="30">
        <f t="shared" si="45"/>
        <v>0</v>
      </c>
      <c r="I72" s="28"/>
      <c r="K72" s="31"/>
      <c r="L72" s="31">
        <v>43584</v>
      </c>
      <c r="M72" s="28" t="s">
        <v>29</v>
      </c>
      <c r="O72" s="2"/>
      <c r="P72" s="32"/>
      <c r="Q72" s="2">
        <v>21300</v>
      </c>
      <c r="R72" s="2">
        <f t="shared" si="46"/>
        <v>18862.5</v>
      </c>
      <c r="S72" s="33">
        <f>-38*E72</f>
        <v>-9500</v>
      </c>
      <c r="T72" s="33" t="e">
        <f>X72*F72*0.0045</f>
        <v>#DIV/0!</v>
      </c>
      <c r="U72" s="2">
        <f>E72*5</f>
        <v>1250</v>
      </c>
      <c r="W72" s="2">
        <v>0.3</v>
      </c>
      <c r="X72" s="2" t="e">
        <f>((O72*F72)+Q72+R72+S72+U72)/G72</f>
        <v>#DIV/0!</v>
      </c>
      <c r="Y72" s="2" t="e">
        <f>((O72*F72)+Q72+R72+S72+T72+U72)/G72+W72</f>
        <v>#DIV/0!</v>
      </c>
      <c r="Z72" s="3" t="e">
        <f>Y72*G72</f>
        <v>#DIV/0!</v>
      </c>
      <c r="AA72" s="34"/>
      <c r="AB72" s="3"/>
      <c r="AC72" s="35"/>
    </row>
    <row r="73" spans="1:32" x14ac:dyDescent="0.25">
      <c r="A73" s="175"/>
      <c r="B73" s="27" t="s">
        <v>30</v>
      </c>
      <c r="C73" s="28" t="s">
        <v>1790</v>
      </c>
      <c r="D73" s="28" t="s">
        <v>1790</v>
      </c>
      <c r="E73" t="s">
        <v>32</v>
      </c>
      <c r="F73" s="29">
        <v>18500</v>
      </c>
      <c r="G73" s="36">
        <v>18500</v>
      </c>
      <c r="H73" s="30">
        <f t="shared" si="45"/>
        <v>0</v>
      </c>
      <c r="I73" s="28" t="s">
        <v>2941</v>
      </c>
      <c r="J73" s="37"/>
      <c r="K73" s="31">
        <v>43584</v>
      </c>
      <c r="L73" s="31">
        <v>43585</v>
      </c>
      <c r="M73" s="28" t="s">
        <v>48</v>
      </c>
      <c r="N73" s="28" t="s">
        <v>2936</v>
      </c>
      <c r="O73" s="2"/>
      <c r="P73" s="32"/>
      <c r="Q73" s="2">
        <v>26000</v>
      </c>
      <c r="R73" s="38">
        <f>7000+(F73/0.4536*S73*P73*0.2)</f>
        <v>7000</v>
      </c>
      <c r="S73" s="39">
        <v>20</v>
      </c>
      <c r="T73" s="33">
        <f t="shared" ref="T73" si="47">X73*F73*0.005</f>
        <v>176.1</v>
      </c>
      <c r="V73" s="2">
        <v>0.12</v>
      </c>
      <c r="W73" s="2">
        <v>0.3</v>
      </c>
      <c r="X73" s="2">
        <f>IF(O73&gt;0,O73,((P73*2.2046*S73)+(Q73+R73)/G73)+V73)</f>
        <v>1.9037837837837839</v>
      </c>
      <c r="Y73" s="2">
        <f>IF(O73&gt;0,O73,((P73*2.2046*S73)+(Q73+R73+T73)/G73)+V73+W73)</f>
        <v>2.2133027027027024</v>
      </c>
      <c r="Z73" s="3">
        <f>Y73*F73</f>
        <v>40946.099999999991</v>
      </c>
      <c r="AA73" s="34"/>
      <c r="AB73" s="3"/>
      <c r="AC73" s="35"/>
    </row>
    <row r="74" spans="1:32" x14ac:dyDescent="0.25">
      <c r="A74" s="175"/>
      <c r="B74" s="27" t="s">
        <v>30</v>
      </c>
      <c r="C74" s="28" t="s">
        <v>35</v>
      </c>
      <c r="D74" s="28" t="s">
        <v>36</v>
      </c>
      <c r="E74" t="s">
        <v>37</v>
      </c>
      <c r="F74" s="29">
        <v>18500</v>
      </c>
      <c r="G74" s="36">
        <v>18500</v>
      </c>
      <c r="H74" s="30">
        <f>G74-F74</f>
        <v>0</v>
      </c>
      <c r="I74" t="s">
        <v>2942</v>
      </c>
      <c r="J74" s="37"/>
      <c r="K74" s="31">
        <v>43584</v>
      </c>
      <c r="L74" s="31">
        <v>43585</v>
      </c>
      <c r="M74" s="28" t="s">
        <v>48</v>
      </c>
      <c r="N74" s="28" t="s">
        <v>2935</v>
      </c>
      <c r="O74" s="2"/>
      <c r="P74" s="32"/>
      <c r="Q74" s="2">
        <v>26000</v>
      </c>
      <c r="R74" s="38">
        <f>7000+(F74/0.4536*S74*P74*0.2)</f>
        <v>7000</v>
      </c>
      <c r="S74" s="39">
        <v>20</v>
      </c>
      <c r="T74" s="33">
        <f>X74*F74*0.005</f>
        <v>176.1</v>
      </c>
      <c r="V74" s="2">
        <v>0.12</v>
      </c>
      <c r="W74" s="2">
        <v>0.3</v>
      </c>
      <c r="X74" s="2">
        <f>IF(O74&gt;0,O74,((P74*2.2046*S74)+(Q74+R74)/G74)+V74)</f>
        <v>1.9037837837837839</v>
      </c>
      <c r="Y74" s="2">
        <f>IF(O74&gt;0,O74,((P74*2.2046*S74)+(Q74+R74+T74)/G74)+V74+W74)</f>
        <v>2.2133027027027024</v>
      </c>
      <c r="Z74" s="3">
        <f>Y74*F74</f>
        <v>40946.099999999991</v>
      </c>
      <c r="AA74" s="34"/>
      <c r="AB74" s="3"/>
      <c r="AC74" s="35"/>
    </row>
    <row r="75" spans="1:32" x14ac:dyDescent="0.25">
      <c r="A75" s="175"/>
      <c r="B75" s="27" t="s">
        <v>26</v>
      </c>
      <c r="C75" t="s">
        <v>27</v>
      </c>
      <c r="D75" s="28"/>
      <c r="E75">
        <v>250</v>
      </c>
      <c r="F75" s="29"/>
      <c r="G75" s="30"/>
      <c r="H75" s="30">
        <f>G75-F75</f>
        <v>0</v>
      </c>
      <c r="K75" s="31"/>
      <c r="L75" s="31">
        <v>43585</v>
      </c>
      <c r="M75" s="28" t="s">
        <v>48</v>
      </c>
      <c r="O75" s="2"/>
      <c r="P75" s="32"/>
      <c r="Q75" s="2">
        <v>21300</v>
      </c>
      <c r="R75" s="2">
        <f>75.45*E75</f>
        <v>18862.5</v>
      </c>
      <c r="S75" s="33">
        <f>-38*E75</f>
        <v>-9500</v>
      </c>
      <c r="T75" s="33" t="e">
        <f>X75*F75*0.005</f>
        <v>#DIV/0!</v>
      </c>
      <c r="U75" s="2">
        <f>E75*5</f>
        <v>1250</v>
      </c>
      <c r="W75" s="2">
        <v>0.3</v>
      </c>
      <c r="X75" s="2" t="e">
        <f>((O75*F75)+Q75+R75+S75+U75)/G75</f>
        <v>#DIV/0!</v>
      </c>
      <c r="Y75" s="2" t="e">
        <f>((O75*F75)+Q75+R75+S75+T75+U75)/G75+W75</f>
        <v>#DIV/0!</v>
      </c>
      <c r="Z75" s="3" t="e">
        <f>Y75*G75</f>
        <v>#DIV/0!</v>
      </c>
      <c r="AA75" s="34"/>
      <c r="AB75" s="3"/>
      <c r="AC75" s="35"/>
      <c r="AF75" s="30"/>
    </row>
    <row r="76" spans="1:32" x14ac:dyDescent="0.25">
      <c r="A76" s="175"/>
      <c r="B76" s="27" t="s">
        <v>30</v>
      </c>
      <c r="C76" s="28" t="s">
        <v>31</v>
      </c>
      <c r="D76" s="28" t="s">
        <v>31</v>
      </c>
      <c r="E76" t="s">
        <v>32</v>
      </c>
      <c r="F76" s="29">
        <v>18500</v>
      </c>
      <c r="G76" s="36">
        <v>18500</v>
      </c>
      <c r="H76" s="30">
        <f t="shared" ref="H76:H78" si="48">G76-F76</f>
        <v>0</v>
      </c>
      <c r="I76" s="28" t="s">
        <v>2943</v>
      </c>
      <c r="J76" s="37"/>
      <c r="K76" s="31">
        <v>43585</v>
      </c>
      <c r="L76" s="31">
        <v>43586</v>
      </c>
      <c r="M76" s="28" t="s">
        <v>33</v>
      </c>
      <c r="N76" s="28" t="s">
        <v>2935</v>
      </c>
      <c r="O76" s="2"/>
      <c r="P76" s="32"/>
      <c r="Q76" s="2">
        <v>26000</v>
      </c>
      <c r="R76" s="38">
        <f>7000+(F76/0.4536*S76*P76*0.2)</f>
        <v>7000</v>
      </c>
      <c r="S76" s="39">
        <v>20</v>
      </c>
      <c r="T76" s="33">
        <f t="shared" ref="T76:T78" si="49">X76*F76*0.005</f>
        <v>176.1</v>
      </c>
      <c r="V76" s="2">
        <v>0.12</v>
      </c>
      <c r="W76" s="2">
        <v>0.3</v>
      </c>
      <c r="X76" s="2">
        <f>IF(O76&gt;0,O76,((P76*2.2046*S76)+(Q76+R76)/G76)+V76)</f>
        <v>1.9037837837837839</v>
      </c>
      <c r="Y76" s="2">
        <f>IF(O76&gt;0,O76,((P76*2.2046*S76)+(Q76+R76+T76)/G76)+V76+W76)</f>
        <v>2.2133027027027024</v>
      </c>
      <c r="Z76" s="3">
        <f>Y76*F76</f>
        <v>40946.099999999991</v>
      </c>
      <c r="AA76" s="34"/>
      <c r="AB76" s="3"/>
      <c r="AC76" s="35"/>
    </row>
    <row r="77" spans="1:32" x14ac:dyDescent="0.25">
      <c r="A77" s="175"/>
      <c r="B77" s="27" t="s">
        <v>30</v>
      </c>
      <c r="C77" s="28" t="s">
        <v>31</v>
      </c>
      <c r="D77" s="28" t="s">
        <v>31</v>
      </c>
      <c r="E77" t="s">
        <v>37</v>
      </c>
      <c r="F77" s="29">
        <v>18500</v>
      </c>
      <c r="G77" s="36">
        <v>18500</v>
      </c>
      <c r="H77" s="30">
        <f t="shared" ref="H77" si="50">G77-F77</f>
        <v>0</v>
      </c>
      <c r="I77" s="28" t="s">
        <v>2944</v>
      </c>
      <c r="J77" s="37"/>
      <c r="K77" s="31">
        <v>43585</v>
      </c>
      <c r="L77" s="31">
        <v>43586</v>
      </c>
      <c r="M77" s="28" t="s">
        <v>33</v>
      </c>
      <c r="N77" s="28" t="s">
        <v>2935</v>
      </c>
      <c r="O77" s="2"/>
      <c r="P77" s="32"/>
      <c r="Q77" s="2">
        <v>26000</v>
      </c>
      <c r="R77" s="38">
        <f>7000+(F77/0.4536*S77*P77*0.2)</f>
        <v>7000</v>
      </c>
      <c r="S77" s="39">
        <v>20</v>
      </c>
      <c r="T77" s="33">
        <f t="shared" ref="T77" si="51">X77*F77*0.005</f>
        <v>176.1</v>
      </c>
      <c r="V77" s="2">
        <v>0.12</v>
      </c>
      <c r="W77" s="2">
        <v>0.3</v>
      </c>
      <c r="X77" s="2">
        <f>IF(O77&gt;0,O77,((P77*2.2046*S77)+(Q77+R77)/G77)+V77)</f>
        <v>1.9037837837837839</v>
      </c>
      <c r="Y77" s="2">
        <f>IF(O77&gt;0,O77,((P77*2.2046*S77)+(Q77+R77+T77)/G77)+V77+W77)</f>
        <v>2.2133027027027024</v>
      </c>
      <c r="Z77" s="3">
        <f>Y77*F77</f>
        <v>40946.099999999991</v>
      </c>
      <c r="AA77" s="34"/>
      <c r="AB77" s="3"/>
      <c r="AC77" s="35"/>
    </row>
    <row r="78" spans="1:32" x14ac:dyDescent="0.25">
      <c r="A78" s="175"/>
      <c r="B78" s="27" t="s">
        <v>26</v>
      </c>
      <c r="C78" t="s">
        <v>27</v>
      </c>
      <c r="D78" s="28"/>
      <c r="E78">
        <v>220</v>
      </c>
      <c r="F78" s="29"/>
      <c r="G78" s="30"/>
      <c r="H78" s="30">
        <f t="shared" si="48"/>
        <v>0</v>
      </c>
      <c r="K78" s="31"/>
      <c r="L78" s="31">
        <v>43586</v>
      </c>
      <c r="M78" s="28" t="s">
        <v>33</v>
      </c>
      <c r="O78" s="2"/>
      <c r="P78" s="32"/>
      <c r="Q78" s="2">
        <v>21300</v>
      </c>
      <c r="R78" s="2">
        <f>75.45*E78</f>
        <v>16599</v>
      </c>
      <c r="S78" s="33">
        <f>-38*E78</f>
        <v>-8360</v>
      </c>
      <c r="T78" s="33" t="e">
        <f t="shared" si="49"/>
        <v>#DIV/0!</v>
      </c>
      <c r="U78" s="2">
        <f>E78*5</f>
        <v>1100</v>
      </c>
      <c r="W78" s="2">
        <v>0.3</v>
      </c>
      <c r="X78" s="2" t="e">
        <f t="shared" ref="X78" si="52">((O78*F78)+Q78+R78+S78+U78)/G78</f>
        <v>#DIV/0!</v>
      </c>
      <c r="Y78" s="2" t="e">
        <f>((O78*F78)+Q78+R78+S78+T78+U78)/G78+W78</f>
        <v>#DIV/0!</v>
      </c>
      <c r="Z78" s="3" t="e">
        <f>Y78*G78</f>
        <v>#DIV/0!</v>
      </c>
      <c r="AA78" s="34"/>
      <c r="AB78" s="3"/>
      <c r="AC78" s="35"/>
    </row>
    <row r="79" spans="1:32" x14ac:dyDescent="0.25">
      <c r="A79" s="175"/>
      <c r="B79" s="27" t="s">
        <v>30</v>
      </c>
      <c r="C79" s="28" t="s">
        <v>40</v>
      </c>
      <c r="D79" s="28" t="s">
        <v>40</v>
      </c>
      <c r="E79" t="s">
        <v>37</v>
      </c>
      <c r="F79" s="29">
        <v>19000</v>
      </c>
      <c r="G79" s="36">
        <v>19000</v>
      </c>
      <c r="H79" s="30">
        <f>G79-F79</f>
        <v>0</v>
      </c>
      <c r="I79" t="s">
        <v>2945</v>
      </c>
      <c r="J79" s="37"/>
      <c r="K79" s="31">
        <v>43586</v>
      </c>
      <c r="L79" s="31">
        <v>43587</v>
      </c>
      <c r="M79" s="28" t="s">
        <v>41</v>
      </c>
      <c r="N79" s="28" t="s">
        <v>2937</v>
      </c>
      <c r="O79" s="2"/>
      <c r="P79" s="32"/>
      <c r="Q79" s="2">
        <v>26000</v>
      </c>
      <c r="R79" s="38">
        <f>7000+(F79/0.4536*S79*P79*0.2)</f>
        <v>7000</v>
      </c>
      <c r="S79" s="39">
        <v>19.5</v>
      </c>
      <c r="T79" s="33">
        <f>X79*F79*0.005</f>
        <v>176.4</v>
      </c>
      <c r="V79" s="2">
        <v>0.12</v>
      </c>
      <c r="W79" s="2">
        <v>0.3</v>
      </c>
      <c r="X79" s="2">
        <f>IF(O79&gt;0,O79,((P79*2.2046*S79)+(Q79+R79)/G79)+V79)</f>
        <v>1.8568421052631581</v>
      </c>
      <c r="Y79" s="2">
        <f>IF(O79&gt;0,O79,((P79*2.2046*S79)+(Q79+R79+T79)/G79)+V79+W79)</f>
        <v>2.1661263157894735</v>
      </c>
      <c r="Z79" s="3">
        <f>Y79*F79</f>
        <v>41156.399999999994</v>
      </c>
      <c r="AA79" s="34"/>
      <c r="AB79" s="3"/>
      <c r="AC79" s="35"/>
    </row>
    <row r="80" spans="1:32" x14ac:dyDescent="0.25">
      <c r="A80" s="175"/>
      <c r="B80" s="27" t="s">
        <v>26</v>
      </c>
      <c r="C80" t="s">
        <v>27</v>
      </c>
      <c r="D80" s="28"/>
      <c r="E80">
        <v>200</v>
      </c>
      <c r="F80" s="29"/>
      <c r="G80" s="30"/>
      <c r="H80" s="30">
        <f t="shared" ref="H80:H81" si="53">G80-F80</f>
        <v>0</v>
      </c>
      <c r="K80" s="31"/>
      <c r="L80" s="31">
        <v>43587</v>
      </c>
      <c r="M80" s="28" t="s">
        <v>41</v>
      </c>
      <c r="O80" s="2"/>
      <c r="P80" s="32"/>
      <c r="Q80" s="2">
        <v>21300</v>
      </c>
      <c r="R80" s="2">
        <f t="shared" ref="R80:R81" si="54">75.45*E80</f>
        <v>15090</v>
      </c>
      <c r="S80" s="33">
        <f>-38*E80</f>
        <v>-7600</v>
      </c>
      <c r="T80" s="33" t="e">
        <f>X80*F80*0.0045</f>
        <v>#DIV/0!</v>
      </c>
      <c r="U80" s="2">
        <f>E80*5</f>
        <v>1000</v>
      </c>
      <c r="W80" s="2">
        <v>0.3</v>
      </c>
      <c r="X80" s="2" t="e">
        <f t="shared" ref="X80" si="55">((O80*F80)+Q80+R80+S80+U80)/G80</f>
        <v>#DIV/0!</v>
      </c>
      <c r="Y80" s="2" t="e">
        <f>((O80*F80)+Q80+R80+S80+T80+U80)/G80+W80</f>
        <v>#DIV/0!</v>
      </c>
      <c r="Z80" s="3" t="e">
        <f>Y80*G80</f>
        <v>#DIV/0!</v>
      </c>
      <c r="AA80" s="34"/>
      <c r="AB80" s="3"/>
      <c r="AC80" s="35"/>
    </row>
    <row r="81" spans="1:29" x14ac:dyDescent="0.25">
      <c r="A81" s="175"/>
      <c r="B81" s="27" t="s">
        <v>26</v>
      </c>
      <c r="C81" t="s">
        <v>27</v>
      </c>
      <c r="D81" s="28"/>
      <c r="E81">
        <v>130</v>
      </c>
      <c r="F81" s="29"/>
      <c r="G81" s="30"/>
      <c r="H81" s="30">
        <f t="shared" si="53"/>
        <v>0</v>
      </c>
      <c r="K81" s="31"/>
      <c r="L81" s="31">
        <v>43587</v>
      </c>
      <c r="M81" s="28" t="s">
        <v>41</v>
      </c>
      <c r="O81" s="2"/>
      <c r="P81" s="32"/>
      <c r="Q81" s="2">
        <v>16900</v>
      </c>
      <c r="R81" s="2">
        <f t="shared" si="54"/>
        <v>9808.5</v>
      </c>
      <c r="S81" s="33">
        <f>-38*E81</f>
        <v>-4940</v>
      </c>
      <c r="T81" s="33" t="e">
        <f>X81*F81*0.0045</f>
        <v>#DIV/0!</v>
      </c>
      <c r="U81" s="2">
        <f>E81*5</f>
        <v>650</v>
      </c>
      <c r="W81" s="2">
        <v>0.3</v>
      </c>
      <c r="X81" s="2" t="e">
        <f>((O81*F81)+Q81+R81+S81+U81)/G81</f>
        <v>#DIV/0!</v>
      </c>
      <c r="Y81" s="2" t="e">
        <f>((O81*F81)+Q81+R81+S81+T81+U81)/G81+W81</f>
        <v>#DIV/0!</v>
      </c>
      <c r="Z81" s="3" t="e">
        <f>Y81*G81</f>
        <v>#DIV/0!</v>
      </c>
      <c r="AA81" s="34"/>
      <c r="AB81" s="3"/>
      <c r="AC81" s="35"/>
    </row>
    <row r="82" spans="1:29" x14ac:dyDescent="0.25">
      <c r="A82" s="175"/>
      <c r="B82" s="27" t="s">
        <v>30</v>
      </c>
      <c r="C82" s="28" t="s">
        <v>1790</v>
      </c>
      <c r="D82" s="28" t="s">
        <v>1790</v>
      </c>
      <c r="E82" t="s">
        <v>32</v>
      </c>
      <c r="F82" s="29">
        <v>18500</v>
      </c>
      <c r="G82" s="36">
        <v>18500</v>
      </c>
      <c r="H82" s="30">
        <f>G82-F82</f>
        <v>0</v>
      </c>
      <c r="I82" s="28" t="s">
        <v>2946</v>
      </c>
      <c r="J82" s="37"/>
      <c r="K82" s="31">
        <v>43587</v>
      </c>
      <c r="L82" s="31">
        <v>43588</v>
      </c>
      <c r="M82" s="28" t="s">
        <v>45</v>
      </c>
      <c r="N82" s="28" t="s">
        <v>2938</v>
      </c>
      <c r="O82" s="2"/>
      <c r="P82" s="32"/>
      <c r="Q82" s="2">
        <v>26000</v>
      </c>
      <c r="R82" s="38">
        <f>7000+(F82/0.4536*S82*P82*0.2)</f>
        <v>7000</v>
      </c>
      <c r="S82" s="39">
        <v>20</v>
      </c>
      <c r="T82" s="33">
        <f>X82*F82*0.005</f>
        <v>176.1</v>
      </c>
      <c r="V82" s="2">
        <v>0.12</v>
      </c>
      <c r="W82" s="2">
        <v>0.3</v>
      </c>
      <c r="X82" s="2">
        <f>IF(O82&gt;0,O82,((P82*2.2046*S82)+(Q82+R82)/G82)+V82)</f>
        <v>1.9037837837837839</v>
      </c>
      <c r="Y82" s="2">
        <f>IF(O82&gt;0,O82,((P82*2.2046*S82)+(Q82+R82+T82)/G82)+V82+W82)</f>
        <v>2.2133027027027024</v>
      </c>
      <c r="Z82" s="3">
        <f>Y82*F82</f>
        <v>40946.099999999991</v>
      </c>
      <c r="AA82" s="34"/>
      <c r="AB82" s="3"/>
      <c r="AC82" s="35"/>
    </row>
    <row r="83" spans="1:29" x14ac:dyDescent="0.25">
      <c r="A83" s="175"/>
      <c r="B83" s="27" t="s">
        <v>30</v>
      </c>
      <c r="C83" s="28" t="s">
        <v>31</v>
      </c>
      <c r="D83" s="28" t="s">
        <v>31</v>
      </c>
      <c r="E83" t="s">
        <v>32</v>
      </c>
      <c r="F83" s="29">
        <v>18500</v>
      </c>
      <c r="G83" s="36">
        <v>18500</v>
      </c>
      <c r="H83" s="30">
        <f>G83-F83</f>
        <v>0</v>
      </c>
      <c r="I83" t="s">
        <v>2947</v>
      </c>
      <c r="J83" s="37"/>
      <c r="K83" s="31">
        <v>43587</v>
      </c>
      <c r="L83" s="31">
        <v>43588</v>
      </c>
      <c r="M83" s="28" t="s">
        <v>45</v>
      </c>
      <c r="N83" s="28" t="s">
        <v>2939</v>
      </c>
      <c r="O83" s="2"/>
      <c r="P83" s="32"/>
      <c r="Q83" s="2">
        <v>26000</v>
      </c>
      <c r="R83" s="38">
        <f>7000+(F83/0.4536*S83*P83*0.2)</f>
        <v>7000</v>
      </c>
      <c r="S83" s="39">
        <v>20</v>
      </c>
      <c r="T83" s="33">
        <f>X83*F83*0.005</f>
        <v>176.1</v>
      </c>
      <c r="V83" s="2">
        <v>0.12</v>
      </c>
      <c r="W83" s="2">
        <v>0.3</v>
      </c>
      <c r="X83" s="2">
        <f>IF(O83&gt;0,O83,((P83*2.2046*S83)+(Q83+R83)/G83)+V83)</f>
        <v>1.9037837837837839</v>
      </c>
      <c r="Y83" s="2">
        <f>IF(O83&gt;0,O83,((P83*2.2046*S83)+(Q83+R83+T83)/G83)+V83+W83)</f>
        <v>2.2133027027027024</v>
      </c>
      <c r="Z83" s="3">
        <f>Y83*F83</f>
        <v>40946.099999999991</v>
      </c>
      <c r="AA83" s="34"/>
      <c r="AB83" s="3"/>
      <c r="AC83" s="35"/>
    </row>
    <row r="84" spans="1:29" x14ac:dyDescent="0.25">
      <c r="A84" s="175"/>
      <c r="B84" s="27" t="s">
        <v>26</v>
      </c>
      <c r="C84" t="s">
        <v>27</v>
      </c>
      <c r="D84" s="28" t="s">
        <v>44</v>
      </c>
      <c r="E84">
        <v>200</v>
      </c>
      <c r="F84" s="29"/>
      <c r="G84" s="30"/>
      <c r="H84" s="30">
        <f t="shared" ref="H84:H86" si="56">G84-F84</f>
        <v>0</v>
      </c>
      <c r="K84" s="31"/>
      <c r="L84" s="31">
        <v>43588</v>
      </c>
      <c r="M84" s="28" t="s">
        <v>45</v>
      </c>
      <c r="O84" s="2"/>
      <c r="P84" s="32"/>
      <c r="Q84" s="2">
        <v>21300</v>
      </c>
      <c r="R84" s="2">
        <f t="shared" ref="R84:R85" si="57">75.45*E84</f>
        <v>15090</v>
      </c>
      <c r="S84" s="33">
        <f>-38*E84</f>
        <v>-7600</v>
      </c>
      <c r="T84" s="33" t="e">
        <f>X84*F84*0.0045</f>
        <v>#DIV/0!</v>
      </c>
      <c r="U84" s="2">
        <f>E84*5</f>
        <v>1000</v>
      </c>
      <c r="W84" s="2">
        <v>0.3</v>
      </c>
      <c r="X84" s="2" t="e">
        <f>((O84*F84)+Q84+R84+S84+U84)/G84</f>
        <v>#DIV/0!</v>
      </c>
      <c r="Y84" s="2" t="e">
        <f>((O84*F84)+Q84+R84+S84+T84+U84)/G84+W84</f>
        <v>#DIV/0!</v>
      </c>
      <c r="Z84" s="3" t="e">
        <f>Y84*G84</f>
        <v>#DIV/0!</v>
      </c>
      <c r="AA84" s="34"/>
      <c r="AB84" s="3"/>
      <c r="AC84" s="35"/>
    </row>
    <row r="85" spans="1:29" x14ac:dyDescent="0.25">
      <c r="A85" s="175"/>
      <c r="B85" s="27" t="s">
        <v>26</v>
      </c>
      <c r="C85" t="s">
        <v>27</v>
      </c>
      <c r="D85" s="28"/>
      <c r="E85">
        <v>130</v>
      </c>
      <c r="F85" s="29"/>
      <c r="G85" s="30"/>
      <c r="H85" s="30">
        <f t="shared" si="56"/>
        <v>0</v>
      </c>
      <c r="I85" s="28"/>
      <c r="K85" s="31"/>
      <c r="L85" s="31">
        <v>43588</v>
      </c>
      <c r="M85" s="28" t="s">
        <v>45</v>
      </c>
      <c r="O85" s="2"/>
      <c r="P85" s="32"/>
      <c r="Q85" s="2">
        <v>16900</v>
      </c>
      <c r="R85" s="2">
        <f t="shared" si="57"/>
        <v>9808.5</v>
      </c>
      <c r="S85" s="33">
        <f>-38*E85</f>
        <v>-4940</v>
      </c>
      <c r="T85" s="33" t="e">
        <f>X85*F85*0.0045</f>
        <v>#DIV/0!</v>
      </c>
      <c r="U85" s="2">
        <f>E85*5</f>
        <v>650</v>
      </c>
      <c r="W85" s="2">
        <v>0.3</v>
      </c>
      <c r="X85" s="2" t="e">
        <f>((O85*F85)+Q85+R85+S85+U85)/G85</f>
        <v>#DIV/0!</v>
      </c>
      <c r="Y85" s="2" t="e">
        <f>((O85*F85)+Q85+R85+S85+T85+U85)/G85+W85</f>
        <v>#DIV/0!</v>
      </c>
      <c r="Z85" s="3" t="e">
        <f>Y85*G85</f>
        <v>#DIV/0!</v>
      </c>
      <c r="AA85" s="34"/>
      <c r="AB85" s="3"/>
      <c r="AC85" s="35"/>
    </row>
    <row r="86" spans="1:29" x14ac:dyDescent="0.25">
      <c r="A86" s="175"/>
      <c r="B86" s="27" t="s">
        <v>30</v>
      </c>
      <c r="C86" t="s">
        <v>40</v>
      </c>
      <c r="D86" s="28" t="s">
        <v>40</v>
      </c>
      <c r="E86" t="s">
        <v>37</v>
      </c>
      <c r="F86" s="29">
        <v>19000</v>
      </c>
      <c r="G86" s="36">
        <v>19000</v>
      </c>
      <c r="H86" s="30">
        <f t="shared" si="56"/>
        <v>0</v>
      </c>
      <c r="I86" s="28" t="s">
        <v>2948</v>
      </c>
      <c r="J86" s="37"/>
      <c r="K86" s="31">
        <v>43588</v>
      </c>
      <c r="L86" s="31">
        <v>43589</v>
      </c>
      <c r="M86" s="28" t="s">
        <v>46</v>
      </c>
      <c r="N86" s="28" t="s">
        <v>2940</v>
      </c>
      <c r="O86" s="2"/>
      <c r="P86" s="32"/>
      <c r="Q86" s="2">
        <v>26000</v>
      </c>
      <c r="R86" s="38">
        <f>7000+(F86/0.4536*S86*P86*0.2)</f>
        <v>7000</v>
      </c>
      <c r="S86" s="39">
        <v>20</v>
      </c>
      <c r="T86" s="33">
        <f>X86*F86*0.005</f>
        <v>176.4</v>
      </c>
      <c r="V86" s="2">
        <v>0.12</v>
      </c>
      <c r="W86" s="2">
        <v>0.3</v>
      </c>
      <c r="X86" s="2">
        <f>IF(O86&gt;0,O86,((P86*2.2046*S86)+(Q86+R86)/G86)+V86)</f>
        <v>1.8568421052631581</v>
      </c>
      <c r="Y86" s="2">
        <f>IF(O86&gt;0,O86,((P86*2.2046*S86)+(Q86+R86+T86)/G86)+V86+W86)</f>
        <v>2.1661263157894735</v>
      </c>
      <c r="Z86" s="3">
        <f>Y86*F86</f>
        <v>41156.399999999994</v>
      </c>
      <c r="AA86" s="34"/>
      <c r="AB86" s="3"/>
      <c r="AC86" s="35"/>
    </row>
    <row r="87" spans="1:29" ht="15.75" thickBot="1" x14ac:dyDescent="0.3">
      <c r="A87" s="176"/>
      <c r="B87" s="41"/>
      <c r="C87" s="4"/>
      <c r="D87" s="4"/>
      <c r="E87" s="4"/>
      <c r="F87" s="42"/>
      <c r="G87" s="42"/>
      <c r="H87" s="42"/>
      <c r="I87" s="7"/>
      <c r="J87" s="4"/>
      <c r="K87" s="8"/>
      <c r="L87" s="8"/>
      <c r="M87" s="4"/>
      <c r="N87" s="4"/>
      <c r="O87" s="9"/>
      <c r="P87" s="10"/>
      <c r="Q87" s="9"/>
      <c r="R87" s="9"/>
      <c r="S87" s="9"/>
      <c r="T87" s="9"/>
      <c r="U87" s="9"/>
      <c r="V87" s="9"/>
      <c r="W87" s="9"/>
      <c r="X87" s="9"/>
      <c r="Y87" s="9"/>
      <c r="Z87" s="13"/>
      <c r="AA87" s="43"/>
      <c r="AB87" s="3"/>
      <c r="AC8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A71D-F3EA-423E-A1F6-19979C8DB05C}">
  <dimension ref="A5:P420"/>
  <sheetViews>
    <sheetView topLeftCell="A369" workbookViewId="0">
      <selection activeCell="D394" sqref="D394"/>
    </sheetView>
  </sheetViews>
  <sheetFormatPr baseColWidth="10" defaultRowHeight="15" x14ac:dyDescent="0.25"/>
  <cols>
    <col min="1" max="1" width="3.7109375" customWidth="1"/>
    <col min="2" max="2" width="5.140625" customWidth="1"/>
    <col min="3" max="3" width="14.28515625" style="3" customWidth="1"/>
    <col min="4" max="4" width="31.28515625" bestFit="1" customWidth="1"/>
    <col min="5" max="5" width="16.140625" customWidth="1"/>
    <col min="6" max="6" width="26" customWidth="1"/>
    <col min="7" max="7" width="16.28515625" customWidth="1"/>
    <col min="8" max="8" width="15.140625" bestFit="1" customWidth="1"/>
    <col min="9" max="9" width="14.7109375" customWidth="1"/>
    <col min="10" max="10" width="17.7109375" customWidth="1"/>
  </cols>
  <sheetData>
    <row r="5" spans="1:10" x14ac:dyDescent="0.25">
      <c r="A5" t="s">
        <v>49</v>
      </c>
    </row>
    <row r="6" spans="1:10" x14ac:dyDescent="0.25">
      <c r="A6" t="s">
        <v>43</v>
      </c>
      <c r="B6" s="49">
        <v>26</v>
      </c>
      <c r="C6" s="51">
        <f>747037.5+18541.44-6710</f>
        <v>758868.94</v>
      </c>
      <c r="D6" s="52" t="s">
        <v>50</v>
      </c>
      <c r="E6" s="52" t="s">
        <v>51</v>
      </c>
      <c r="F6" s="52" t="s">
        <v>52</v>
      </c>
      <c r="G6" s="53">
        <v>43472</v>
      </c>
      <c r="H6" s="52" t="s">
        <v>55</v>
      </c>
    </row>
    <row r="7" spans="1:10" x14ac:dyDescent="0.25">
      <c r="A7" t="s">
        <v>43</v>
      </c>
      <c r="B7" s="49">
        <v>26</v>
      </c>
      <c r="C7" s="51">
        <f>116875+3340.8</f>
        <v>120215.8</v>
      </c>
      <c r="D7" s="52" t="s">
        <v>53</v>
      </c>
      <c r="E7" s="52" t="s">
        <v>54</v>
      </c>
      <c r="F7" s="52" t="s">
        <v>52</v>
      </c>
      <c r="G7" s="53">
        <v>43461</v>
      </c>
      <c r="H7" s="52" t="s">
        <v>55</v>
      </c>
    </row>
    <row r="8" spans="1:10" x14ac:dyDescent="0.25">
      <c r="A8" t="s">
        <v>43</v>
      </c>
      <c r="B8" s="49">
        <v>26</v>
      </c>
      <c r="C8" s="51">
        <v>688015.97</v>
      </c>
      <c r="D8" s="52" t="s">
        <v>56</v>
      </c>
      <c r="E8" s="52" t="s">
        <v>57</v>
      </c>
      <c r="F8" s="52" t="s">
        <v>58</v>
      </c>
      <c r="G8" s="52">
        <v>39.5</v>
      </c>
      <c r="H8" s="53">
        <v>43469</v>
      </c>
      <c r="I8" s="52" t="s">
        <v>62</v>
      </c>
    </row>
    <row r="9" spans="1:10" x14ac:dyDescent="0.25">
      <c r="A9" t="s">
        <v>59</v>
      </c>
      <c r="B9" s="49">
        <v>27</v>
      </c>
      <c r="C9" s="54">
        <f>21000*G9</f>
        <v>418173</v>
      </c>
      <c r="D9" s="55" t="s">
        <v>60</v>
      </c>
      <c r="E9" s="55" t="s">
        <v>1632</v>
      </c>
      <c r="F9" s="55" t="s">
        <v>61</v>
      </c>
      <c r="G9" s="56">
        <v>19.913</v>
      </c>
      <c r="H9" s="55">
        <v>31.94</v>
      </c>
      <c r="I9" s="57">
        <v>43461</v>
      </c>
      <c r="J9" s="55" t="s">
        <v>62</v>
      </c>
    </row>
    <row r="10" spans="1:10" x14ac:dyDescent="0.25">
      <c r="A10" t="s">
        <v>59</v>
      </c>
      <c r="B10" s="49">
        <v>27</v>
      </c>
      <c r="C10" s="51">
        <f>25558.7*G10</f>
        <v>508950.39310000004</v>
      </c>
      <c r="D10" s="52" t="s">
        <v>63</v>
      </c>
      <c r="E10" s="52" t="s">
        <v>64</v>
      </c>
      <c r="F10" s="52" t="s">
        <v>65</v>
      </c>
      <c r="G10" s="58">
        <v>19.913</v>
      </c>
      <c r="H10" s="52">
        <v>34.65</v>
      </c>
      <c r="I10" s="53">
        <v>43461</v>
      </c>
      <c r="J10" s="52" t="s">
        <v>62</v>
      </c>
    </row>
    <row r="11" spans="1:10" x14ac:dyDescent="0.25">
      <c r="A11" t="s">
        <v>59</v>
      </c>
      <c r="B11" s="49">
        <v>27</v>
      </c>
      <c r="C11" s="51">
        <f>761600+18374.4-6916</f>
        <v>773058.4</v>
      </c>
      <c r="D11" s="52" t="s">
        <v>66</v>
      </c>
      <c r="E11" s="52" t="s">
        <v>67</v>
      </c>
      <c r="F11" s="52" t="s">
        <v>52</v>
      </c>
      <c r="G11" s="53">
        <v>43472</v>
      </c>
      <c r="H11" s="52" t="s">
        <v>55</v>
      </c>
    </row>
    <row r="12" spans="1:10" x14ac:dyDescent="0.25">
      <c r="A12" t="s">
        <v>59</v>
      </c>
      <c r="B12" s="49">
        <v>27</v>
      </c>
      <c r="C12" s="51">
        <f>455560+10857.6</f>
        <v>466417.6</v>
      </c>
      <c r="D12" s="52" t="s">
        <v>68</v>
      </c>
      <c r="E12" s="52" t="s">
        <v>69</v>
      </c>
      <c r="F12" s="52" t="s">
        <v>52</v>
      </c>
      <c r="G12" s="53">
        <v>43461</v>
      </c>
      <c r="H12" s="52" t="s">
        <v>55</v>
      </c>
    </row>
    <row r="13" spans="1:10" x14ac:dyDescent="0.25">
      <c r="A13" t="s">
        <v>70</v>
      </c>
      <c r="B13" s="49">
        <v>28</v>
      </c>
      <c r="C13" s="51">
        <f>20603.5*36.4</f>
        <v>749967.4</v>
      </c>
      <c r="D13" s="52" t="s">
        <v>71</v>
      </c>
      <c r="E13" s="52" t="s">
        <v>72</v>
      </c>
      <c r="F13" s="52" t="s">
        <v>73</v>
      </c>
      <c r="G13" s="60">
        <v>43462</v>
      </c>
      <c r="H13" s="52" t="s">
        <v>55</v>
      </c>
    </row>
    <row r="14" spans="1:10" x14ac:dyDescent="0.25">
      <c r="A14" t="s">
        <v>70</v>
      </c>
      <c r="B14" s="49">
        <v>28</v>
      </c>
      <c r="C14" s="51">
        <f>399700+10857.6</f>
        <v>410557.6</v>
      </c>
      <c r="D14" s="52" t="s">
        <v>74</v>
      </c>
      <c r="E14" s="52" t="s">
        <v>75</v>
      </c>
      <c r="F14" s="52" t="s">
        <v>52</v>
      </c>
      <c r="G14" s="53">
        <v>43461</v>
      </c>
      <c r="H14" s="52" t="s">
        <v>55</v>
      </c>
    </row>
    <row r="15" spans="1:10" x14ac:dyDescent="0.25">
      <c r="A15" t="s">
        <v>70</v>
      </c>
      <c r="B15" s="49">
        <v>28</v>
      </c>
      <c r="C15" s="51">
        <f>25250.38*G15</f>
        <v>498619.25386</v>
      </c>
      <c r="D15" s="52" t="s">
        <v>76</v>
      </c>
      <c r="E15" s="52" t="s">
        <v>77</v>
      </c>
      <c r="F15" s="52" t="s">
        <v>78</v>
      </c>
      <c r="G15" s="58">
        <v>19.747</v>
      </c>
      <c r="H15" s="52">
        <v>34.270000000000003</v>
      </c>
      <c r="I15" s="53">
        <v>43432</v>
      </c>
    </row>
    <row r="16" spans="1:10" x14ac:dyDescent="0.25">
      <c r="A16" t="s">
        <v>70</v>
      </c>
      <c r="B16" s="49">
        <v>28</v>
      </c>
      <c r="C16" s="51">
        <f>25198.78*G16</f>
        <v>497625.50744000002</v>
      </c>
      <c r="D16" s="52" t="s">
        <v>79</v>
      </c>
      <c r="E16" s="52" t="s">
        <v>80</v>
      </c>
      <c r="F16" s="52" t="s">
        <v>81</v>
      </c>
      <c r="G16" s="58">
        <v>19.748000000000001</v>
      </c>
      <c r="H16" s="52">
        <v>34.29</v>
      </c>
      <c r="I16" s="53">
        <v>43432</v>
      </c>
    </row>
    <row r="17" spans="1:10" x14ac:dyDescent="0.25">
      <c r="A17" t="s">
        <v>70</v>
      </c>
      <c r="B17" s="49">
        <v>28</v>
      </c>
      <c r="C17" s="51">
        <f>22649.79*G17</f>
        <v>447084.20481000002</v>
      </c>
      <c r="D17" s="52" t="s">
        <v>82</v>
      </c>
      <c r="E17" s="52" t="s">
        <v>83</v>
      </c>
      <c r="F17" s="52" t="s">
        <v>84</v>
      </c>
      <c r="G17" s="58">
        <v>19.739000000000001</v>
      </c>
      <c r="H17" s="52">
        <v>32.1</v>
      </c>
      <c r="I17" s="53">
        <v>43462</v>
      </c>
    </row>
    <row r="18" spans="1:10" x14ac:dyDescent="0.25">
      <c r="A18" t="s">
        <v>70</v>
      </c>
      <c r="B18" s="49">
        <v>28</v>
      </c>
      <c r="C18" s="51">
        <v>35893.65</v>
      </c>
      <c r="D18" s="52" t="s">
        <v>85</v>
      </c>
      <c r="E18" s="52" t="s">
        <v>86</v>
      </c>
      <c r="F18" s="52" t="s">
        <v>87</v>
      </c>
      <c r="G18" s="58">
        <v>19.5</v>
      </c>
      <c r="H18" s="53">
        <v>43465</v>
      </c>
      <c r="I18" s="53" t="s">
        <v>88</v>
      </c>
    </row>
    <row r="19" spans="1:10" x14ac:dyDescent="0.25">
      <c r="A19" s="37" t="s">
        <v>89</v>
      </c>
      <c r="B19" s="49">
        <v>29</v>
      </c>
    </row>
    <row r="20" spans="1:10" x14ac:dyDescent="0.25">
      <c r="A20" s="37" t="s">
        <v>90</v>
      </c>
      <c r="B20" s="49">
        <v>30</v>
      </c>
    </row>
    <row r="21" spans="1:10" x14ac:dyDescent="0.25">
      <c r="A21" t="s">
        <v>91</v>
      </c>
      <c r="B21" s="49">
        <v>31</v>
      </c>
      <c r="C21" s="54">
        <f>23000*G21</f>
        <v>453330</v>
      </c>
      <c r="D21" s="55" t="s">
        <v>92</v>
      </c>
      <c r="E21" s="55"/>
      <c r="F21" s="55" t="s">
        <v>93</v>
      </c>
      <c r="G21" s="56">
        <v>19.71</v>
      </c>
      <c r="H21" s="55"/>
      <c r="I21" s="57">
        <v>43465</v>
      </c>
      <c r="J21" s="55" t="s">
        <v>62</v>
      </c>
    </row>
    <row r="22" spans="1:10" x14ac:dyDescent="0.25">
      <c r="A22" t="s">
        <v>91</v>
      </c>
      <c r="B22" s="49">
        <v>31</v>
      </c>
      <c r="C22" s="51">
        <f>23846.32*G22</f>
        <v>469295.57759999996</v>
      </c>
      <c r="D22" s="52" t="s">
        <v>94</v>
      </c>
      <c r="E22" s="52" t="s">
        <v>95</v>
      </c>
      <c r="F22" s="52" t="s">
        <v>96</v>
      </c>
      <c r="G22" s="58">
        <v>19.68</v>
      </c>
      <c r="H22" s="52">
        <v>34.04</v>
      </c>
      <c r="I22" s="53">
        <v>43465</v>
      </c>
      <c r="J22" s="52" t="s">
        <v>62</v>
      </c>
    </row>
    <row r="23" spans="1:10" x14ac:dyDescent="0.25">
      <c r="A23" t="s">
        <v>91</v>
      </c>
      <c r="B23" s="49">
        <v>31</v>
      </c>
      <c r="C23" s="51">
        <f>22665.22*G23</f>
        <v>446867.47752000007</v>
      </c>
      <c r="D23" s="52" t="s">
        <v>97</v>
      </c>
      <c r="E23" s="52" t="s">
        <v>98</v>
      </c>
      <c r="F23" s="52" t="s">
        <v>99</v>
      </c>
      <c r="G23" s="58">
        <v>19.716000000000001</v>
      </c>
      <c r="H23" s="52">
        <v>31.97</v>
      </c>
      <c r="I23" s="53">
        <v>43465</v>
      </c>
      <c r="J23" s="52" t="s">
        <v>62</v>
      </c>
    </row>
    <row r="24" spans="1:10" x14ac:dyDescent="0.25">
      <c r="A24" t="s">
        <v>91</v>
      </c>
      <c r="B24" s="49">
        <v>31</v>
      </c>
      <c r="C24" s="51">
        <f>23180.3*G24</f>
        <v>456883.71299999999</v>
      </c>
      <c r="D24" s="52" t="s">
        <v>100</v>
      </c>
      <c r="E24" s="52" t="s">
        <v>101</v>
      </c>
      <c r="F24" s="52" t="s">
        <v>102</v>
      </c>
      <c r="G24" s="51">
        <v>19.71</v>
      </c>
      <c r="H24" s="52">
        <v>31.13</v>
      </c>
      <c r="I24" s="53">
        <v>43465</v>
      </c>
      <c r="J24" s="52" t="s">
        <v>62</v>
      </c>
    </row>
    <row r="25" spans="1:10" x14ac:dyDescent="0.25">
      <c r="A25" t="s">
        <v>91</v>
      </c>
      <c r="B25" s="49">
        <v>31</v>
      </c>
      <c r="C25" s="51">
        <f>23015.57*G25</f>
        <v>453636.8847</v>
      </c>
      <c r="D25" s="52" t="s">
        <v>103</v>
      </c>
      <c r="E25" s="52" t="s">
        <v>104</v>
      </c>
      <c r="F25" s="52" t="s">
        <v>105</v>
      </c>
      <c r="G25" s="51">
        <v>19.71</v>
      </c>
      <c r="H25" s="52">
        <v>31.17</v>
      </c>
      <c r="I25" s="53">
        <v>43465</v>
      </c>
      <c r="J25" s="52" t="s">
        <v>62</v>
      </c>
    </row>
    <row r="26" spans="1:10" x14ac:dyDescent="0.25">
      <c r="A26" t="s">
        <v>91</v>
      </c>
      <c r="B26" s="49">
        <v>31</v>
      </c>
      <c r="C26" s="51">
        <v>42722.76</v>
      </c>
      <c r="D26" s="52" t="s">
        <v>106</v>
      </c>
      <c r="E26" s="52" t="s">
        <v>107</v>
      </c>
      <c r="F26" s="52" t="s">
        <v>108</v>
      </c>
      <c r="G26" s="52" t="s">
        <v>109</v>
      </c>
      <c r="H26" s="53">
        <v>43465</v>
      </c>
      <c r="I26" s="53" t="s">
        <v>88</v>
      </c>
    </row>
    <row r="27" spans="1:10" x14ac:dyDescent="0.25">
      <c r="A27" t="s">
        <v>91</v>
      </c>
      <c r="B27" s="49">
        <v>31</v>
      </c>
      <c r="C27" s="51">
        <f>729680+18457.92</f>
        <v>748137.92</v>
      </c>
      <c r="D27" s="52" t="s">
        <v>110</v>
      </c>
      <c r="E27" s="52" t="s">
        <v>111</v>
      </c>
      <c r="F27" s="52" t="s">
        <v>52</v>
      </c>
      <c r="G27" s="60">
        <v>43462</v>
      </c>
      <c r="H27" s="52" t="s">
        <v>55</v>
      </c>
    </row>
    <row r="28" spans="1:10" x14ac:dyDescent="0.25">
      <c r="A28" t="s">
        <v>91</v>
      </c>
      <c r="B28" s="49">
        <v>31</v>
      </c>
      <c r="C28" s="51">
        <f>134400+3340</f>
        <v>137740</v>
      </c>
      <c r="D28" s="52" t="s">
        <v>112</v>
      </c>
      <c r="E28" s="52" t="s">
        <v>113</v>
      </c>
      <c r="F28" s="52" t="s">
        <v>52</v>
      </c>
      <c r="G28" s="60">
        <v>43462</v>
      </c>
      <c r="H28" s="52" t="s">
        <v>55</v>
      </c>
    </row>
    <row r="29" spans="1:10" x14ac:dyDescent="0.25">
      <c r="A29" t="s">
        <v>91</v>
      </c>
      <c r="B29" s="49">
        <v>31</v>
      </c>
      <c r="C29" s="51">
        <f>750400+18290.88</f>
        <v>768690.88</v>
      </c>
      <c r="D29" s="52" t="s">
        <v>114</v>
      </c>
      <c r="E29" s="52" t="s">
        <v>115</v>
      </c>
      <c r="F29" s="52" t="s">
        <v>52</v>
      </c>
      <c r="G29" s="53">
        <v>43465</v>
      </c>
      <c r="H29" s="52" t="s">
        <v>55</v>
      </c>
    </row>
    <row r="30" spans="1:10" x14ac:dyDescent="0.25">
      <c r="A30" t="s">
        <v>91</v>
      </c>
      <c r="B30" s="49">
        <v>31</v>
      </c>
      <c r="C30" s="51">
        <f>94220+2505.6</f>
        <v>96725.6</v>
      </c>
      <c r="D30" s="52" t="s">
        <v>116</v>
      </c>
      <c r="E30" s="52" t="s">
        <v>117</v>
      </c>
      <c r="F30" s="52" t="s">
        <v>52</v>
      </c>
      <c r="G30" s="53">
        <v>43465</v>
      </c>
      <c r="H30" s="52" t="s">
        <v>55</v>
      </c>
    </row>
    <row r="31" spans="1:10" x14ac:dyDescent="0.25">
      <c r="A31" t="s">
        <v>91</v>
      </c>
      <c r="B31" s="49">
        <v>31</v>
      </c>
      <c r="C31" s="51">
        <v>70616</v>
      </c>
      <c r="D31" s="52" t="s">
        <v>118</v>
      </c>
      <c r="E31" s="52" t="s">
        <v>119</v>
      </c>
      <c r="F31" s="52" t="s">
        <v>120</v>
      </c>
      <c r="G31" s="53">
        <v>43465</v>
      </c>
      <c r="H31" s="52" t="s">
        <v>55</v>
      </c>
    </row>
    <row r="32" spans="1:10" x14ac:dyDescent="0.25">
      <c r="A32" s="61" t="s">
        <v>121</v>
      </c>
    </row>
    <row r="33" spans="1:11" x14ac:dyDescent="0.25">
      <c r="A33" t="s">
        <v>122</v>
      </c>
      <c r="B33" s="49">
        <v>1</v>
      </c>
      <c r="C33" s="3" t="s">
        <v>123</v>
      </c>
    </row>
    <row r="34" spans="1:11" x14ac:dyDescent="0.25">
      <c r="A34" t="s">
        <v>43</v>
      </c>
      <c r="B34" s="49">
        <v>2</v>
      </c>
      <c r="C34" s="54">
        <f>22500*G34</f>
        <v>443025</v>
      </c>
      <c r="D34" s="55" t="s">
        <v>124</v>
      </c>
      <c r="E34" s="55" t="s">
        <v>1691</v>
      </c>
      <c r="F34" s="55" t="s">
        <v>125</v>
      </c>
      <c r="G34" s="56">
        <v>19.690000000000001</v>
      </c>
      <c r="H34" s="55">
        <v>29.87</v>
      </c>
      <c r="I34" s="57">
        <v>43467</v>
      </c>
      <c r="J34" s="55" t="s">
        <v>62</v>
      </c>
    </row>
    <row r="35" spans="1:11" x14ac:dyDescent="0.25">
      <c r="A35" t="s">
        <v>43</v>
      </c>
      <c r="B35" s="49">
        <v>2</v>
      </c>
      <c r="C35" s="54">
        <f>22500*G35</f>
        <v>443025</v>
      </c>
      <c r="D35" s="55" t="s">
        <v>126</v>
      </c>
      <c r="E35" s="55" t="s">
        <v>1692</v>
      </c>
      <c r="F35" s="55" t="s">
        <v>125</v>
      </c>
      <c r="G35" s="56">
        <v>19.690000000000001</v>
      </c>
      <c r="H35" s="55">
        <v>30.07</v>
      </c>
      <c r="I35" s="57">
        <v>43467</v>
      </c>
      <c r="J35" s="55" t="s">
        <v>62</v>
      </c>
    </row>
    <row r="36" spans="1:11" x14ac:dyDescent="0.25">
      <c r="A36" t="s">
        <v>43</v>
      </c>
      <c r="B36" s="49">
        <v>2</v>
      </c>
      <c r="C36" s="51">
        <f>720720+18374.4</f>
        <v>739094.4</v>
      </c>
      <c r="D36" s="52" t="s">
        <v>127</v>
      </c>
      <c r="E36" s="52" t="s">
        <v>128</v>
      </c>
      <c r="F36" s="52" t="s">
        <v>52</v>
      </c>
      <c r="G36" s="53">
        <v>43465</v>
      </c>
      <c r="H36" s="52" t="s">
        <v>55</v>
      </c>
    </row>
    <row r="37" spans="1:11" x14ac:dyDescent="0.25">
      <c r="A37" t="s">
        <v>43</v>
      </c>
      <c r="B37" s="49">
        <v>2</v>
      </c>
      <c r="C37" s="51">
        <f>97020+2505.6</f>
        <v>99525.6</v>
      </c>
      <c r="D37" s="52" t="s">
        <v>129</v>
      </c>
      <c r="E37" s="52" t="s">
        <v>130</v>
      </c>
      <c r="F37" s="52" t="s">
        <v>52</v>
      </c>
      <c r="G37" s="53">
        <v>43465</v>
      </c>
      <c r="H37" s="52" t="s">
        <v>55</v>
      </c>
    </row>
    <row r="38" spans="1:11" x14ac:dyDescent="0.25">
      <c r="A38" t="s">
        <v>43</v>
      </c>
      <c r="B38" s="49">
        <v>2</v>
      </c>
      <c r="C38" s="51">
        <f>770840+19293.12</f>
        <v>790133.12</v>
      </c>
      <c r="D38" s="52" t="s">
        <v>131</v>
      </c>
      <c r="E38" s="52" t="s">
        <v>132</v>
      </c>
      <c r="F38" s="52" t="s">
        <v>52</v>
      </c>
      <c r="G38" s="53">
        <v>43465</v>
      </c>
      <c r="H38" s="52" t="s">
        <v>55</v>
      </c>
    </row>
    <row r="39" spans="1:11" x14ac:dyDescent="0.25">
      <c r="A39" t="s">
        <v>43</v>
      </c>
      <c r="B39" s="49">
        <v>2</v>
      </c>
      <c r="C39" s="51">
        <f>64820+1670.4</f>
        <v>66490.399999999994</v>
      </c>
      <c r="D39" s="52" t="s">
        <v>133</v>
      </c>
      <c r="E39" s="52" t="s">
        <v>134</v>
      </c>
      <c r="F39" s="52" t="s">
        <v>52</v>
      </c>
      <c r="G39" s="53">
        <v>43465</v>
      </c>
      <c r="H39" s="52" t="s">
        <v>55</v>
      </c>
    </row>
    <row r="40" spans="1:11" x14ac:dyDescent="0.25">
      <c r="A40" t="s">
        <v>59</v>
      </c>
      <c r="B40" s="49">
        <v>3</v>
      </c>
      <c r="C40" s="51">
        <f>764260+18374.4</f>
        <v>782634.4</v>
      </c>
      <c r="D40" s="52" t="s">
        <v>135</v>
      </c>
      <c r="E40" s="52" t="s">
        <v>136</v>
      </c>
      <c r="F40" s="52" t="s">
        <v>52</v>
      </c>
      <c r="G40" s="53">
        <v>43465</v>
      </c>
      <c r="H40" s="52" t="s">
        <v>55</v>
      </c>
    </row>
    <row r="41" spans="1:11" x14ac:dyDescent="0.25">
      <c r="A41" t="s">
        <v>59</v>
      </c>
      <c r="B41" s="49">
        <v>3</v>
      </c>
      <c r="C41" s="51">
        <f>528220+13363.2</f>
        <v>541583.19999999995</v>
      </c>
      <c r="D41" s="52" t="s">
        <v>135</v>
      </c>
      <c r="E41" s="52" t="s">
        <v>137</v>
      </c>
      <c r="F41" s="52" t="s">
        <v>52</v>
      </c>
      <c r="G41" s="53">
        <v>43465</v>
      </c>
      <c r="H41" s="52" t="s">
        <v>55</v>
      </c>
      <c r="K41" s="62"/>
    </row>
    <row r="42" spans="1:11" x14ac:dyDescent="0.25">
      <c r="A42" t="s">
        <v>59</v>
      </c>
      <c r="B42" s="49">
        <v>3</v>
      </c>
      <c r="C42" s="54">
        <f>24500*G42</f>
        <v>482895</v>
      </c>
      <c r="D42" s="55" t="s">
        <v>138</v>
      </c>
      <c r="E42" s="55" t="s">
        <v>1693</v>
      </c>
      <c r="F42" s="55" t="s">
        <v>1622</v>
      </c>
      <c r="G42" s="56">
        <v>19.71</v>
      </c>
      <c r="H42" s="55">
        <v>30.61</v>
      </c>
      <c r="I42" s="57">
        <v>43468</v>
      </c>
      <c r="J42" s="55" t="s">
        <v>62</v>
      </c>
      <c r="K42" s="62"/>
    </row>
    <row r="43" spans="1:11" x14ac:dyDescent="0.25">
      <c r="A43" t="s">
        <v>59</v>
      </c>
      <c r="B43" s="49">
        <v>3</v>
      </c>
      <c r="C43" s="51">
        <f>22213.16*G43</f>
        <v>437821.3836</v>
      </c>
      <c r="D43" s="52" t="s">
        <v>139</v>
      </c>
      <c r="E43" s="52" t="s">
        <v>1614</v>
      </c>
      <c r="F43" s="52" t="s">
        <v>1615</v>
      </c>
      <c r="G43" s="51">
        <v>19.71</v>
      </c>
      <c r="H43" s="52">
        <v>31.04</v>
      </c>
      <c r="I43" s="53">
        <v>43468</v>
      </c>
      <c r="J43" s="52" t="s">
        <v>62</v>
      </c>
      <c r="K43" t="s">
        <v>1837</v>
      </c>
    </row>
    <row r="44" spans="1:11" x14ac:dyDescent="0.25">
      <c r="A44" t="s">
        <v>59</v>
      </c>
      <c r="B44" s="49">
        <v>3</v>
      </c>
      <c r="C44" s="51">
        <f>23322.69*G44</f>
        <v>459690.21989999997</v>
      </c>
      <c r="D44" s="52" t="s">
        <v>140</v>
      </c>
      <c r="E44" s="52" t="s">
        <v>141</v>
      </c>
      <c r="F44" s="52" t="s">
        <v>142</v>
      </c>
      <c r="G44" s="51">
        <v>19.71</v>
      </c>
      <c r="H44" s="52">
        <v>30.91</v>
      </c>
      <c r="I44" s="53">
        <v>43468</v>
      </c>
      <c r="J44" s="52" t="s">
        <v>62</v>
      </c>
    </row>
    <row r="45" spans="1:11" x14ac:dyDescent="0.25">
      <c r="A45" t="s">
        <v>70</v>
      </c>
      <c r="B45" s="49">
        <v>4</v>
      </c>
      <c r="C45" s="51">
        <v>16632.599999999999</v>
      </c>
      <c r="D45" s="52" t="s">
        <v>146</v>
      </c>
      <c r="E45" s="52" t="s">
        <v>147</v>
      </c>
      <c r="F45" s="52" t="s">
        <v>87</v>
      </c>
      <c r="G45" s="51">
        <v>19</v>
      </c>
      <c r="H45" s="53">
        <v>43465</v>
      </c>
      <c r="I45" s="53" t="s">
        <v>88</v>
      </c>
    </row>
    <row r="46" spans="1:11" x14ac:dyDescent="0.25">
      <c r="A46" t="s">
        <v>70</v>
      </c>
      <c r="B46" s="49">
        <v>4</v>
      </c>
      <c r="C46" s="51">
        <f>22836.32*G46</f>
        <v>448847.86960000003</v>
      </c>
      <c r="D46" s="52" t="s">
        <v>148</v>
      </c>
      <c r="E46" s="52" t="s">
        <v>1623</v>
      </c>
      <c r="F46" s="52" t="s">
        <v>1624</v>
      </c>
      <c r="G46" s="58">
        <v>19.655000000000001</v>
      </c>
      <c r="H46" s="52">
        <v>30.78</v>
      </c>
      <c r="I46" s="53">
        <v>43469</v>
      </c>
      <c r="J46" s="52" t="s">
        <v>62</v>
      </c>
    </row>
    <row r="47" spans="1:11" x14ac:dyDescent="0.25">
      <c r="A47" t="s">
        <v>70</v>
      </c>
      <c r="B47" s="49">
        <v>4</v>
      </c>
      <c r="C47" s="51">
        <f>23473.46*G47</f>
        <v>460854.44017999998</v>
      </c>
      <c r="D47" s="52" t="s">
        <v>143</v>
      </c>
      <c r="E47" s="52" t="s">
        <v>144</v>
      </c>
      <c r="F47" s="52" t="s">
        <v>145</v>
      </c>
      <c r="G47" s="58">
        <v>19.632999999999999</v>
      </c>
      <c r="H47" s="52">
        <v>31.1</v>
      </c>
      <c r="I47" s="53">
        <v>43469</v>
      </c>
      <c r="J47" s="52" t="s">
        <v>62</v>
      </c>
    </row>
    <row r="48" spans="1:11" x14ac:dyDescent="0.25">
      <c r="A48" t="s">
        <v>70</v>
      </c>
      <c r="B48" s="66">
        <v>4</v>
      </c>
      <c r="C48" s="51">
        <f>947926.9-23746.9</f>
        <v>924180</v>
      </c>
      <c r="D48" s="52" t="s">
        <v>149</v>
      </c>
      <c r="E48" s="52" t="s">
        <v>150</v>
      </c>
      <c r="F48" s="52" t="s">
        <v>73</v>
      </c>
      <c r="G48" s="51" t="s">
        <v>1633</v>
      </c>
      <c r="H48" s="52"/>
      <c r="I48" s="52"/>
      <c r="J48" s="53">
        <v>43469</v>
      </c>
      <c r="K48" s="52" t="s">
        <v>55</v>
      </c>
    </row>
    <row r="49" spans="1:16" x14ac:dyDescent="0.25">
      <c r="A49" t="s">
        <v>70</v>
      </c>
      <c r="B49" s="49">
        <v>4</v>
      </c>
      <c r="C49" s="51">
        <f>715680+18374.4</f>
        <v>734054.40000000002</v>
      </c>
      <c r="D49" s="52" t="s">
        <v>152</v>
      </c>
      <c r="E49" s="52" t="s">
        <v>153</v>
      </c>
      <c r="F49" s="52" t="s">
        <v>52</v>
      </c>
      <c r="G49" s="53">
        <v>43465</v>
      </c>
      <c r="H49" s="52" t="s">
        <v>55</v>
      </c>
    </row>
    <row r="50" spans="1:16" x14ac:dyDescent="0.25">
      <c r="A50" t="s">
        <v>70</v>
      </c>
      <c r="B50" s="49">
        <v>4</v>
      </c>
      <c r="C50" s="51">
        <f>105700+2505.6</f>
        <v>108205.6</v>
      </c>
      <c r="D50" s="52" t="s">
        <v>154</v>
      </c>
      <c r="E50" s="52" t="s">
        <v>155</v>
      </c>
      <c r="F50" s="52" t="s">
        <v>52</v>
      </c>
      <c r="G50" s="53">
        <v>43465</v>
      </c>
      <c r="H50" s="52" t="s">
        <v>55</v>
      </c>
    </row>
    <row r="51" spans="1:16" x14ac:dyDescent="0.25">
      <c r="A51" t="s">
        <v>70</v>
      </c>
      <c r="B51" s="49">
        <v>4</v>
      </c>
      <c r="C51" s="51">
        <f>715680+18290.88</f>
        <v>733970.88</v>
      </c>
      <c r="D51" s="52" t="s">
        <v>156</v>
      </c>
      <c r="E51" s="52" t="s">
        <v>157</v>
      </c>
      <c r="F51" s="52" t="s">
        <v>52</v>
      </c>
      <c r="G51" s="53">
        <v>43465</v>
      </c>
      <c r="H51" s="52" t="s">
        <v>55</v>
      </c>
    </row>
    <row r="52" spans="1:16" x14ac:dyDescent="0.25">
      <c r="A52" t="s">
        <v>70</v>
      </c>
      <c r="B52" s="49">
        <v>4</v>
      </c>
      <c r="C52" s="51">
        <f>93800+2505.6</f>
        <v>96305.600000000006</v>
      </c>
      <c r="D52" s="52" t="s">
        <v>156</v>
      </c>
      <c r="E52" s="52" t="s">
        <v>158</v>
      </c>
      <c r="F52" s="52" t="s">
        <v>52</v>
      </c>
      <c r="G52" s="53">
        <v>43465</v>
      </c>
      <c r="H52" s="52" t="s">
        <v>55</v>
      </c>
    </row>
    <row r="53" spans="1:16" x14ac:dyDescent="0.25">
      <c r="A53" t="s">
        <v>70</v>
      </c>
      <c r="B53" s="49">
        <v>4</v>
      </c>
      <c r="C53" s="51">
        <f>655900+16704</f>
        <v>672604</v>
      </c>
      <c r="D53" s="52" t="s">
        <v>156</v>
      </c>
      <c r="E53" s="52" t="s">
        <v>159</v>
      </c>
      <c r="F53" s="52" t="s">
        <v>52</v>
      </c>
      <c r="G53" s="53">
        <v>43465</v>
      </c>
      <c r="H53" s="52" t="s">
        <v>55</v>
      </c>
    </row>
    <row r="54" spans="1:16" x14ac:dyDescent="0.25">
      <c r="A54" s="37" t="s">
        <v>89</v>
      </c>
      <c r="B54" s="49">
        <v>5</v>
      </c>
    </row>
    <row r="55" spans="1:16" x14ac:dyDescent="0.25">
      <c r="A55" s="37" t="s">
        <v>90</v>
      </c>
      <c r="B55" s="49">
        <v>6</v>
      </c>
    </row>
    <row r="56" spans="1:16" x14ac:dyDescent="0.25">
      <c r="A56" t="s">
        <v>91</v>
      </c>
      <c r="B56" s="49">
        <v>7</v>
      </c>
      <c r="C56" s="54">
        <f>24000*G56</f>
        <v>465383.99999999994</v>
      </c>
      <c r="D56" s="55" t="s">
        <v>160</v>
      </c>
      <c r="E56" s="55" t="s">
        <v>1717</v>
      </c>
      <c r="F56" s="55" t="s">
        <v>1660</v>
      </c>
      <c r="G56" s="56">
        <v>19.390999999999998</v>
      </c>
      <c r="H56" s="55">
        <v>31.04</v>
      </c>
      <c r="I56" s="57">
        <v>43472</v>
      </c>
      <c r="J56" s="55" t="s">
        <v>62</v>
      </c>
    </row>
    <row r="57" spans="1:16" x14ac:dyDescent="0.25">
      <c r="A57" t="s">
        <v>91</v>
      </c>
      <c r="B57" s="49">
        <v>7</v>
      </c>
      <c r="C57" s="54">
        <f>24000*G57</f>
        <v>464640</v>
      </c>
      <c r="D57" s="55" t="s">
        <v>1673</v>
      </c>
      <c r="E57" s="55" t="s">
        <v>1704</v>
      </c>
      <c r="F57" s="55" t="s">
        <v>1660</v>
      </c>
      <c r="G57" s="56">
        <v>19.36</v>
      </c>
      <c r="H57" s="55">
        <v>30.91</v>
      </c>
      <c r="I57" s="57">
        <v>43472</v>
      </c>
      <c r="J57" s="55" t="s">
        <v>62</v>
      </c>
    </row>
    <row r="58" spans="1:16" x14ac:dyDescent="0.25">
      <c r="A58" t="s">
        <v>91</v>
      </c>
      <c r="B58" s="49">
        <v>7</v>
      </c>
      <c r="C58" s="51">
        <f>22428.76*G58</f>
        <v>434916.0851599999</v>
      </c>
      <c r="D58" s="52" t="s">
        <v>1665</v>
      </c>
      <c r="E58" s="52" t="s">
        <v>1666</v>
      </c>
      <c r="F58" s="52" t="s">
        <v>1671</v>
      </c>
      <c r="G58" s="58">
        <v>19.390999999999998</v>
      </c>
      <c r="H58" s="52">
        <v>30.55</v>
      </c>
      <c r="I58" s="53">
        <v>43472</v>
      </c>
      <c r="J58" s="52" t="s">
        <v>62</v>
      </c>
      <c r="K58" s="55" t="s">
        <v>1672</v>
      </c>
      <c r="L58" s="55"/>
      <c r="M58" s="55"/>
      <c r="N58" s="55"/>
      <c r="O58" s="55"/>
      <c r="P58" s="55"/>
    </row>
    <row r="59" spans="1:16" x14ac:dyDescent="0.25">
      <c r="A59" t="s">
        <v>91</v>
      </c>
      <c r="B59" s="49">
        <v>7</v>
      </c>
      <c r="C59" s="51">
        <v>299109.18</v>
      </c>
      <c r="D59" s="52" t="s">
        <v>161</v>
      </c>
      <c r="E59" s="52" t="s">
        <v>162</v>
      </c>
      <c r="F59" s="52" t="s">
        <v>163</v>
      </c>
      <c r="G59" s="58">
        <v>35.5</v>
      </c>
      <c r="H59" s="53">
        <v>43472</v>
      </c>
      <c r="I59" s="52" t="s">
        <v>62</v>
      </c>
    </row>
    <row r="60" spans="1:16" x14ac:dyDescent="0.25">
      <c r="A60" t="s">
        <v>91</v>
      </c>
      <c r="B60" s="49">
        <v>7</v>
      </c>
      <c r="C60" s="51">
        <f>667520+18374.4</f>
        <v>685894.4</v>
      </c>
      <c r="D60" s="52" t="s">
        <v>164</v>
      </c>
      <c r="E60" s="52" t="s">
        <v>165</v>
      </c>
      <c r="F60" s="52" t="s">
        <v>52</v>
      </c>
      <c r="G60" s="53">
        <v>43472</v>
      </c>
      <c r="H60" s="52" t="s">
        <v>55</v>
      </c>
    </row>
    <row r="61" spans="1:16" x14ac:dyDescent="0.25">
      <c r="A61" t="s">
        <v>91</v>
      </c>
      <c r="B61" s="49">
        <v>7</v>
      </c>
      <c r="C61" s="51">
        <f>486640+13363.2-3052</f>
        <v>496951.2</v>
      </c>
      <c r="D61" s="52" t="s">
        <v>164</v>
      </c>
      <c r="E61" s="52" t="s">
        <v>166</v>
      </c>
      <c r="F61" s="52" t="s">
        <v>52</v>
      </c>
      <c r="G61" s="53">
        <v>43473</v>
      </c>
      <c r="H61" s="52" t="s">
        <v>55</v>
      </c>
    </row>
    <row r="62" spans="1:16" x14ac:dyDescent="0.25">
      <c r="A62" t="s">
        <v>91</v>
      </c>
      <c r="B62" s="49">
        <v>7</v>
      </c>
      <c r="C62" s="51">
        <f>542220+13279.68</f>
        <v>555499.68000000005</v>
      </c>
      <c r="D62" s="52" t="s">
        <v>167</v>
      </c>
      <c r="E62" s="52" t="s">
        <v>168</v>
      </c>
      <c r="F62" s="52" t="s">
        <v>52</v>
      </c>
      <c r="G62" s="53">
        <v>43468</v>
      </c>
      <c r="H62" s="52" t="s">
        <v>55</v>
      </c>
    </row>
    <row r="63" spans="1:16" x14ac:dyDescent="0.25">
      <c r="A63" t="s">
        <v>91</v>
      </c>
      <c r="B63" s="49">
        <v>7</v>
      </c>
      <c r="C63" s="51">
        <f>778680+18290.88</f>
        <v>796970.88</v>
      </c>
      <c r="D63" s="52" t="s">
        <v>167</v>
      </c>
      <c r="E63" s="52" t="s">
        <v>169</v>
      </c>
      <c r="F63" s="52" t="s">
        <v>52</v>
      </c>
      <c r="G63" s="53">
        <v>43468</v>
      </c>
      <c r="H63" s="52" t="s">
        <v>55</v>
      </c>
    </row>
    <row r="64" spans="1:16" x14ac:dyDescent="0.25">
      <c r="A64" t="s">
        <v>122</v>
      </c>
      <c r="B64" s="49">
        <v>8</v>
      </c>
      <c r="C64" s="51">
        <v>44366</v>
      </c>
      <c r="D64" s="52" t="s">
        <v>1696</v>
      </c>
      <c r="E64" s="52" t="s">
        <v>1697</v>
      </c>
      <c r="F64" s="52" t="s">
        <v>120</v>
      </c>
      <c r="G64" s="53">
        <v>43473</v>
      </c>
      <c r="H64" s="52" t="s">
        <v>55</v>
      </c>
    </row>
    <row r="65" spans="1:15" x14ac:dyDescent="0.25">
      <c r="A65" t="s">
        <v>122</v>
      </c>
      <c r="B65" s="49">
        <v>8</v>
      </c>
      <c r="C65" s="51">
        <v>757010.8</v>
      </c>
      <c r="D65" s="52" t="s">
        <v>170</v>
      </c>
      <c r="E65" s="52" t="s">
        <v>171</v>
      </c>
      <c r="F65" s="52" t="s">
        <v>73</v>
      </c>
      <c r="G65" s="53">
        <v>43472</v>
      </c>
      <c r="H65" s="52" t="s">
        <v>55</v>
      </c>
    </row>
    <row r="66" spans="1:15" x14ac:dyDescent="0.25">
      <c r="A66" t="s">
        <v>122</v>
      </c>
      <c r="B66" s="49">
        <v>8</v>
      </c>
      <c r="C66" s="51">
        <f>23213.36*G66</f>
        <v>449410.6496</v>
      </c>
      <c r="D66" s="52" t="s">
        <v>1667</v>
      </c>
      <c r="E66" s="52" t="s">
        <v>1668</v>
      </c>
      <c r="F66" s="52" t="s">
        <v>1669</v>
      </c>
      <c r="G66" s="58">
        <v>19.36</v>
      </c>
      <c r="H66" s="52">
        <v>30.54</v>
      </c>
      <c r="I66" s="53">
        <v>43473</v>
      </c>
      <c r="J66" s="52" t="s">
        <v>62</v>
      </c>
    </row>
    <row r="67" spans="1:15" x14ac:dyDescent="0.25">
      <c r="A67" t="s">
        <v>43</v>
      </c>
      <c r="B67" s="49">
        <v>9</v>
      </c>
      <c r="C67" s="54">
        <f>22000*G67</f>
        <v>426161.99999999994</v>
      </c>
      <c r="D67" s="55" t="s">
        <v>1663</v>
      </c>
      <c r="E67" s="55" t="s">
        <v>1840</v>
      </c>
      <c r="F67" s="55" t="s">
        <v>1659</v>
      </c>
      <c r="G67" s="56">
        <v>19.370999999999999</v>
      </c>
      <c r="H67" s="55">
        <v>32.049999999999997</v>
      </c>
      <c r="I67" s="57">
        <v>43474</v>
      </c>
      <c r="J67" s="55" t="s">
        <v>62</v>
      </c>
    </row>
    <row r="68" spans="1:15" x14ac:dyDescent="0.25">
      <c r="A68" t="s">
        <v>43</v>
      </c>
      <c r="B68" s="49">
        <v>9</v>
      </c>
      <c r="C68" s="54">
        <f>22000*G68</f>
        <v>426161.99999999994</v>
      </c>
      <c r="D68" s="55" t="s">
        <v>1664</v>
      </c>
      <c r="E68" s="55" t="s">
        <v>1841</v>
      </c>
      <c r="F68" s="55" t="s">
        <v>1659</v>
      </c>
      <c r="G68" s="56">
        <v>19.370999999999999</v>
      </c>
      <c r="H68" s="55">
        <v>32.14</v>
      </c>
      <c r="I68" s="57">
        <v>43474</v>
      </c>
      <c r="J68" s="55" t="s">
        <v>62</v>
      </c>
    </row>
    <row r="69" spans="1:15" x14ac:dyDescent="0.25">
      <c r="A69" t="s">
        <v>43</v>
      </c>
      <c r="B69" s="49">
        <v>9</v>
      </c>
      <c r="C69" s="51">
        <f>711760+18290.88</f>
        <v>730050.88</v>
      </c>
      <c r="D69" s="52" t="s">
        <v>172</v>
      </c>
      <c r="E69" s="52" t="s">
        <v>173</v>
      </c>
      <c r="F69" s="52" t="s">
        <v>52</v>
      </c>
      <c r="G69" s="53">
        <v>43465</v>
      </c>
      <c r="H69" s="52" t="s">
        <v>55</v>
      </c>
    </row>
    <row r="70" spans="1:15" x14ac:dyDescent="0.25">
      <c r="A70" t="s">
        <v>43</v>
      </c>
      <c r="B70" s="49">
        <v>9</v>
      </c>
      <c r="C70" s="51">
        <f>353640+9187.2</f>
        <v>362827.2</v>
      </c>
      <c r="D70" s="52" t="s">
        <v>174</v>
      </c>
      <c r="E70" s="52" t="s">
        <v>175</v>
      </c>
      <c r="F70" s="52" t="s">
        <v>52</v>
      </c>
      <c r="G70" s="53">
        <v>43473</v>
      </c>
      <c r="H70" s="52" t="s">
        <v>55</v>
      </c>
    </row>
    <row r="71" spans="1:15" x14ac:dyDescent="0.25">
      <c r="A71" t="s">
        <v>59</v>
      </c>
      <c r="B71" s="49">
        <v>10</v>
      </c>
      <c r="C71" s="54">
        <f>24000*G71</f>
        <v>462264</v>
      </c>
      <c r="D71" s="55" t="s">
        <v>1661</v>
      </c>
      <c r="E71" s="55" t="s">
        <v>1849</v>
      </c>
      <c r="F71" s="55" t="s">
        <v>1660</v>
      </c>
      <c r="G71" s="56">
        <v>19.260999999999999</v>
      </c>
      <c r="H71" s="55">
        <v>32.47</v>
      </c>
      <c r="I71" s="57">
        <v>43475</v>
      </c>
      <c r="J71" s="55" t="s">
        <v>62</v>
      </c>
    </row>
    <row r="72" spans="1:15" x14ac:dyDescent="0.25">
      <c r="A72" t="s">
        <v>59</v>
      </c>
      <c r="B72" s="49">
        <v>10</v>
      </c>
      <c r="C72" s="51">
        <f>22233.16*G72</f>
        <v>428321.82740000001</v>
      </c>
      <c r="D72" s="52" t="s">
        <v>1670</v>
      </c>
      <c r="E72" s="52" t="s">
        <v>1681</v>
      </c>
      <c r="F72" s="52" t="s">
        <v>1689</v>
      </c>
      <c r="G72" s="58">
        <v>19.265000000000001</v>
      </c>
      <c r="H72" s="52">
        <v>29.95</v>
      </c>
      <c r="I72" s="53">
        <v>43475</v>
      </c>
      <c r="J72" s="52" t="s">
        <v>62</v>
      </c>
      <c r="K72" s="55" t="s">
        <v>1705</v>
      </c>
      <c r="L72" s="55"/>
      <c r="M72" s="55"/>
      <c r="N72" s="55"/>
      <c r="O72" s="55"/>
    </row>
    <row r="73" spans="1:15" x14ac:dyDescent="0.25">
      <c r="A73" t="s">
        <v>59</v>
      </c>
      <c r="B73" s="49">
        <v>10</v>
      </c>
      <c r="C73" s="51">
        <f>728840+19126.08</f>
        <v>747966.08</v>
      </c>
      <c r="D73" s="52" t="s">
        <v>176</v>
      </c>
      <c r="E73" s="52" t="s">
        <v>177</v>
      </c>
      <c r="F73" s="52" t="s">
        <v>52</v>
      </c>
      <c r="G73" s="53">
        <v>43473</v>
      </c>
      <c r="H73" s="52" t="s">
        <v>55</v>
      </c>
    </row>
    <row r="74" spans="1:15" x14ac:dyDescent="0.25">
      <c r="A74" t="s">
        <v>59</v>
      </c>
      <c r="B74" s="49">
        <v>10</v>
      </c>
      <c r="C74" s="51">
        <f>62720+1670.4</f>
        <v>64390.400000000001</v>
      </c>
      <c r="D74" s="52" t="s">
        <v>178</v>
      </c>
      <c r="E74" s="52" t="s">
        <v>179</v>
      </c>
      <c r="F74" s="52" t="s">
        <v>52</v>
      </c>
      <c r="G74" s="53">
        <v>43473</v>
      </c>
      <c r="H74" s="52" t="s">
        <v>55</v>
      </c>
    </row>
    <row r="75" spans="1:15" x14ac:dyDescent="0.25">
      <c r="A75" t="s">
        <v>70</v>
      </c>
      <c r="B75" s="49">
        <v>11</v>
      </c>
      <c r="C75" s="51">
        <f>742840+18374.4</f>
        <v>761214.4</v>
      </c>
      <c r="D75" s="52" t="s">
        <v>180</v>
      </c>
      <c r="E75" s="52" t="s">
        <v>181</v>
      </c>
      <c r="F75" s="52" t="s">
        <v>52</v>
      </c>
      <c r="G75" s="53">
        <v>43474</v>
      </c>
      <c r="H75" s="52" t="s">
        <v>55</v>
      </c>
    </row>
    <row r="76" spans="1:15" x14ac:dyDescent="0.25">
      <c r="A76" t="s">
        <v>70</v>
      </c>
      <c r="B76" s="49">
        <v>11</v>
      </c>
      <c r="C76" s="51">
        <f>190120+4320</f>
        <v>194440</v>
      </c>
      <c r="D76" s="52" t="s">
        <v>182</v>
      </c>
      <c r="E76" s="52" t="s">
        <v>183</v>
      </c>
      <c r="F76" s="52" t="s">
        <v>52</v>
      </c>
      <c r="G76" s="53">
        <v>43475</v>
      </c>
      <c r="H76" s="52" t="s">
        <v>55</v>
      </c>
    </row>
    <row r="77" spans="1:15" x14ac:dyDescent="0.25">
      <c r="A77" t="s">
        <v>70</v>
      </c>
      <c r="B77" s="49">
        <v>11</v>
      </c>
      <c r="C77" s="51">
        <f>688940+18374.4-3136</f>
        <v>704178.4</v>
      </c>
      <c r="D77" s="52" t="s">
        <v>184</v>
      </c>
      <c r="E77" s="52" t="s">
        <v>185</v>
      </c>
      <c r="F77" s="52" t="s">
        <v>52</v>
      </c>
      <c r="G77" s="53">
        <v>43479</v>
      </c>
      <c r="H77" s="52" t="s">
        <v>55</v>
      </c>
      <c r="I77" s="62"/>
    </row>
    <row r="78" spans="1:15" x14ac:dyDescent="0.25">
      <c r="A78" t="s">
        <v>70</v>
      </c>
      <c r="B78" s="49">
        <v>11</v>
      </c>
      <c r="C78" s="51">
        <v>733077.36</v>
      </c>
      <c r="D78" s="52" t="s">
        <v>1707</v>
      </c>
      <c r="E78" s="52" t="s">
        <v>1706</v>
      </c>
      <c r="F78" s="52" t="s">
        <v>73</v>
      </c>
      <c r="G78" s="53">
        <v>43475</v>
      </c>
      <c r="H78" s="52" t="s">
        <v>55</v>
      </c>
      <c r="I78" s="62"/>
    </row>
    <row r="79" spans="1:15" x14ac:dyDescent="0.25">
      <c r="A79" t="s">
        <v>70</v>
      </c>
      <c r="B79" s="49">
        <v>11</v>
      </c>
      <c r="C79" s="51">
        <f>22756.95*G79</f>
        <v>436592.08574999997</v>
      </c>
      <c r="D79" s="52" t="s">
        <v>1710</v>
      </c>
      <c r="E79" s="52" t="s">
        <v>1711</v>
      </c>
      <c r="F79" s="52" t="s">
        <v>1712</v>
      </c>
      <c r="G79" s="58">
        <v>19.184999999999999</v>
      </c>
      <c r="H79" s="52">
        <v>29.43</v>
      </c>
      <c r="I79" s="53">
        <v>43476</v>
      </c>
      <c r="J79" s="52" t="s">
        <v>62</v>
      </c>
    </row>
    <row r="80" spans="1:15" x14ac:dyDescent="0.25">
      <c r="A80" s="37" t="s">
        <v>89</v>
      </c>
      <c r="B80" s="49">
        <v>12</v>
      </c>
    </row>
    <row r="81" spans="1:10" x14ac:dyDescent="0.25">
      <c r="A81" s="37" t="s">
        <v>90</v>
      </c>
      <c r="B81" s="49">
        <v>13</v>
      </c>
    </row>
    <row r="82" spans="1:10" x14ac:dyDescent="0.25">
      <c r="A82" t="s">
        <v>91</v>
      </c>
      <c r="B82" s="49">
        <v>14</v>
      </c>
      <c r="C82" s="54">
        <f>26000*G82</f>
        <v>525200</v>
      </c>
      <c r="D82" s="55" t="s">
        <v>1662</v>
      </c>
      <c r="E82" s="55" t="s">
        <v>1870</v>
      </c>
      <c r="F82" s="55" t="s">
        <v>1764</v>
      </c>
      <c r="G82" s="56">
        <v>20.2</v>
      </c>
      <c r="H82" s="55">
        <v>33.090000000000003</v>
      </c>
      <c r="I82" s="57">
        <v>43479</v>
      </c>
      <c r="J82" s="55" t="s">
        <v>62</v>
      </c>
    </row>
    <row r="83" spans="1:10" x14ac:dyDescent="0.25">
      <c r="A83" t="s">
        <v>91</v>
      </c>
      <c r="B83" s="49">
        <v>14</v>
      </c>
      <c r="C83" s="51">
        <f>23304.69*G83</f>
        <v>447217.00109999999</v>
      </c>
      <c r="D83" s="52" t="s">
        <v>1761</v>
      </c>
      <c r="E83" s="52" t="s">
        <v>1762</v>
      </c>
      <c r="F83" s="52" t="s">
        <v>1763</v>
      </c>
      <c r="G83" s="58">
        <v>19.190000000000001</v>
      </c>
      <c r="H83" s="52">
        <v>29.97</v>
      </c>
      <c r="I83" s="53">
        <v>43479</v>
      </c>
      <c r="J83" s="52" t="s">
        <v>62</v>
      </c>
    </row>
    <row r="84" spans="1:10" x14ac:dyDescent="0.25">
      <c r="A84" t="s">
        <v>91</v>
      </c>
      <c r="B84" s="49">
        <v>14</v>
      </c>
      <c r="C84" s="51">
        <f>777980+19209.6</f>
        <v>797189.6</v>
      </c>
      <c r="D84" s="52" t="s">
        <v>187</v>
      </c>
      <c r="E84" s="52" t="s">
        <v>188</v>
      </c>
      <c r="F84" s="52" t="s">
        <v>52</v>
      </c>
      <c r="G84" s="53">
        <v>43476</v>
      </c>
      <c r="H84" s="52" t="s">
        <v>55</v>
      </c>
    </row>
    <row r="85" spans="1:10" x14ac:dyDescent="0.25">
      <c r="A85" t="s">
        <v>91</v>
      </c>
      <c r="B85" s="49">
        <v>14</v>
      </c>
      <c r="C85" s="51">
        <f>661920+18374.4</f>
        <v>680294.40000000002</v>
      </c>
      <c r="D85" s="52" t="s">
        <v>189</v>
      </c>
      <c r="E85" s="52" t="s">
        <v>190</v>
      </c>
      <c r="F85" s="52" t="s">
        <v>52</v>
      </c>
      <c r="G85" s="53">
        <v>43479</v>
      </c>
      <c r="H85" s="52" t="s">
        <v>55</v>
      </c>
    </row>
    <row r="86" spans="1:10" x14ac:dyDescent="0.25">
      <c r="A86" t="s">
        <v>91</v>
      </c>
      <c r="B86" s="49">
        <v>14</v>
      </c>
      <c r="C86" s="51">
        <f>625240+18290.88</f>
        <v>643530.88</v>
      </c>
      <c r="D86" s="52" t="s">
        <v>191</v>
      </c>
      <c r="E86" s="52" t="s">
        <v>192</v>
      </c>
      <c r="F86" s="52" t="s">
        <v>52</v>
      </c>
      <c r="G86" s="53">
        <v>43480</v>
      </c>
      <c r="H86" s="52" t="s">
        <v>55</v>
      </c>
    </row>
    <row r="87" spans="1:10" x14ac:dyDescent="0.25">
      <c r="A87" t="s">
        <v>91</v>
      </c>
      <c r="B87" s="49">
        <v>14</v>
      </c>
      <c r="C87" s="51">
        <f>541100+13363.2</f>
        <v>554463.19999999995</v>
      </c>
      <c r="D87" s="52" t="s">
        <v>193</v>
      </c>
      <c r="E87" s="52" t="s">
        <v>194</v>
      </c>
      <c r="F87" s="52" t="s">
        <v>52</v>
      </c>
      <c r="G87" s="53">
        <v>43480</v>
      </c>
      <c r="H87" s="52" t="s">
        <v>55</v>
      </c>
    </row>
    <row r="88" spans="1:10" x14ac:dyDescent="0.25">
      <c r="A88" t="s">
        <v>122</v>
      </c>
      <c r="B88" s="49">
        <v>15</v>
      </c>
      <c r="C88" s="51">
        <f>24705.05*G88</f>
        <v>470977.07319999998</v>
      </c>
      <c r="D88" s="52" t="s">
        <v>1822</v>
      </c>
      <c r="E88" s="52" t="s">
        <v>1827</v>
      </c>
      <c r="F88" s="52" t="s">
        <v>1828</v>
      </c>
      <c r="G88" s="58">
        <v>19.064</v>
      </c>
      <c r="H88" s="52">
        <v>32.200000000000003</v>
      </c>
      <c r="I88" s="53">
        <v>43480</v>
      </c>
      <c r="J88" s="52" t="s">
        <v>62</v>
      </c>
    </row>
    <row r="89" spans="1:10" x14ac:dyDescent="0.25">
      <c r="A89" t="s">
        <v>122</v>
      </c>
      <c r="B89" s="49">
        <v>15</v>
      </c>
      <c r="C89" s="51">
        <v>17173.8</v>
      </c>
      <c r="D89" s="52" t="s">
        <v>1809</v>
      </c>
      <c r="E89" s="52" t="s">
        <v>1808</v>
      </c>
      <c r="F89" s="52" t="s">
        <v>87</v>
      </c>
      <c r="G89" s="52">
        <v>18.8</v>
      </c>
      <c r="H89" s="53">
        <v>43481</v>
      </c>
      <c r="I89" s="52" t="s">
        <v>62</v>
      </c>
    </row>
    <row r="90" spans="1:10" x14ac:dyDescent="0.25">
      <c r="A90" t="s">
        <v>122</v>
      </c>
      <c r="B90" s="49">
        <v>15</v>
      </c>
      <c r="C90" s="51">
        <v>104601.60000000001</v>
      </c>
      <c r="D90" s="52" t="s">
        <v>1813</v>
      </c>
      <c r="E90" s="52" t="s">
        <v>1812</v>
      </c>
      <c r="F90" s="52" t="s">
        <v>1798</v>
      </c>
      <c r="G90" s="52">
        <v>64</v>
      </c>
      <c r="H90" s="53">
        <v>43481</v>
      </c>
      <c r="I90" s="52" t="s">
        <v>62</v>
      </c>
    </row>
    <row r="91" spans="1:10" x14ac:dyDescent="0.25">
      <c r="A91" t="s">
        <v>122</v>
      </c>
      <c r="B91" s="49">
        <v>16</v>
      </c>
      <c r="C91" s="51">
        <v>108572.94</v>
      </c>
      <c r="D91" s="52" t="s">
        <v>1793</v>
      </c>
      <c r="E91" s="52" t="s">
        <v>1792</v>
      </c>
      <c r="F91" s="52" t="s">
        <v>1794</v>
      </c>
      <c r="G91" s="52">
        <v>54</v>
      </c>
      <c r="H91" s="53">
        <v>43481</v>
      </c>
      <c r="I91" s="52" t="s">
        <v>62</v>
      </c>
    </row>
    <row r="92" spans="1:10" x14ac:dyDescent="0.25">
      <c r="A92" t="s">
        <v>43</v>
      </c>
      <c r="B92" s="49">
        <v>16</v>
      </c>
      <c r="C92" s="54">
        <f t="shared" ref="C92:C93" si="0">26000*G92</f>
        <v>496600.00000000006</v>
      </c>
      <c r="D92" s="55" t="s">
        <v>1818</v>
      </c>
      <c r="E92" s="55" t="s">
        <v>1933</v>
      </c>
      <c r="F92" s="55" t="s">
        <v>1764</v>
      </c>
      <c r="G92" s="56">
        <v>19.100000000000001</v>
      </c>
      <c r="H92" s="55">
        <v>33.24</v>
      </c>
      <c r="I92" s="57">
        <v>43481</v>
      </c>
      <c r="J92" s="55" t="s">
        <v>62</v>
      </c>
    </row>
    <row r="93" spans="1:10" x14ac:dyDescent="0.25">
      <c r="A93" t="s">
        <v>43</v>
      </c>
      <c r="B93" s="49">
        <v>16</v>
      </c>
      <c r="C93" s="54">
        <f t="shared" si="0"/>
        <v>496600.00000000006</v>
      </c>
      <c r="D93" s="55" t="s">
        <v>1819</v>
      </c>
      <c r="E93" s="55" t="s">
        <v>1932</v>
      </c>
      <c r="F93" s="55" t="s">
        <v>1764</v>
      </c>
      <c r="G93" s="56">
        <v>19.100000000000001</v>
      </c>
      <c r="H93" s="55">
        <v>33.1</v>
      </c>
      <c r="I93" s="57">
        <v>43481</v>
      </c>
      <c r="J93" s="55" t="s">
        <v>62</v>
      </c>
    </row>
    <row r="94" spans="1:10" x14ac:dyDescent="0.25">
      <c r="A94" t="s">
        <v>43</v>
      </c>
      <c r="B94" s="49">
        <v>16</v>
      </c>
      <c r="C94" s="51">
        <v>54291.95</v>
      </c>
      <c r="D94" s="52" t="s">
        <v>1817</v>
      </c>
      <c r="E94" s="52" t="s">
        <v>1816</v>
      </c>
      <c r="F94" s="52" t="s">
        <v>87</v>
      </c>
      <c r="G94" s="52">
        <v>18.5</v>
      </c>
      <c r="H94" s="53">
        <v>43481</v>
      </c>
      <c r="I94" s="52" t="s">
        <v>62</v>
      </c>
    </row>
    <row r="95" spans="1:10" x14ac:dyDescent="0.25">
      <c r="A95" t="s">
        <v>43</v>
      </c>
      <c r="B95" s="49">
        <v>16</v>
      </c>
      <c r="C95" s="51">
        <f>737660+19126.08-6440</f>
        <v>750346.08</v>
      </c>
      <c r="D95" s="52" t="s">
        <v>1766</v>
      </c>
      <c r="E95" s="52" t="s">
        <v>1637</v>
      </c>
      <c r="F95" s="52" t="s">
        <v>52</v>
      </c>
      <c r="G95" s="53">
        <v>43480</v>
      </c>
      <c r="H95" s="52" t="s">
        <v>55</v>
      </c>
    </row>
    <row r="96" spans="1:10" x14ac:dyDescent="0.25">
      <c r="A96" t="s">
        <v>43</v>
      </c>
      <c r="B96" s="49">
        <v>16</v>
      </c>
      <c r="C96" s="51">
        <f>323260+8352</f>
        <v>331612</v>
      </c>
      <c r="D96" s="52" t="s">
        <v>1767</v>
      </c>
      <c r="E96" s="52" t="s">
        <v>1638</v>
      </c>
      <c r="F96" s="52" t="s">
        <v>52</v>
      </c>
      <c r="G96" s="53">
        <v>43481</v>
      </c>
      <c r="H96" s="52" t="s">
        <v>55</v>
      </c>
    </row>
    <row r="97" spans="1:10" x14ac:dyDescent="0.25">
      <c r="A97" t="s">
        <v>59</v>
      </c>
      <c r="B97" s="49">
        <v>17</v>
      </c>
      <c r="C97" s="54">
        <f>26500*G97</f>
        <v>503659</v>
      </c>
      <c r="D97" s="55" t="s">
        <v>1820</v>
      </c>
      <c r="E97" s="55" t="s">
        <v>1945</v>
      </c>
      <c r="F97" s="55" t="s">
        <v>1851</v>
      </c>
      <c r="G97" s="56">
        <v>19.006</v>
      </c>
      <c r="H97" s="55">
        <v>33.79</v>
      </c>
      <c r="I97" s="57">
        <v>43482</v>
      </c>
      <c r="J97" s="55" t="s">
        <v>62</v>
      </c>
    </row>
    <row r="98" spans="1:10" x14ac:dyDescent="0.25">
      <c r="A98" t="s">
        <v>59</v>
      </c>
      <c r="B98" s="49">
        <v>17</v>
      </c>
      <c r="C98" s="51">
        <f>24263.27*G98</f>
        <v>461632.97502000001</v>
      </c>
      <c r="D98" s="52" t="s">
        <v>1824</v>
      </c>
      <c r="E98" s="52" t="s">
        <v>1825</v>
      </c>
      <c r="F98" s="52" t="s">
        <v>1826</v>
      </c>
      <c r="G98" s="58">
        <v>19.026</v>
      </c>
      <c r="H98" s="52">
        <v>31.74</v>
      </c>
      <c r="I98" s="53">
        <v>43482</v>
      </c>
      <c r="J98" s="52" t="s">
        <v>62</v>
      </c>
    </row>
    <row r="99" spans="1:10" x14ac:dyDescent="0.25">
      <c r="A99" t="s">
        <v>59</v>
      </c>
      <c r="B99" s="49">
        <v>17</v>
      </c>
      <c r="C99" s="51">
        <v>327320.5</v>
      </c>
      <c r="D99" s="52" t="s">
        <v>1797</v>
      </c>
      <c r="E99" s="52" t="s">
        <v>1796</v>
      </c>
      <c r="F99" s="52" t="s">
        <v>1798</v>
      </c>
      <c r="G99" s="52">
        <v>65</v>
      </c>
      <c r="H99" s="52">
        <v>18.5</v>
      </c>
      <c r="I99" s="53">
        <v>43481</v>
      </c>
    </row>
    <row r="100" spans="1:10" x14ac:dyDescent="0.25">
      <c r="A100" t="s">
        <v>59</v>
      </c>
      <c r="B100" s="49">
        <v>17</v>
      </c>
      <c r="C100" s="51">
        <f>385420+10022.4</f>
        <v>395442.4</v>
      </c>
      <c r="D100" s="52" t="s">
        <v>1768</v>
      </c>
      <c r="E100" s="52" t="s">
        <v>1769</v>
      </c>
      <c r="F100" s="52" t="s">
        <v>52</v>
      </c>
      <c r="G100" s="53">
        <v>43481</v>
      </c>
      <c r="H100" s="52" t="s">
        <v>55</v>
      </c>
    </row>
    <row r="101" spans="1:10" x14ac:dyDescent="0.25">
      <c r="A101" t="s">
        <v>59</v>
      </c>
      <c r="B101" s="49">
        <v>17</v>
      </c>
      <c r="C101" s="51">
        <f>32060+835.2</f>
        <v>32895.199999999997</v>
      </c>
      <c r="D101" s="52" t="s">
        <v>1771</v>
      </c>
      <c r="E101" s="52" t="s">
        <v>1770</v>
      </c>
      <c r="F101" s="52" t="s">
        <v>52</v>
      </c>
      <c r="G101" s="53">
        <v>43482</v>
      </c>
      <c r="H101" s="52" t="s">
        <v>55</v>
      </c>
    </row>
    <row r="102" spans="1:10" x14ac:dyDescent="0.25">
      <c r="A102" t="s">
        <v>59</v>
      </c>
      <c r="B102" s="49">
        <v>17</v>
      </c>
      <c r="C102" s="51">
        <v>45542</v>
      </c>
      <c r="D102" s="52" t="s">
        <v>1864</v>
      </c>
      <c r="E102" s="52" t="s">
        <v>1865</v>
      </c>
      <c r="F102" s="52" t="s">
        <v>120</v>
      </c>
      <c r="G102" s="52">
        <v>70</v>
      </c>
      <c r="H102" s="53">
        <v>43482</v>
      </c>
    </row>
    <row r="103" spans="1:10" x14ac:dyDescent="0.25">
      <c r="A103" t="s">
        <v>70</v>
      </c>
      <c r="B103" s="49">
        <v>18</v>
      </c>
      <c r="C103" s="51">
        <f>23717.5*G103</f>
        <v>450395.32499999995</v>
      </c>
      <c r="D103" s="52" t="s">
        <v>1821</v>
      </c>
      <c r="E103" s="52" t="s">
        <v>1852</v>
      </c>
      <c r="F103" s="133" t="s">
        <v>1853</v>
      </c>
      <c r="G103" s="58">
        <v>18.989999999999998</v>
      </c>
      <c r="H103" s="52">
        <v>32.049999999999997</v>
      </c>
      <c r="I103" s="53">
        <v>43483</v>
      </c>
      <c r="J103" s="52" t="s">
        <v>62</v>
      </c>
    </row>
    <row r="104" spans="1:10" x14ac:dyDescent="0.25">
      <c r="A104" t="s">
        <v>70</v>
      </c>
      <c r="B104" s="49">
        <v>18</v>
      </c>
      <c r="C104" s="51">
        <f>19660*34.9</f>
        <v>686134</v>
      </c>
      <c r="D104" s="52" t="s">
        <v>1787</v>
      </c>
      <c r="E104" s="52" t="s">
        <v>1869</v>
      </c>
      <c r="F104" s="52" t="s">
        <v>73</v>
      </c>
      <c r="G104" s="53">
        <v>43483</v>
      </c>
      <c r="H104" s="52" t="s">
        <v>55</v>
      </c>
    </row>
    <row r="105" spans="1:10" x14ac:dyDescent="0.25">
      <c r="A105" s="37" t="s">
        <v>89</v>
      </c>
      <c r="B105" s="49">
        <v>19</v>
      </c>
    </row>
    <row r="106" spans="1:10" x14ac:dyDescent="0.25">
      <c r="A106" s="37" t="s">
        <v>90</v>
      </c>
      <c r="B106" s="49">
        <v>20</v>
      </c>
    </row>
    <row r="107" spans="1:10" x14ac:dyDescent="0.25">
      <c r="A107" t="s">
        <v>91</v>
      </c>
      <c r="B107" s="49">
        <v>21</v>
      </c>
      <c r="C107" s="54">
        <f>26500*G107</f>
        <v>502917.00000000006</v>
      </c>
      <c r="D107" s="55" t="s">
        <v>1863</v>
      </c>
      <c r="E107" s="55" t="s">
        <v>1954</v>
      </c>
      <c r="F107" s="55" t="s">
        <v>1851</v>
      </c>
      <c r="G107" s="56">
        <v>18.978000000000002</v>
      </c>
      <c r="H107" s="55">
        <v>32.79</v>
      </c>
      <c r="I107" s="57">
        <v>43487</v>
      </c>
      <c r="J107" s="55" t="s">
        <v>62</v>
      </c>
    </row>
    <row r="108" spans="1:10" x14ac:dyDescent="0.25">
      <c r="A108" t="s">
        <v>91</v>
      </c>
      <c r="B108" s="49">
        <v>21</v>
      </c>
      <c r="C108" s="51">
        <f>24883.76*G108</f>
        <v>472243.99728000001</v>
      </c>
      <c r="D108" s="52" t="s">
        <v>1823</v>
      </c>
      <c r="E108" s="52" t="s">
        <v>1842</v>
      </c>
      <c r="F108" s="52" t="s">
        <v>1843</v>
      </c>
      <c r="G108" s="58">
        <v>18.978000000000002</v>
      </c>
      <c r="H108" s="52">
        <v>31.65</v>
      </c>
      <c r="I108" s="53">
        <v>43487</v>
      </c>
      <c r="J108" s="52" t="s">
        <v>62</v>
      </c>
    </row>
    <row r="109" spans="1:10" x14ac:dyDescent="0.25">
      <c r="A109" t="s">
        <v>91</v>
      </c>
      <c r="B109" s="49">
        <v>21</v>
      </c>
      <c r="C109" s="51">
        <f>684320+19209.6</f>
        <v>703529.6</v>
      </c>
      <c r="D109" s="52" t="s">
        <v>1773</v>
      </c>
      <c r="E109" s="52" t="s">
        <v>1774</v>
      </c>
      <c r="F109" s="52" t="s">
        <v>52</v>
      </c>
      <c r="G109" s="53">
        <v>43483</v>
      </c>
      <c r="H109" s="52" t="s">
        <v>55</v>
      </c>
    </row>
    <row r="110" spans="1:10" x14ac:dyDescent="0.25">
      <c r="A110" t="s">
        <v>91</v>
      </c>
      <c r="B110" s="49">
        <v>21</v>
      </c>
      <c r="C110" s="51">
        <f>301840+8352</f>
        <v>310192</v>
      </c>
      <c r="D110" s="52" t="s">
        <v>1776</v>
      </c>
      <c r="E110" s="52" t="s">
        <v>1775</v>
      </c>
      <c r="F110" s="52" t="s">
        <v>52</v>
      </c>
      <c r="G110" s="53">
        <v>43486</v>
      </c>
      <c r="H110" s="52" t="s">
        <v>55</v>
      </c>
    </row>
    <row r="111" spans="1:10" x14ac:dyDescent="0.25">
      <c r="A111" t="s">
        <v>91</v>
      </c>
      <c r="B111" s="49">
        <v>21</v>
      </c>
      <c r="C111" s="51">
        <f>700700+18374.4</f>
        <v>719074.4</v>
      </c>
      <c r="D111" s="52" t="s">
        <v>1777</v>
      </c>
      <c r="E111" s="52" t="s">
        <v>1686</v>
      </c>
      <c r="F111" s="52" t="s">
        <v>52</v>
      </c>
      <c r="G111" s="53">
        <v>43486</v>
      </c>
      <c r="H111" s="52" t="s">
        <v>55</v>
      </c>
    </row>
    <row r="112" spans="1:10" x14ac:dyDescent="0.25">
      <c r="A112" t="s">
        <v>91</v>
      </c>
      <c r="B112" s="49">
        <v>21</v>
      </c>
      <c r="C112" s="51">
        <v>88695.88</v>
      </c>
      <c r="D112" s="52" t="s">
        <v>1916</v>
      </c>
      <c r="E112" s="52" t="s">
        <v>1911</v>
      </c>
      <c r="F112" s="52" t="s">
        <v>87</v>
      </c>
      <c r="G112" s="52">
        <v>18.2</v>
      </c>
      <c r="H112" s="53">
        <v>43486</v>
      </c>
      <c r="I112" s="52" t="s">
        <v>62</v>
      </c>
    </row>
    <row r="113" spans="1:10" x14ac:dyDescent="0.25">
      <c r="A113" t="s">
        <v>91</v>
      </c>
      <c r="B113" s="49">
        <v>21</v>
      </c>
      <c r="C113" s="51">
        <v>51352</v>
      </c>
      <c r="D113" s="52" t="s">
        <v>1927</v>
      </c>
      <c r="E113" s="52" t="s">
        <v>1928</v>
      </c>
      <c r="F113" s="52" t="s">
        <v>120</v>
      </c>
      <c r="G113" s="51">
        <v>70</v>
      </c>
      <c r="H113" s="53">
        <v>43486</v>
      </c>
      <c r="I113" s="52" t="s">
        <v>1929</v>
      </c>
    </row>
    <row r="114" spans="1:10" x14ac:dyDescent="0.25">
      <c r="A114" t="s">
        <v>122</v>
      </c>
      <c r="B114" s="49">
        <v>22</v>
      </c>
      <c r="C114" s="51">
        <v>62048</v>
      </c>
      <c r="D114" s="52" t="s">
        <v>1934</v>
      </c>
      <c r="E114" s="52" t="s">
        <v>1935</v>
      </c>
      <c r="F114" s="52" t="s">
        <v>120</v>
      </c>
      <c r="G114" s="51">
        <v>70</v>
      </c>
      <c r="H114" s="53">
        <v>43487</v>
      </c>
      <c r="I114" s="52" t="s">
        <v>55</v>
      </c>
    </row>
    <row r="115" spans="1:10" x14ac:dyDescent="0.25">
      <c r="A115" t="s">
        <v>122</v>
      </c>
      <c r="B115" s="49">
        <v>22</v>
      </c>
      <c r="C115" s="51">
        <f>25913.39*G115</f>
        <v>498314.48969999998</v>
      </c>
      <c r="D115" s="52" t="s">
        <v>1900</v>
      </c>
      <c r="E115" s="52" t="s">
        <v>1905</v>
      </c>
      <c r="F115" s="52" t="s">
        <v>1906</v>
      </c>
      <c r="G115" s="58">
        <v>19.23</v>
      </c>
      <c r="H115" s="52">
        <v>33.79</v>
      </c>
      <c r="I115" s="53">
        <v>43487</v>
      </c>
      <c r="J115" s="52" t="s">
        <v>62</v>
      </c>
    </row>
    <row r="116" spans="1:10" x14ac:dyDescent="0.25">
      <c r="A116" t="s">
        <v>122</v>
      </c>
      <c r="B116" s="49">
        <v>22</v>
      </c>
      <c r="C116" s="51">
        <f>672420+18374.4</f>
        <v>690794.4</v>
      </c>
      <c r="D116" s="52" t="s">
        <v>1778</v>
      </c>
      <c r="E116" s="52" t="s">
        <v>1698</v>
      </c>
      <c r="F116" s="52" t="s">
        <v>52</v>
      </c>
      <c r="G116" s="53">
        <v>43486</v>
      </c>
      <c r="H116" s="52" t="s">
        <v>55</v>
      </c>
    </row>
    <row r="117" spans="1:10" x14ac:dyDescent="0.25">
      <c r="A117" t="s">
        <v>122</v>
      </c>
      <c r="B117" s="49">
        <v>22</v>
      </c>
      <c r="C117" s="51">
        <f>314875+9187.2</f>
        <v>324062.2</v>
      </c>
      <c r="D117" s="52" t="s">
        <v>1779</v>
      </c>
      <c r="E117" s="52" t="s">
        <v>1780</v>
      </c>
      <c r="F117" s="52" t="s">
        <v>52</v>
      </c>
      <c r="G117" s="53">
        <v>43487</v>
      </c>
      <c r="H117" s="52" t="s">
        <v>55</v>
      </c>
    </row>
    <row r="118" spans="1:10" x14ac:dyDescent="0.25">
      <c r="A118" t="s">
        <v>122</v>
      </c>
      <c r="B118" s="49">
        <v>22</v>
      </c>
      <c r="C118" s="51">
        <f>327937.5+9103.68</f>
        <v>337041.18</v>
      </c>
      <c r="D118" s="52" t="s">
        <v>1779</v>
      </c>
      <c r="E118" s="52" t="s">
        <v>1781</v>
      </c>
      <c r="F118" s="52" t="s">
        <v>52</v>
      </c>
      <c r="G118" s="53">
        <v>43487</v>
      </c>
      <c r="H118" s="52" t="s">
        <v>55</v>
      </c>
    </row>
    <row r="119" spans="1:10" x14ac:dyDescent="0.25">
      <c r="A119" t="s">
        <v>43</v>
      </c>
      <c r="B119" s="49">
        <v>23</v>
      </c>
      <c r="C119" s="54">
        <f>27500*G119</f>
        <v>555500</v>
      </c>
      <c r="D119" s="55" t="s">
        <v>1897</v>
      </c>
      <c r="E119" s="55" t="s">
        <v>2005</v>
      </c>
      <c r="F119" s="55" t="s">
        <v>1902</v>
      </c>
      <c r="G119" s="56">
        <v>20.2</v>
      </c>
      <c r="H119" s="55">
        <v>30.5</v>
      </c>
      <c r="I119" s="57">
        <v>43488</v>
      </c>
      <c r="J119" s="55" t="s">
        <v>62</v>
      </c>
    </row>
    <row r="120" spans="1:10" x14ac:dyDescent="0.25">
      <c r="A120" t="s">
        <v>43</v>
      </c>
      <c r="B120" s="49">
        <v>23</v>
      </c>
      <c r="C120" s="54">
        <f>27500*G120</f>
        <v>555500</v>
      </c>
      <c r="D120" s="55" t="s">
        <v>1993</v>
      </c>
      <c r="E120" s="55" t="s">
        <v>2067</v>
      </c>
      <c r="F120" s="55" t="s">
        <v>1902</v>
      </c>
      <c r="G120" s="56">
        <v>20.2</v>
      </c>
      <c r="H120" s="55">
        <v>30.51</v>
      </c>
      <c r="I120" s="57">
        <v>43488</v>
      </c>
      <c r="J120" s="55" t="s">
        <v>62</v>
      </c>
    </row>
    <row r="121" spans="1:10" x14ac:dyDescent="0.25">
      <c r="A121" t="s">
        <v>43</v>
      </c>
      <c r="B121" s="49">
        <v>23</v>
      </c>
      <c r="C121" s="51">
        <f>644875+16704-3217.5</f>
        <v>658361.5</v>
      </c>
      <c r="D121" s="52" t="s">
        <v>1782</v>
      </c>
      <c r="E121" s="52" t="s">
        <v>1783</v>
      </c>
      <c r="F121" s="52" t="s">
        <v>52</v>
      </c>
      <c r="G121" s="53">
        <v>43489</v>
      </c>
      <c r="H121" s="52" t="s">
        <v>55</v>
      </c>
    </row>
    <row r="122" spans="1:10" x14ac:dyDescent="0.25">
      <c r="A122" t="s">
        <v>43</v>
      </c>
      <c r="B122" s="49">
        <v>23</v>
      </c>
      <c r="C122" s="51">
        <f>354337.5+10857.6</f>
        <v>365195.1</v>
      </c>
      <c r="D122" s="52" t="s">
        <v>1785</v>
      </c>
      <c r="E122" s="52" t="s">
        <v>1784</v>
      </c>
      <c r="F122" s="52" t="s">
        <v>52</v>
      </c>
      <c r="G122" s="53">
        <v>43487</v>
      </c>
      <c r="H122" s="52" t="s">
        <v>55</v>
      </c>
    </row>
    <row r="123" spans="1:10" x14ac:dyDescent="0.25">
      <c r="A123" t="s">
        <v>59</v>
      </c>
      <c r="B123" s="49">
        <v>24</v>
      </c>
      <c r="C123" s="134">
        <f>376200+10857.6</f>
        <v>387057.6</v>
      </c>
      <c r="D123" s="135" t="s">
        <v>1786</v>
      </c>
      <c r="E123" s="135" t="s">
        <v>1722</v>
      </c>
      <c r="F123" s="135" t="s">
        <v>52</v>
      </c>
      <c r="G123" s="136">
        <v>43488</v>
      </c>
      <c r="H123" s="52" t="s">
        <v>55</v>
      </c>
    </row>
    <row r="124" spans="1:10" x14ac:dyDescent="0.25">
      <c r="A124" t="s">
        <v>59</v>
      </c>
      <c r="B124" s="49">
        <v>24</v>
      </c>
      <c r="C124" s="134">
        <v>39746</v>
      </c>
      <c r="D124" s="135" t="s">
        <v>1952</v>
      </c>
      <c r="E124" s="135" t="s">
        <v>1953</v>
      </c>
      <c r="F124" s="135" t="s">
        <v>120</v>
      </c>
      <c r="G124" s="136">
        <v>43489</v>
      </c>
      <c r="H124" s="52" t="s">
        <v>55</v>
      </c>
    </row>
    <row r="125" spans="1:10" x14ac:dyDescent="0.25">
      <c r="A125" t="s">
        <v>59</v>
      </c>
      <c r="B125" s="49">
        <v>24</v>
      </c>
      <c r="C125" s="51">
        <v>243293.76</v>
      </c>
      <c r="D125" s="52" t="s">
        <v>1938</v>
      </c>
      <c r="E125" s="52" t="s">
        <v>1940</v>
      </c>
      <c r="F125" s="52" t="s">
        <v>1794</v>
      </c>
      <c r="G125" s="52">
        <v>54</v>
      </c>
      <c r="H125" s="53">
        <v>43493</v>
      </c>
      <c r="I125" s="52" t="s">
        <v>62</v>
      </c>
    </row>
    <row r="126" spans="1:10" x14ac:dyDescent="0.25">
      <c r="A126" t="s">
        <v>59</v>
      </c>
      <c r="B126" s="49">
        <v>24</v>
      </c>
      <c r="C126" s="54">
        <f>28500*G126</f>
        <v>544777.5</v>
      </c>
      <c r="D126" s="55" t="s">
        <v>1898</v>
      </c>
      <c r="E126" s="55" t="s">
        <v>2038</v>
      </c>
      <c r="F126" s="55" t="s">
        <v>1902</v>
      </c>
      <c r="G126" s="56">
        <v>19.114999999999998</v>
      </c>
      <c r="H126" s="55">
        <v>30.82</v>
      </c>
      <c r="I126" s="57">
        <v>43489</v>
      </c>
      <c r="J126" s="55" t="s">
        <v>62</v>
      </c>
    </row>
    <row r="127" spans="1:10" x14ac:dyDescent="0.25">
      <c r="A127" t="s">
        <v>70</v>
      </c>
      <c r="B127" s="49">
        <v>25</v>
      </c>
      <c r="C127" s="51">
        <f>20778.5*34.4</f>
        <v>714780.4</v>
      </c>
      <c r="D127" s="52" t="s">
        <v>1876</v>
      </c>
      <c r="E127" s="52" t="s">
        <v>1939</v>
      </c>
      <c r="F127" s="52" t="s">
        <v>73</v>
      </c>
      <c r="G127" s="136">
        <v>43488</v>
      </c>
      <c r="H127" s="52" t="s">
        <v>55</v>
      </c>
    </row>
    <row r="128" spans="1:10" x14ac:dyDescent="0.25">
      <c r="A128" t="s">
        <v>70</v>
      </c>
      <c r="B128" s="49">
        <v>25</v>
      </c>
      <c r="C128" s="51">
        <v>29500</v>
      </c>
      <c r="D128" s="52" t="s">
        <v>1917</v>
      </c>
      <c r="E128" s="52" t="s">
        <v>1915</v>
      </c>
      <c r="F128" s="52" t="s">
        <v>1918</v>
      </c>
      <c r="G128" s="52">
        <v>29.5</v>
      </c>
      <c r="H128" s="53">
        <v>43493</v>
      </c>
      <c r="I128" s="52" t="s">
        <v>62</v>
      </c>
    </row>
    <row r="129" spans="1:10" x14ac:dyDescent="0.25">
      <c r="A129" t="s">
        <v>70</v>
      </c>
      <c r="B129" s="49">
        <v>25</v>
      </c>
      <c r="C129" s="51">
        <v>471014.88</v>
      </c>
      <c r="D129" s="52" t="s">
        <v>1922</v>
      </c>
      <c r="E129" s="52" t="s">
        <v>1941</v>
      </c>
      <c r="F129" s="52" t="s">
        <v>1798</v>
      </c>
      <c r="G129" s="52">
        <v>61.8</v>
      </c>
      <c r="H129" s="53">
        <v>43493</v>
      </c>
      <c r="I129" s="52" t="s">
        <v>62</v>
      </c>
    </row>
    <row r="130" spans="1:10" x14ac:dyDescent="0.25">
      <c r="A130" t="s">
        <v>70</v>
      </c>
      <c r="B130" s="49">
        <v>25</v>
      </c>
      <c r="C130" s="51">
        <f>26098.3*G130</f>
        <v>498268.74359999993</v>
      </c>
      <c r="D130" s="52" t="s">
        <v>1903</v>
      </c>
      <c r="E130" s="52" t="s">
        <v>1919</v>
      </c>
      <c r="F130" s="52" t="s">
        <v>1920</v>
      </c>
      <c r="G130" s="58">
        <v>19.091999999999999</v>
      </c>
      <c r="H130" s="52">
        <v>33.18</v>
      </c>
      <c r="I130" s="53">
        <v>43490</v>
      </c>
      <c r="J130" s="52" t="s">
        <v>62</v>
      </c>
    </row>
    <row r="131" spans="1:10" x14ac:dyDescent="0.25">
      <c r="A131" t="s">
        <v>70</v>
      </c>
      <c r="B131" s="49">
        <v>25</v>
      </c>
      <c r="C131" s="51">
        <f>25397.3*G131</f>
        <v>483310.61900000001</v>
      </c>
      <c r="D131" s="52" t="s">
        <v>1901</v>
      </c>
      <c r="E131" s="52" t="s">
        <v>1949</v>
      </c>
      <c r="F131" s="52" t="s">
        <v>1950</v>
      </c>
      <c r="G131" s="58">
        <v>19.03</v>
      </c>
      <c r="H131" s="52">
        <v>33.83</v>
      </c>
      <c r="I131" s="53">
        <v>43490</v>
      </c>
      <c r="J131" s="52" t="s">
        <v>62</v>
      </c>
    </row>
    <row r="132" spans="1:10" x14ac:dyDescent="0.25">
      <c r="A132" s="37" t="s">
        <v>89</v>
      </c>
      <c r="B132" s="49">
        <v>26</v>
      </c>
    </row>
    <row r="133" spans="1:10" x14ac:dyDescent="0.25">
      <c r="A133" s="37" t="s">
        <v>90</v>
      </c>
      <c r="B133" s="49">
        <v>27</v>
      </c>
    </row>
    <row r="134" spans="1:10" x14ac:dyDescent="0.25">
      <c r="A134" t="s">
        <v>91</v>
      </c>
      <c r="B134" s="49">
        <v>28</v>
      </c>
      <c r="C134" s="54">
        <f>24000*G134</f>
        <v>479544.00000000006</v>
      </c>
      <c r="D134" s="55" t="s">
        <v>1899</v>
      </c>
      <c r="E134" s="55" t="s">
        <v>2095</v>
      </c>
      <c r="F134" s="55" t="s">
        <v>1660</v>
      </c>
      <c r="G134" s="56">
        <v>19.981000000000002</v>
      </c>
      <c r="H134" s="55">
        <v>31.04</v>
      </c>
      <c r="I134" s="57">
        <v>43493</v>
      </c>
      <c r="J134" s="55" t="s">
        <v>62</v>
      </c>
    </row>
    <row r="135" spans="1:10" x14ac:dyDescent="0.25">
      <c r="A135" t="s">
        <v>91</v>
      </c>
      <c r="B135" s="49">
        <v>28</v>
      </c>
      <c r="C135" s="51">
        <f>24558.29*G135:G135</f>
        <v>465502.38694999996</v>
      </c>
      <c r="D135" s="52" t="s">
        <v>1904</v>
      </c>
      <c r="E135" s="52" t="s">
        <v>1956</v>
      </c>
      <c r="F135" s="52" t="s">
        <v>1955</v>
      </c>
      <c r="G135" s="58">
        <v>18.954999999999998</v>
      </c>
      <c r="H135" s="52">
        <v>32.770000000000003</v>
      </c>
      <c r="I135" s="53">
        <v>43493</v>
      </c>
      <c r="J135" s="52" t="s">
        <v>62</v>
      </c>
    </row>
    <row r="136" spans="1:10" x14ac:dyDescent="0.25">
      <c r="A136" t="s">
        <v>91</v>
      </c>
      <c r="B136" s="49">
        <v>28</v>
      </c>
      <c r="C136" s="51">
        <f>567600+16704</f>
        <v>584304</v>
      </c>
      <c r="D136" s="52" t="s">
        <v>1877</v>
      </c>
      <c r="E136" s="52" t="s">
        <v>1831</v>
      </c>
      <c r="F136" s="52" t="s">
        <v>52</v>
      </c>
      <c r="G136" s="53">
        <v>43488</v>
      </c>
      <c r="H136" s="52" t="s">
        <v>55</v>
      </c>
    </row>
    <row r="137" spans="1:10" x14ac:dyDescent="0.25">
      <c r="A137" t="s">
        <v>91</v>
      </c>
      <c r="B137" s="49">
        <v>28</v>
      </c>
      <c r="C137" s="51">
        <v>65306.9</v>
      </c>
      <c r="D137" s="52" t="s">
        <v>1996</v>
      </c>
      <c r="E137" s="52" t="s">
        <v>1997</v>
      </c>
      <c r="F137" s="52" t="s">
        <v>120</v>
      </c>
      <c r="G137" s="53">
        <v>43493</v>
      </c>
      <c r="H137" s="52" t="s">
        <v>55</v>
      </c>
    </row>
    <row r="138" spans="1:10" x14ac:dyDescent="0.25">
      <c r="A138" t="s">
        <v>91</v>
      </c>
      <c r="B138" s="49">
        <v>28</v>
      </c>
      <c r="C138" s="51">
        <f>390500+10774.08</f>
        <v>401274.08</v>
      </c>
      <c r="D138" s="52" t="s">
        <v>1879</v>
      </c>
      <c r="E138" s="52" t="s">
        <v>1878</v>
      </c>
      <c r="F138" s="52" t="s">
        <v>52</v>
      </c>
      <c r="G138" s="53">
        <v>43493</v>
      </c>
      <c r="H138" s="52" t="s">
        <v>55</v>
      </c>
    </row>
    <row r="139" spans="1:10" x14ac:dyDescent="0.25">
      <c r="A139" t="s">
        <v>91</v>
      </c>
      <c r="B139" s="49">
        <v>28</v>
      </c>
      <c r="C139" s="51">
        <f>596062.5+16704</f>
        <v>612766.5</v>
      </c>
      <c r="D139" s="52" t="s">
        <v>1880</v>
      </c>
      <c r="E139" s="52" t="s">
        <v>1881</v>
      </c>
      <c r="F139" s="52" t="s">
        <v>52</v>
      </c>
      <c r="G139" s="53">
        <v>43493</v>
      </c>
      <c r="H139" s="52" t="s">
        <v>55</v>
      </c>
    </row>
    <row r="140" spans="1:10" x14ac:dyDescent="0.25">
      <c r="A140" t="s">
        <v>91</v>
      </c>
      <c r="B140" s="49">
        <v>28</v>
      </c>
      <c r="C140" s="51">
        <f>157712.5+4176</f>
        <v>161888.5</v>
      </c>
      <c r="D140" s="52" t="s">
        <v>1883</v>
      </c>
      <c r="E140" s="52" t="s">
        <v>1882</v>
      </c>
      <c r="F140" s="52" t="s">
        <v>52</v>
      </c>
      <c r="G140" s="53">
        <v>43493</v>
      </c>
      <c r="H140" s="52" t="s">
        <v>55</v>
      </c>
    </row>
    <row r="141" spans="1:10" x14ac:dyDescent="0.25">
      <c r="A141" t="s">
        <v>122</v>
      </c>
      <c r="B141" s="49">
        <v>29</v>
      </c>
      <c r="C141" s="51">
        <f>23381.56*G141</f>
        <v>446237.07260000007</v>
      </c>
      <c r="D141" s="52" t="s">
        <v>1981</v>
      </c>
      <c r="E141" s="52" t="s">
        <v>1987</v>
      </c>
      <c r="F141" s="52" t="s">
        <v>1988</v>
      </c>
      <c r="G141" s="58">
        <v>19.085000000000001</v>
      </c>
      <c r="H141" s="52">
        <v>30.79</v>
      </c>
      <c r="I141" s="53">
        <v>43494</v>
      </c>
      <c r="J141" s="52" t="s">
        <v>62</v>
      </c>
    </row>
    <row r="142" spans="1:10" x14ac:dyDescent="0.25">
      <c r="A142" t="s">
        <v>122</v>
      </c>
      <c r="B142" s="49">
        <v>29</v>
      </c>
      <c r="C142" s="51">
        <f>22249.4*G142</f>
        <v>424585.3002</v>
      </c>
      <c r="D142" s="52" t="s">
        <v>1982</v>
      </c>
      <c r="E142" s="52" t="s">
        <v>1983</v>
      </c>
      <c r="F142" s="52" t="s">
        <v>1984</v>
      </c>
      <c r="G142" s="58">
        <v>19.082999999999998</v>
      </c>
      <c r="H142" s="52">
        <v>30.45</v>
      </c>
      <c r="I142" s="53">
        <v>43494</v>
      </c>
      <c r="J142" s="52" t="s">
        <v>62</v>
      </c>
    </row>
    <row r="143" spans="1:10" x14ac:dyDescent="0.25">
      <c r="A143" t="s">
        <v>122</v>
      </c>
      <c r="B143" s="49">
        <v>29</v>
      </c>
      <c r="C143" s="51">
        <v>640273.4</v>
      </c>
      <c r="D143" s="52" t="s">
        <v>1995</v>
      </c>
      <c r="E143" s="52" t="s">
        <v>1994</v>
      </c>
      <c r="F143" s="52" t="s">
        <v>73</v>
      </c>
      <c r="G143" s="53">
        <v>43493</v>
      </c>
      <c r="H143" s="52" t="s">
        <v>55</v>
      </c>
      <c r="I143" s="72"/>
    </row>
    <row r="144" spans="1:10" x14ac:dyDescent="0.25">
      <c r="A144" t="s">
        <v>122</v>
      </c>
      <c r="B144" s="49">
        <v>29</v>
      </c>
      <c r="C144" s="51">
        <f>577912.5+16704</f>
        <v>594616.5</v>
      </c>
      <c r="D144" s="52" t="s">
        <v>1884</v>
      </c>
      <c r="E144" s="52" t="s">
        <v>1885</v>
      </c>
      <c r="F144" s="52" t="s">
        <v>52</v>
      </c>
      <c r="G144" s="53">
        <v>43494</v>
      </c>
      <c r="H144" s="52" t="s">
        <v>55</v>
      </c>
    </row>
    <row r="145" spans="1:10" x14ac:dyDescent="0.25">
      <c r="A145" t="s">
        <v>122</v>
      </c>
      <c r="B145" s="49">
        <v>29</v>
      </c>
      <c r="C145" s="51">
        <f>151387.5+4176</f>
        <v>155563.5</v>
      </c>
      <c r="D145" s="52" t="s">
        <v>1884</v>
      </c>
      <c r="E145" s="52" t="s">
        <v>1891</v>
      </c>
      <c r="F145" s="52" t="s">
        <v>52</v>
      </c>
      <c r="G145" s="53">
        <v>43494</v>
      </c>
      <c r="H145" s="52" t="s">
        <v>55</v>
      </c>
    </row>
    <row r="146" spans="1:10" x14ac:dyDescent="0.25">
      <c r="A146" t="s">
        <v>122</v>
      </c>
      <c r="B146" s="49">
        <v>29</v>
      </c>
      <c r="C146" s="51">
        <f>637335+16704</f>
        <v>654039</v>
      </c>
      <c r="D146" s="52" t="s">
        <v>1886</v>
      </c>
      <c r="E146" s="52" t="s">
        <v>1887</v>
      </c>
      <c r="F146" s="52" t="s">
        <v>52</v>
      </c>
      <c r="G146" s="53">
        <v>43494</v>
      </c>
      <c r="H146" s="52" t="s">
        <v>55</v>
      </c>
    </row>
    <row r="147" spans="1:10" x14ac:dyDescent="0.25">
      <c r="A147" t="s">
        <v>122</v>
      </c>
      <c r="B147" s="49">
        <v>29</v>
      </c>
      <c r="C147" s="51">
        <f>142425+4176</f>
        <v>146601</v>
      </c>
      <c r="D147" s="52" t="s">
        <v>1889</v>
      </c>
      <c r="E147" s="52" t="s">
        <v>1888</v>
      </c>
      <c r="F147" s="52" t="s">
        <v>52</v>
      </c>
      <c r="G147" s="53">
        <v>43494</v>
      </c>
      <c r="H147" s="52" t="s">
        <v>55</v>
      </c>
    </row>
    <row r="148" spans="1:10" x14ac:dyDescent="0.25">
      <c r="A148" t="s">
        <v>43</v>
      </c>
      <c r="B148" s="49">
        <v>30</v>
      </c>
      <c r="C148" s="54">
        <f>22000*G148</f>
        <v>420552</v>
      </c>
      <c r="D148" s="55" t="s">
        <v>1978</v>
      </c>
      <c r="E148" s="55" t="s">
        <v>2189</v>
      </c>
      <c r="F148" s="55" t="s">
        <v>1659</v>
      </c>
      <c r="G148" s="56">
        <v>19.116</v>
      </c>
      <c r="H148" s="55">
        <v>30.89</v>
      </c>
      <c r="I148" s="57">
        <v>43495</v>
      </c>
      <c r="J148" s="55" t="s">
        <v>62</v>
      </c>
    </row>
    <row r="149" spans="1:10" x14ac:dyDescent="0.25">
      <c r="A149" t="s">
        <v>43</v>
      </c>
      <c r="B149" s="49">
        <v>30</v>
      </c>
      <c r="C149" s="54">
        <f>22000*G149</f>
        <v>420552</v>
      </c>
      <c r="D149" s="55" t="s">
        <v>1979</v>
      </c>
      <c r="E149" s="55" t="s">
        <v>2190</v>
      </c>
      <c r="F149" s="55" t="s">
        <v>1659</v>
      </c>
      <c r="G149" s="56">
        <v>19.116</v>
      </c>
      <c r="H149" s="55">
        <v>30.83</v>
      </c>
      <c r="I149" s="57">
        <v>43495</v>
      </c>
      <c r="J149" s="55" t="s">
        <v>62</v>
      </c>
    </row>
    <row r="150" spans="1:10" x14ac:dyDescent="0.25">
      <c r="A150" t="s">
        <v>43</v>
      </c>
      <c r="B150" s="49">
        <v>30</v>
      </c>
      <c r="C150" s="51">
        <f>23443.69*G150</f>
        <v>451056.59559999994</v>
      </c>
      <c r="D150" s="52" t="s">
        <v>1986</v>
      </c>
      <c r="E150" s="52" t="s">
        <v>2003</v>
      </c>
      <c r="F150" s="52" t="s">
        <v>2004</v>
      </c>
      <c r="G150" s="58">
        <v>19.239999999999998</v>
      </c>
      <c r="H150" s="52">
        <v>30.33</v>
      </c>
      <c r="I150" s="53">
        <v>43495</v>
      </c>
      <c r="J150" s="52" t="s">
        <v>62</v>
      </c>
    </row>
    <row r="151" spans="1:10" x14ac:dyDescent="0.25">
      <c r="A151" t="s">
        <v>43</v>
      </c>
      <c r="B151" s="49">
        <v>30</v>
      </c>
      <c r="C151" s="51">
        <v>73345</v>
      </c>
      <c r="D151" s="52" t="s">
        <v>2041</v>
      </c>
      <c r="E151" s="52" t="s">
        <v>2042</v>
      </c>
      <c r="F151" s="52" t="s">
        <v>2043</v>
      </c>
      <c r="G151" s="58"/>
      <c r="H151" s="53">
        <v>43495</v>
      </c>
      <c r="I151" s="52" t="s">
        <v>62</v>
      </c>
    </row>
    <row r="152" spans="1:10" x14ac:dyDescent="0.25">
      <c r="A152" t="s">
        <v>43</v>
      </c>
      <c r="B152" s="49">
        <v>30</v>
      </c>
      <c r="C152" s="51">
        <v>482432.45</v>
      </c>
      <c r="D152" s="52" t="s">
        <v>1803</v>
      </c>
      <c r="E152" s="52" t="s">
        <v>1802</v>
      </c>
      <c r="F152" s="52" t="s">
        <v>1804</v>
      </c>
      <c r="G152" s="52">
        <v>96.5</v>
      </c>
      <c r="H152" s="53">
        <v>43494</v>
      </c>
      <c r="I152" s="52" t="s">
        <v>62</v>
      </c>
    </row>
    <row r="153" spans="1:10" x14ac:dyDescent="0.25">
      <c r="A153" t="s">
        <v>43</v>
      </c>
      <c r="B153" s="49">
        <v>30</v>
      </c>
      <c r="C153" s="51">
        <f>802170+20880</f>
        <v>823050</v>
      </c>
      <c r="D153" s="52" t="s">
        <v>1893</v>
      </c>
      <c r="E153" s="52" t="s">
        <v>1872</v>
      </c>
      <c r="F153" s="52" t="s">
        <v>52</v>
      </c>
      <c r="G153" s="53">
        <v>43495</v>
      </c>
      <c r="H153" s="52" t="s">
        <v>55</v>
      </c>
    </row>
    <row r="154" spans="1:10" x14ac:dyDescent="0.25">
      <c r="A154" t="s">
        <v>43</v>
      </c>
      <c r="B154" s="49">
        <v>30</v>
      </c>
      <c r="C154" s="51">
        <f>355725+10690.56</f>
        <v>366415.56</v>
      </c>
      <c r="D154" s="52" t="s">
        <v>1892</v>
      </c>
      <c r="E154" s="52" t="s">
        <v>1890</v>
      </c>
      <c r="F154" s="52" t="s">
        <v>52</v>
      </c>
      <c r="G154" s="53">
        <v>43495</v>
      </c>
      <c r="H154" s="52" t="s">
        <v>55</v>
      </c>
    </row>
    <row r="155" spans="1:10" x14ac:dyDescent="0.25">
      <c r="A155" t="s">
        <v>59</v>
      </c>
      <c r="B155" s="49">
        <v>31</v>
      </c>
      <c r="C155" s="51">
        <f>642600+17539.2</f>
        <v>660139.19999999995</v>
      </c>
      <c r="D155" s="52" t="s">
        <v>1896</v>
      </c>
      <c r="E155" s="52" t="s">
        <v>1894</v>
      </c>
      <c r="F155" s="52" t="s">
        <v>52</v>
      </c>
      <c r="G155" s="53">
        <v>43495</v>
      </c>
      <c r="H155" s="52" t="s">
        <v>55</v>
      </c>
    </row>
    <row r="156" spans="1:10" x14ac:dyDescent="0.25">
      <c r="A156" t="s">
        <v>59</v>
      </c>
      <c r="B156" s="49">
        <v>31</v>
      </c>
      <c r="C156" s="54">
        <f>22000*G156</f>
        <v>418836</v>
      </c>
      <c r="D156" s="55" t="s">
        <v>1980</v>
      </c>
      <c r="E156" s="55" t="s">
        <v>2211</v>
      </c>
      <c r="F156" s="55" t="s">
        <v>1659</v>
      </c>
      <c r="G156" s="56">
        <v>19.038</v>
      </c>
      <c r="H156" s="55">
        <v>30.58</v>
      </c>
      <c r="I156" s="57">
        <v>43496</v>
      </c>
      <c r="J156" s="55" t="s">
        <v>62</v>
      </c>
    </row>
    <row r="157" spans="1:10" x14ac:dyDescent="0.25">
      <c r="A157" t="s">
        <v>59</v>
      </c>
      <c r="B157" s="49">
        <v>31</v>
      </c>
      <c r="C157" s="51">
        <f>23089.82*G157</f>
        <v>440207.41830000002</v>
      </c>
      <c r="D157" s="52" t="s">
        <v>2046</v>
      </c>
      <c r="E157" s="52" t="s">
        <v>2047</v>
      </c>
      <c r="F157" s="52" t="s">
        <v>2048</v>
      </c>
      <c r="G157" s="58">
        <v>19.065000000000001</v>
      </c>
      <c r="H157" s="52">
        <v>30.58</v>
      </c>
      <c r="I157" s="53">
        <v>43496</v>
      </c>
      <c r="J157" s="52" t="s">
        <v>62</v>
      </c>
    </row>
    <row r="158" spans="1:10" x14ac:dyDescent="0.25">
      <c r="A158" t="s">
        <v>59</v>
      </c>
      <c r="B158" s="49">
        <v>31</v>
      </c>
      <c r="C158" s="51">
        <v>42588</v>
      </c>
      <c r="D158" s="52" t="s">
        <v>2055</v>
      </c>
      <c r="E158" s="52" t="s">
        <v>2056</v>
      </c>
      <c r="F158" s="52" t="s">
        <v>120</v>
      </c>
      <c r="G158" s="58">
        <v>70</v>
      </c>
      <c r="H158" s="53">
        <v>43496</v>
      </c>
      <c r="I158" s="52" t="s">
        <v>55</v>
      </c>
      <c r="J158" s="52"/>
    </row>
    <row r="159" spans="1:10" x14ac:dyDescent="0.25">
      <c r="A159" t="s">
        <v>59</v>
      </c>
      <c r="B159" s="49">
        <v>31</v>
      </c>
      <c r="C159" s="51">
        <v>31842</v>
      </c>
      <c r="D159" s="52" t="s">
        <v>2011</v>
      </c>
      <c r="E159" s="52" t="s">
        <v>2008</v>
      </c>
      <c r="F159" s="52" t="s">
        <v>87</v>
      </c>
      <c r="G159" s="58">
        <v>18.3</v>
      </c>
      <c r="H159" s="53">
        <v>43497</v>
      </c>
      <c r="I159" s="52" t="s">
        <v>62</v>
      </c>
    </row>
    <row r="160" spans="1:10" x14ac:dyDescent="0.25">
      <c r="A160" s="61" t="s">
        <v>1772</v>
      </c>
    </row>
    <row r="161" spans="1:10" x14ac:dyDescent="0.25">
      <c r="A161" t="s">
        <v>70</v>
      </c>
      <c r="B161" s="49">
        <v>1</v>
      </c>
      <c r="C161" s="51">
        <v>34023.360000000001</v>
      </c>
      <c r="D161" s="52" t="s">
        <v>2013</v>
      </c>
      <c r="E161" s="52" t="s">
        <v>2012</v>
      </c>
      <c r="F161" s="52" t="s">
        <v>87</v>
      </c>
      <c r="G161" s="52">
        <v>18.3</v>
      </c>
      <c r="H161" s="53">
        <v>43497</v>
      </c>
      <c r="I161" s="52" t="s">
        <v>62</v>
      </c>
    </row>
    <row r="162" spans="1:10" x14ac:dyDescent="0.25">
      <c r="A162" s="61" t="s">
        <v>70</v>
      </c>
      <c r="B162" s="49">
        <v>1</v>
      </c>
      <c r="C162" s="51">
        <v>141304.46</v>
      </c>
      <c r="D162" s="52" t="s">
        <v>2010</v>
      </c>
      <c r="E162" s="52" t="s">
        <v>2106</v>
      </c>
      <c r="F162" s="52" t="s">
        <v>1798</v>
      </c>
      <c r="G162" s="52">
        <v>61.8</v>
      </c>
      <c r="H162" s="53">
        <v>43497</v>
      </c>
      <c r="I162" s="52" t="s">
        <v>62</v>
      </c>
    </row>
    <row r="163" spans="1:10" x14ac:dyDescent="0.25">
      <c r="A163" s="61" t="s">
        <v>70</v>
      </c>
      <c r="B163" s="49">
        <v>1</v>
      </c>
      <c r="C163" s="51">
        <v>34166.1</v>
      </c>
      <c r="D163" s="52" t="s">
        <v>2013</v>
      </c>
      <c r="E163" s="52" t="s">
        <v>2014</v>
      </c>
      <c r="F163" s="52" t="s">
        <v>87</v>
      </c>
      <c r="G163" s="52">
        <v>18.3</v>
      </c>
      <c r="H163" s="53">
        <v>43497</v>
      </c>
      <c r="I163" s="52" t="s">
        <v>62</v>
      </c>
    </row>
    <row r="164" spans="1:10" x14ac:dyDescent="0.25">
      <c r="A164" s="37" t="s">
        <v>89</v>
      </c>
      <c r="B164" s="49">
        <v>2</v>
      </c>
    </row>
    <row r="165" spans="1:10" x14ac:dyDescent="0.25">
      <c r="A165" s="37" t="s">
        <v>90</v>
      </c>
      <c r="B165" s="49">
        <v>3</v>
      </c>
    </row>
    <row r="166" spans="1:10" x14ac:dyDescent="0.25">
      <c r="A166" t="s">
        <v>91</v>
      </c>
      <c r="B166" s="49">
        <v>4</v>
      </c>
      <c r="C166" s="51">
        <f>698490+18374.4</f>
        <v>716864.4</v>
      </c>
      <c r="D166" s="52" t="s">
        <v>1966</v>
      </c>
      <c r="E166" s="52" t="s">
        <v>1967</v>
      </c>
      <c r="F166" s="52" t="s">
        <v>52</v>
      </c>
      <c r="G166" s="53">
        <v>43496</v>
      </c>
      <c r="H166" s="52" t="s">
        <v>55</v>
      </c>
    </row>
    <row r="167" spans="1:10" x14ac:dyDescent="0.25">
      <c r="A167" t="s">
        <v>91</v>
      </c>
      <c r="B167" s="49">
        <v>4</v>
      </c>
      <c r="C167" s="51">
        <f>520830+13363.2</f>
        <v>534193.19999999995</v>
      </c>
      <c r="D167" s="52" t="s">
        <v>1966</v>
      </c>
      <c r="E167" s="52" t="s">
        <v>1908</v>
      </c>
      <c r="F167" s="52" t="s">
        <v>52</v>
      </c>
      <c r="G167" s="53">
        <v>43495</v>
      </c>
      <c r="H167" s="52" t="s">
        <v>55</v>
      </c>
    </row>
    <row r="168" spans="1:10" x14ac:dyDescent="0.25">
      <c r="A168" t="s">
        <v>91</v>
      </c>
      <c r="B168" s="49">
        <v>4</v>
      </c>
      <c r="C168" s="51">
        <f>567135+16620.48</f>
        <v>583755.48</v>
      </c>
      <c r="D168" s="52" t="s">
        <v>2018</v>
      </c>
      <c r="E168" s="52" t="s">
        <v>2019</v>
      </c>
      <c r="F168" s="52" t="s">
        <v>52</v>
      </c>
      <c r="G168" s="53">
        <v>43496</v>
      </c>
      <c r="H168" s="52" t="s">
        <v>55</v>
      </c>
    </row>
    <row r="169" spans="1:10" x14ac:dyDescent="0.25">
      <c r="A169" t="s">
        <v>122</v>
      </c>
      <c r="B169" s="49">
        <v>5</v>
      </c>
      <c r="C169" s="54">
        <f>24500*G169</f>
        <v>468685</v>
      </c>
      <c r="D169" s="55" t="s">
        <v>2080</v>
      </c>
      <c r="E169" s="55" t="s">
        <v>2232</v>
      </c>
      <c r="F169" s="55" t="s">
        <v>1622</v>
      </c>
      <c r="G169" s="56">
        <v>19.13</v>
      </c>
      <c r="H169" s="55">
        <v>29.26</v>
      </c>
      <c r="I169" s="57">
        <v>43501</v>
      </c>
      <c r="J169" s="55" t="s">
        <v>62</v>
      </c>
    </row>
    <row r="170" spans="1:10" x14ac:dyDescent="0.25">
      <c r="A170" t="s">
        <v>122</v>
      </c>
      <c r="B170" s="49">
        <v>5</v>
      </c>
      <c r="C170" s="51">
        <f>378945+10857.6</f>
        <v>389802.6</v>
      </c>
      <c r="D170" s="52" t="s">
        <v>2021</v>
      </c>
      <c r="E170" s="52" t="s">
        <v>2020</v>
      </c>
      <c r="F170" s="52" t="s">
        <v>52</v>
      </c>
      <c r="G170" s="53">
        <v>43501</v>
      </c>
      <c r="H170" s="52" t="s">
        <v>55</v>
      </c>
    </row>
    <row r="171" spans="1:10" x14ac:dyDescent="0.25">
      <c r="A171" t="s">
        <v>122</v>
      </c>
      <c r="B171" s="49">
        <v>5</v>
      </c>
      <c r="C171" s="51">
        <v>45115</v>
      </c>
      <c r="D171" s="52" t="s">
        <v>2146</v>
      </c>
      <c r="E171" s="52" t="s">
        <v>2147</v>
      </c>
      <c r="F171" s="52" t="s">
        <v>120</v>
      </c>
      <c r="G171" s="53">
        <v>43501</v>
      </c>
      <c r="H171" s="52" t="s">
        <v>55</v>
      </c>
    </row>
    <row r="172" spans="1:10" x14ac:dyDescent="0.25">
      <c r="A172" t="s">
        <v>122</v>
      </c>
      <c r="B172" s="49">
        <v>5</v>
      </c>
      <c r="C172" s="51">
        <v>193512.95999999999</v>
      </c>
      <c r="D172" s="52" t="s">
        <v>2017</v>
      </c>
      <c r="E172" s="52" t="s">
        <v>2016</v>
      </c>
      <c r="F172" s="52" t="s">
        <v>1798</v>
      </c>
      <c r="G172" s="52">
        <v>64</v>
      </c>
      <c r="H172" s="53">
        <v>43497</v>
      </c>
      <c r="I172" s="52" t="s">
        <v>62</v>
      </c>
    </row>
    <row r="173" spans="1:10" x14ac:dyDescent="0.25">
      <c r="A173" t="s">
        <v>122</v>
      </c>
      <c r="B173" s="49">
        <v>5</v>
      </c>
      <c r="C173" s="51">
        <f>573345+16704</f>
        <v>590049</v>
      </c>
      <c r="D173" s="52" t="s">
        <v>2022</v>
      </c>
      <c r="E173" s="52" t="s">
        <v>1947</v>
      </c>
      <c r="F173" s="52" t="s">
        <v>52</v>
      </c>
      <c r="G173" s="53">
        <v>43501</v>
      </c>
      <c r="H173" s="52" t="s">
        <v>55</v>
      </c>
    </row>
    <row r="174" spans="1:10" x14ac:dyDescent="0.25">
      <c r="A174" t="s">
        <v>122</v>
      </c>
      <c r="B174" s="49">
        <v>5</v>
      </c>
      <c r="C174" s="51">
        <f>710910+18290.88</f>
        <v>729200.88</v>
      </c>
      <c r="D174" s="52" t="s">
        <v>2023</v>
      </c>
      <c r="E174" s="52" t="s">
        <v>2024</v>
      </c>
      <c r="F174" s="52" t="s">
        <v>52</v>
      </c>
      <c r="G174" s="53">
        <v>43496</v>
      </c>
      <c r="H174" s="52" t="s">
        <v>55</v>
      </c>
    </row>
    <row r="175" spans="1:10" x14ac:dyDescent="0.25">
      <c r="A175" t="s">
        <v>122</v>
      </c>
      <c r="B175" s="49">
        <v>5</v>
      </c>
      <c r="C175" s="51">
        <f>96525+2505.6</f>
        <v>99030.6</v>
      </c>
      <c r="D175" s="52" t="s">
        <v>2023</v>
      </c>
      <c r="E175" s="52" t="s">
        <v>2025</v>
      </c>
      <c r="F175" s="52" t="s">
        <v>52</v>
      </c>
      <c r="G175" s="53">
        <v>43496</v>
      </c>
      <c r="H175" s="52" t="s">
        <v>55</v>
      </c>
    </row>
    <row r="176" spans="1:10" x14ac:dyDescent="0.25">
      <c r="A176" t="s">
        <v>43</v>
      </c>
      <c r="B176" s="49">
        <v>6</v>
      </c>
      <c r="C176" s="51">
        <f>536490+16704</f>
        <v>553194</v>
      </c>
      <c r="D176" s="52" t="s">
        <v>2026</v>
      </c>
      <c r="E176" s="52" t="s">
        <v>1957</v>
      </c>
      <c r="F176" s="52" t="s">
        <v>52</v>
      </c>
      <c r="G176" s="53">
        <v>43501</v>
      </c>
      <c r="H176" s="52" t="s">
        <v>55</v>
      </c>
    </row>
    <row r="177" spans="1:10" x14ac:dyDescent="0.25">
      <c r="A177" t="s">
        <v>43</v>
      </c>
      <c r="B177" s="49">
        <v>6</v>
      </c>
      <c r="C177" s="51">
        <f>560655+15033.6</f>
        <v>575688.6</v>
      </c>
      <c r="D177" s="52" t="s">
        <v>2027</v>
      </c>
      <c r="E177" s="52" t="s">
        <v>1958</v>
      </c>
      <c r="F177" s="52" t="s">
        <v>52</v>
      </c>
      <c r="G177" s="53">
        <v>43501</v>
      </c>
      <c r="H177" s="52" t="s">
        <v>55</v>
      </c>
    </row>
    <row r="178" spans="1:10" x14ac:dyDescent="0.25">
      <c r="A178" t="s">
        <v>43</v>
      </c>
      <c r="B178" s="49">
        <v>6</v>
      </c>
      <c r="C178" s="54">
        <f>20000*G178</f>
        <v>382320</v>
      </c>
      <c r="D178" s="55" t="s">
        <v>2124</v>
      </c>
      <c r="E178" s="55" t="s">
        <v>2299</v>
      </c>
      <c r="F178" s="55" t="s">
        <v>2161</v>
      </c>
      <c r="G178" s="56">
        <v>19.116</v>
      </c>
      <c r="H178" s="55">
        <v>28.86</v>
      </c>
      <c r="I178" s="57">
        <v>43502</v>
      </c>
      <c r="J178" s="55" t="s">
        <v>62</v>
      </c>
    </row>
    <row r="179" spans="1:10" x14ac:dyDescent="0.25">
      <c r="A179" t="s">
        <v>43</v>
      </c>
      <c r="B179" s="49">
        <v>6</v>
      </c>
      <c r="C179" s="51">
        <f>23558.66*G179</f>
        <v>449734.81939999998</v>
      </c>
      <c r="D179" s="52" t="s">
        <v>1985</v>
      </c>
      <c r="E179" s="52" t="s">
        <v>2195</v>
      </c>
      <c r="F179" s="52" t="s">
        <v>2196</v>
      </c>
      <c r="G179" s="58">
        <v>19.09</v>
      </c>
      <c r="H179" s="52">
        <v>31</v>
      </c>
      <c r="I179" s="53">
        <v>43502</v>
      </c>
      <c r="J179" s="52" t="s">
        <v>62</v>
      </c>
    </row>
    <row r="180" spans="1:10" x14ac:dyDescent="0.25">
      <c r="A180" t="s">
        <v>59</v>
      </c>
      <c r="B180" s="49">
        <v>7</v>
      </c>
      <c r="C180" s="51">
        <f>20719*34.2</f>
        <v>708589.8</v>
      </c>
      <c r="D180" s="52" t="s">
        <v>2123</v>
      </c>
      <c r="E180" s="52" t="s">
        <v>2215</v>
      </c>
      <c r="F180" s="52" t="s">
        <v>73</v>
      </c>
      <c r="G180" s="53">
        <v>43502</v>
      </c>
      <c r="H180" s="52" t="s">
        <v>55</v>
      </c>
    </row>
    <row r="181" spans="1:10" x14ac:dyDescent="0.25">
      <c r="A181" t="s">
        <v>59</v>
      </c>
      <c r="B181" s="49">
        <v>7</v>
      </c>
      <c r="C181" s="51">
        <v>23116.080000000002</v>
      </c>
      <c r="D181" s="52" t="s">
        <v>2100</v>
      </c>
      <c r="E181" s="52" t="s">
        <v>2099</v>
      </c>
      <c r="F181" s="52" t="s">
        <v>2101</v>
      </c>
      <c r="G181" s="58">
        <v>186</v>
      </c>
      <c r="H181" s="53">
        <v>43497</v>
      </c>
      <c r="I181" s="52" t="s">
        <v>62</v>
      </c>
    </row>
    <row r="182" spans="1:10" x14ac:dyDescent="0.25">
      <c r="A182" t="s">
        <v>59</v>
      </c>
      <c r="B182" s="49">
        <v>7</v>
      </c>
      <c r="C182" s="54">
        <f>21000*G182</f>
        <v>402129</v>
      </c>
      <c r="D182" s="55" t="s">
        <v>2125</v>
      </c>
      <c r="E182" s="55" t="s">
        <v>2306</v>
      </c>
      <c r="F182" s="55" t="s">
        <v>61</v>
      </c>
      <c r="G182" s="56">
        <v>19.149000000000001</v>
      </c>
      <c r="H182" s="55">
        <v>19.16</v>
      </c>
      <c r="I182" s="57">
        <v>43503</v>
      </c>
      <c r="J182" s="55" t="s">
        <v>62</v>
      </c>
    </row>
    <row r="183" spans="1:10" x14ac:dyDescent="0.25">
      <c r="A183" t="s">
        <v>59</v>
      </c>
      <c r="B183" s="49">
        <v>7</v>
      </c>
      <c r="C183" s="51">
        <f>23417.77*G183</f>
        <v>447794.59794000001</v>
      </c>
      <c r="D183" s="52" t="s">
        <v>2045</v>
      </c>
      <c r="E183" s="52" t="s">
        <v>2198</v>
      </c>
      <c r="F183" s="52" t="s">
        <v>2197</v>
      </c>
      <c r="G183" s="58">
        <v>19.122</v>
      </c>
      <c r="H183" s="53">
        <v>43503</v>
      </c>
      <c r="I183" s="53">
        <v>43503</v>
      </c>
      <c r="J183" s="52" t="s">
        <v>62</v>
      </c>
    </row>
    <row r="184" spans="1:10" x14ac:dyDescent="0.25">
      <c r="A184" t="s">
        <v>59</v>
      </c>
      <c r="B184" s="49">
        <v>7</v>
      </c>
      <c r="C184" s="51">
        <f>378810+10857.6</f>
        <v>389667.6</v>
      </c>
      <c r="D184" s="52" t="s">
        <v>2028</v>
      </c>
      <c r="E184" s="52" t="s">
        <v>1961</v>
      </c>
      <c r="F184" s="52" t="s">
        <v>52</v>
      </c>
      <c r="G184" s="53">
        <v>43502</v>
      </c>
      <c r="H184" s="52" t="s">
        <v>55</v>
      </c>
    </row>
    <row r="185" spans="1:10" x14ac:dyDescent="0.25">
      <c r="A185" t="s">
        <v>70</v>
      </c>
      <c r="B185" s="49">
        <v>8</v>
      </c>
      <c r="C185" s="51">
        <v>1578776.13</v>
      </c>
      <c r="D185" s="52" t="s">
        <v>1924</v>
      </c>
      <c r="E185" s="52" t="s">
        <v>1923</v>
      </c>
      <c r="F185" s="52" t="s">
        <v>1925</v>
      </c>
      <c r="G185" s="52">
        <v>92.5</v>
      </c>
      <c r="H185" s="53">
        <v>43503</v>
      </c>
      <c r="I185" s="52" t="s">
        <v>62</v>
      </c>
    </row>
    <row r="186" spans="1:10" x14ac:dyDescent="0.25">
      <c r="A186" t="s">
        <v>70</v>
      </c>
      <c r="B186" s="49">
        <v>8</v>
      </c>
      <c r="C186" s="51">
        <v>5665.92</v>
      </c>
      <c r="D186" s="52" t="s">
        <v>2229</v>
      </c>
      <c r="E186" s="52" t="s">
        <v>2228</v>
      </c>
      <c r="F186" s="52" t="s">
        <v>2230</v>
      </c>
      <c r="G186" s="52">
        <v>26</v>
      </c>
      <c r="H186" s="53">
        <v>43508</v>
      </c>
      <c r="I186" s="52" t="s">
        <v>62</v>
      </c>
    </row>
    <row r="187" spans="1:10" x14ac:dyDescent="0.25">
      <c r="A187" t="s">
        <v>70</v>
      </c>
      <c r="B187" s="49">
        <v>8</v>
      </c>
      <c r="C187" s="51">
        <f>23672.13*G187</f>
        <v>452966.20755000005</v>
      </c>
      <c r="D187" s="52" t="s">
        <v>2127</v>
      </c>
      <c r="E187" s="52" t="s">
        <v>2209</v>
      </c>
      <c r="F187" s="52" t="s">
        <v>2210</v>
      </c>
      <c r="G187" s="58">
        <v>19.135000000000002</v>
      </c>
      <c r="H187" s="52">
        <v>30.2</v>
      </c>
      <c r="I187" s="53">
        <v>43504</v>
      </c>
      <c r="J187" s="52" t="s">
        <v>62</v>
      </c>
    </row>
    <row r="188" spans="1:10" x14ac:dyDescent="0.25">
      <c r="A188" s="37" t="s">
        <v>89</v>
      </c>
      <c r="B188" s="49">
        <v>9</v>
      </c>
    </row>
    <row r="189" spans="1:10" x14ac:dyDescent="0.25">
      <c r="A189" s="37" t="s">
        <v>90</v>
      </c>
      <c r="B189" s="49">
        <v>10</v>
      </c>
    </row>
    <row r="190" spans="1:10" x14ac:dyDescent="0.25">
      <c r="A190" t="s">
        <v>91</v>
      </c>
      <c r="B190" s="49">
        <v>11</v>
      </c>
      <c r="C190" s="54">
        <f>22000*G190</f>
        <v>420684</v>
      </c>
      <c r="D190" s="55" t="s">
        <v>2126</v>
      </c>
      <c r="E190" s="55" t="s">
        <v>2327</v>
      </c>
      <c r="F190" s="55" t="s">
        <v>1659</v>
      </c>
      <c r="G190" s="56">
        <v>19.122</v>
      </c>
      <c r="H190" s="55">
        <v>30.04</v>
      </c>
      <c r="I190" s="57">
        <v>43507</v>
      </c>
      <c r="J190" s="55" t="s">
        <v>62</v>
      </c>
    </row>
    <row r="191" spans="1:10" x14ac:dyDescent="0.25">
      <c r="A191" t="s">
        <v>91</v>
      </c>
      <c r="B191" s="49">
        <v>11</v>
      </c>
      <c r="C191" s="51">
        <f>23353.99*G191</f>
        <v>446014.50102000003</v>
      </c>
      <c r="D191" s="52" t="s">
        <v>2128</v>
      </c>
      <c r="E191" s="52" t="s">
        <v>2217</v>
      </c>
      <c r="F191" s="52" t="s">
        <v>2218</v>
      </c>
      <c r="G191" s="58">
        <v>19.097999999999999</v>
      </c>
      <c r="H191" s="52">
        <v>30.2</v>
      </c>
      <c r="I191" s="53">
        <v>43507</v>
      </c>
      <c r="J191" s="52" t="s">
        <v>62</v>
      </c>
    </row>
    <row r="192" spans="1:10" x14ac:dyDescent="0.25">
      <c r="A192" t="s">
        <v>91</v>
      </c>
      <c r="B192" s="49">
        <v>11</v>
      </c>
      <c r="C192" s="54">
        <f>25000*G192</f>
        <v>477525</v>
      </c>
      <c r="D192" s="55" t="s">
        <v>2141</v>
      </c>
      <c r="E192" s="55" t="s">
        <v>2374</v>
      </c>
      <c r="F192" s="55" t="s">
        <v>2240</v>
      </c>
      <c r="G192" s="56">
        <v>19.100999999999999</v>
      </c>
      <c r="H192" s="55">
        <v>28.57</v>
      </c>
      <c r="I192" s="57">
        <v>43507</v>
      </c>
      <c r="J192" s="55" t="s">
        <v>62</v>
      </c>
    </row>
    <row r="193" spans="1:10" x14ac:dyDescent="0.25">
      <c r="A193" t="s">
        <v>91</v>
      </c>
      <c r="B193" s="49">
        <v>11</v>
      </c>
      <c r="C193" s="51">
        <f>654020+16704</f>
        <v>670724</v>
      </c>
      <c r="D193" s="52" t="s">
        <v>2029</v>
      </c>
      <c r="E193" s="52" t="s">
        <v>1990</v>
      </c>
      <c r="F193" s="52" t="s">
        <v>52</v>
      </c>
      <c r="G193" s="53">
        <v>43503</v>
      </c>
      <c r="H193" s="52" t="s">
        <v>55</v>
      </c>
    </row>
    <row r="194" spans="1:10" x14ac:dyDescent="0.25">
      <c r="A194" t="s">
        <v>91</v>
      </c>
      <c r="B194" s="49">
        <v>11</v>
      </c>
      <c r="C194" s="51">
        <f>366627.5+10857.6</f>
        <v>377485.1</v>
      </c>
      <c r="D194" s="52" t="s">
        <v>2030</v>
      </c>
      <c r="E194" s="52" t="s">
        <v>1991</v>
      </c>
      <c r="F194" s="52" t="s">
        <v>52</v>
      </c>
      <c r="G194" s="53">
        <v>43507</v>
      </c>
      <c r="H194" s="52" t="s">
        <v>55</v>
      </c>
    </row>
    <row r="195" spans="1:10" x14ac:dyDescent="0.25">
      <c r="A195" t="s">
        <v>91</v>
      </c>
      <c r="B195" s="49">
        <v>11</v>
      </c>
      <c r="C195" s="51">
        <f>665150+16704</f>
        <v>681854</v>
      </c>
      <c r="D195" s="52" t="s">
        <v>2031</v>
      </c>
      <c r="E195" s="52" t="s">
        <v>2032</v>
      </c>
      <c r="F195" s="52" t="s">
        <v>52</v>
      </c>
      <c r="G195" s="53">
        <v>43504</v>
      </c>
      <c r="H195" s="52" t="s">
        <v>55</v>
      </c>
    </row>
    <row r="196" spans="1:10" x14ac:dyDescent="0.25">
      <c r="A196" t="s">
        <v>91</v>
      </c>
      <c r="B196" s="49">
        <v>11</v>
      </c>
      <c r="C196" s="51">
        <f>134885+4176</f>
        <v>139061</v>
      </c>
      <c r="D196" s="52" t="s">
        <v>2034</v>
      </c>
      <c r="E196" s="52" t="s">
        <v>2033</v>
      </c>
      <c r="F196" s="52" t="s">
        <v>52</v>
      </c>
      <c r="G196" s="53">
        <v>43504</v>
      </c>
      <c r="H196" s="52" t="s">
        <v>55</v>
      </c>
    </row>
    <row r="197" spans="1:10" x14ac:dyDescent="0.25">
      <c r="A197" t="s">
        <v>91</v>
      </c>
      <c r="B197" s="49">
        <v>11</v>
      </c>
      <c r="C197" s="51">
        <v>52108</v>
      </c>
      <c r="D197" s="52" t="s">
        <v>2288</v>
      </c>
      <c r="E197" s="52" t="s">
        <v>2290</v>
      </c>
      <c r="F197" s="52" t="s">
        <v>120</v>
      </c>
      <c r="G197" s="53">
        <v>43507</v>
      </c>
      <c r="H197" s="52" t="s">
        <v>55</v>
      </c>
    </row>
    <row r="198" spans="1:10" x14ac:dyDescent="0.25">
      <c r="A198" t="s">
        <v>91</v>
      </c>
      <c r="B198" s="49">
        <v>11</v>
      </c>
      <c r="C198" s="51">
        <v>69888</v>
      </c>
      <c r="D198" s="52" t="s">
        <v>2289</v>
      </c>
      <c r="E198" s="52" t="s">
        <v>2291</v>
      </c>
      <c r="F198" s="52" t="s">
        <v>120</v>
      </c>
      <c r="G198" s="53">
        <v>43507</v>
      </c>
      <c r="H198" s="52" t="s">
        <v>55</v>
      </c>
    </row>
    <row r="199" spans="1:10" x14ac:dyDescent="0.25">
      <c r="A199" t="s">
        <v>122</v>
      </c>
      <c r="B199" s="49">
        <v>12</v>
      </c>
      <c r="C199" s="51">
        <f>20956.63*G199</f>
        <v>404525.82889000006</v>
      </c>
      <c r="D199" s="52" t="s">
        <v>2130</v>
      </c>
      <c r="E199" s="52" t="s">
        <v>2279</v>
      </c>
      <c r="F199" s="52" t="s">
        <v>2280</v>
      </c>
      <c r="G199" s="58">
        <v>19.303000000000001</v>
      </c>
      <c r="H199" s="52"/>
      <c r="I199" s="53">
        <v>43508</v>
      </c>
      <c r="J199" s="52" t="s">
        <v>62</v>
      </c>
    </row>
    <row r="200" spans="1:10" x14ac:dyDescent="0.25">
      <c r="A200" t="s">
        <v>122</v>
      </c>
      <c r="B200" s="49">
        <v>12</v>
      </c>
      <c r="C200" s="54">
        <f>23000*G200</f>
        <v>444820</v>
      </c>
      <c r="D200" s="55" t="s">
        <v>2143</v>
      </c>
      <c r="E200" s="55" t="s">
        <v>2390</v>
      </c>
      <c r="F200" s="55" t="s">
        <v>93</v>
      </c>
      <c r="G200" s="56">
        <v>19.34</v>
      </c>
      <c r="H200" s="55">
        <v>28.27</v>
      </c>
      <c r="I200" s="57">
        <v>43508</v>
      </c>
      <c r="J200" s="55" t="s">
        <v>62</v>
      </c>
    </row>
    <row r="201" spans="1:10" x14ac:dyDescent="0.25">
      <c r="A201" t="s">
        <v>122</v>
      </c>
      <c r="B201" s="49">
        <v>12</v>
      </c>
      <c r="C201" s="51">
        <f>614800+16620.48</f>
        <v>631420.48</v>
      </c>
      <c r="D201" s="52" t="s">
        <v>2072</v>
      </c>
      <c r="E201" s="52" t="s">
        <v>2069</v>
      </c>
      <c r="F201" s="52" t="s">
        <v>52</v>
      </c>
      <c r="G201" s="53">
        <v>43507</v>
      </c>
      <c r="H201" s="52" t="s">
        <v>55</v>
      </c>
    </row>
    <row r="202" spans="1:10" x14ac:dyDescent="0.25">
      <c r="A202" t="s">
        <v>122</v>
      </c>
      <c r="B202" s="49">
        <v>12</v>
      </c>
      <c r="C202" s="51">
        <f>144557.5+4176</f>
        <v>148733.5</v>
      </c>
      <c r="D202" s="52" t="s">
        <v>2071</v>
      </c>
      <c r="E202" s="52" t="s">
        <v>2070</v>
      </c>
      <c r="F202" s="52" t="s">
        <v>52</v>
      </c>
      <c r="G202" s="53">
        <v>43507</v>
      </c>
      <c r="H202" s="52" t="s">
        <v>55</v>
      </c>
    </row>
    <row r="203" spans="1:10" x14ac:dyDescent="0.25">
      <c r="A203" t="s">
        <v>122</v>
      </c>
      <c r="B203" s="49">
        <v>12</v>
      </c>
      <c r="C203" s="51">
        <f>607380+16704</f>
        <v>624084</v>
      </c>
      <c r="D203" s="52" t="s">
        <v>2073</v>
      </c>
      <c r="E203" s="52" t="s">
        <v>2051</v>
      </c>
      <c r="F203" s="52" t="s">
        <v>52</v>
      </c>
      <c r="G203" s="53">
        <v>43508</v>
      </c>
      <c r="H203" s="52" t="s">
        <v>55</v>
      </c>
    </row>
    <row r="204" spans="1:10" x14ac:dyDescent="0.25">
      <c r="A204" t="s">
        <v>122</v>
      </c>
      <c r="B204" s="49">
        <v>12</v>
      </c>
      <c r="C204" s="51">
        <f>369807.5+10857.6</f>
        <v>380665.1</v>
      </c>
      <c r="D204" s="52" t="s">
        <v>2074</v>
      </c>
      <c r="E204" s="52" t="s">
        <v>2052</v>
      </c>
      <c r="F204" s="52" t="s">
        <v>52</v>
      </c>
      <c r="G204" s="53">
        <v>43508</v>
      </c>
      <c r="H204" s="52" t="s">
        <v>55</v>
      </c>
    </row>
    <row r="205" spans="1:10" x14ac:dyDescent="0.25">
      <c r="A205" t="s">
        <v>43</v>
      </c>
      <c r="B205" s="49">
        <v>13</v>
      </c>
      <c r="C205" s="51">
        <v>212316</v>
      </c>
      <c r="D205" s="52" t="s">
        <v>2224</v>
      </c>
      <c r="E205" s="52" t="s">
        <v>2223</v>
      </c>
      <c r="F205" s="52" t="s">
        <v>1798</v>
      </c>
      <c r="G205" s="52">
        <v>65</v>
      </c>
      <c r="H205" s="53">
        <v>43508</v>
      </c>
      <c r="I205" s="52" t="s">
        <v>62</v>
      </c>
    </row>
    <row r="206" spans="1:10" x14ac:dyDescent="0.25">
      <c r="A206" t="s">
        <v>43</v>
      </c>
      <c r="B206" s="49">
        <v>13</v>
      </c>
      <c r="C206" s="54">
        <f>20000*G206</f>
        <v>386440</v>
      </c>
      <c r="D206" s="55" t="s">
        <v>2129</v>
      </c>
      <c r="E206" s="55" t="s">
        <v>2389</v>
      </c>
      <c r="F206" s="55" t="s">
        <v>2161</v>
      </c>
      <c r="G206" s="56">
        <v>19.321999999999999</v>
      </c>
      <c r="H206" s="55">
        <v>29.04</v>
      </c>
      <c r="I206" s="57">
        <v>43509</v>
      </c>
      <c r="J206" s="55" t="s">
        <v>62</v>
      </c>
    </row>
    <row r="207" spans="1:10" x14ac:dyDescent="0.25">
      <c r="A207" t="s">
        <v>43</v>
      </c>
      <c r="B207" s="49">
        <v>13</v>
      </c>
      <c r="C207" s="54">
        <f>23000*G207</f>
        <v>444406</v>
      </c>
      <c r="D207" s="55" t="s">
        <v>2131</v>
      </c>
      <c r="E207" s="55" t="s">
        <v>2378</v>
      </c>
      <c r="F207" s="55" t="s">
        <v>93</v>
      </c>
      <c r="G207" s="56">
        <v>19.321999999999999</v>
      </c>
      <c r="H207" s="55">
        <v>28.77</v>
      </c>
      <c r="I207" s="57">
        <v>43509</v>
      </c>
      <c r="J207" s="55" t="s">
        <v>62</v>
      </c>
    </row>
    <row r="208" spans="1:10" x14ac:dyDescent="0.25">
      <c r="A208" t="s">
        <v>43</v>
      </c>
      <c r="B208" s="49">
        <v>13</v>
      </c>
      <c r="C208" s="51">
        <f>22080*34.2</f>
        <v>755136.00000000012</v>
      </c>
      <c r="D208" s="52" t="s">
        <v>2278</v>
      </c>
      <c r="E208" s="52" t="s">
        <v>2328</v>
      </c>
      <c r="F208" s="52" t="s">
        <v>73</v>
      </c>
      <c r="G208" s="53">
        <v>43514</v>
      </c>
      <c r="H208" s="52" t="s">
        <v>55</v>
      </c>
    </row>
    <row r="209" spans="1:10" x14ac:dyDescent="0.25">
      <c r="A209" t="s">
        <v>43</v>
      </c>
      <c r="B209" s="49">
        <v>13</v>
      </c>
      <c r="C209" s="51">
        <f>643155+16620.48</f>
        <v>659775.48</v>
      </c>
      <c r="D209" s="52" t="s">
        <v>2077</v>
      </c>
      <c r="E209" s="52" t="s">
        <v>2078</v>
      </c>
      <c r="F209" s="52" t="s">
        <v>52</v>
      </c>
      <c r="G209" s="53">
        <v>43509</v>
      </c>
      <c r="H209" s="52" t="s">
        <v>55</v>
      </c>
    </row>
    <row r="210" spans="1:10" x14ac:dyDescent="0.25">
      <c r="A210" t="s">
        <v>43</v>
      </c>
      <c r="B210" s="49">
        <v>13</v>
      </c>
      <c r="C210" s="51">
        <f>458052.5+15033.6</f>
        <v>473086.1</v>
      </c>
      <c r="D210" s="52" t="s">
        <v>2079</v>
      </c>
      <c r="E210" s="52" t="s">
        <v>2075</v>
      </c>
      <c r="F210" s="52" t="s">
        <v>52</v>
      </c>
      <c r="G210" s="53">
        <v>43510</v>
      </c>
      <c r="H210" s="52" t="s">
        <v>55</v>
      </c>
    </row>
    <row r="211" spans="1:10" x14ac:dyDescent="0.25">
      <c r="A211" t="s">
        <v>59</v>
      </c>
      <c r="B211" s="49">
        <v>14</v>
      </c>
      <c r="C211" s="54">
        <f>23000*G211</f>
        <v>446430</v>
      </c>
      <c r="D211" s="55" t="s">
        <v>2132</v>
      </c>
      <c r="E211" s="55" t="s">
        <v>2388</v>
      </c>
      <c r="F211" s="55" t="s">
        <v>93</v>
      </c>
      <c r="G211" s="56">
        <v>19.41</v>
      </c>
      <c r="H211" s="55">
        <v>28.83</v>
      </c>
      <c r="I211" s="57">
        <v>43510</v>
      </c>
      <c r="J211" s="55" t="s">
        <v>62</v>
      </c>
    </row>
    <row r="212" spans="1:10" x14ac:dyDescent="0.25">
      <c r="A212" t="s">
        <v>59</v>
      </c>
      <c r="B212" s="49">
        <v>14</v>
      </c>
      <c r="C212" s="51">
        <f>21612.85*G212</f>
        <v>419829.61124999996</v>
      </c>
      <c r="D212" s="52" t="s">
        <v>2137</v>
      </c>
      <c r="E212" s="52" t="s">
        <v>2294</v>
      </c>
      <c r="F212" s="52" t="s">
        <v>2295</v>
      </c>
      <c r="G212" s="58">
        <v>19.425000000000001</v>
      </c>
      <c r="H212" s="52">
        <v>29.15</v>
      </c>
      <c r="I212" s="53">
        <v>43510</v>
      </c>
      <c r="J212" s="52" t="s">
        <v>62</v>
      </c>
    </row>
    <row r="213" spans="1:10" x14ac:dyDescent="0.25">
      <c r="A213" t="s">
        <v>59</v>
      </c>
      <c r="B213" s="49">
        <v>14</v>
      </c>
      <c r="C213" s="51">
        <f>359870+10857.6</f>
        <v>370727.6</v>
      </c>
      <c r="D213" s="52" t="s">
        <v>2096</v>
      </c>
      <c r="E213" s="52" t="s">
        <v>2089</v>
      </c>
      <c r="F213" s="52" t="s">
        <v>52</v>
      </c>
      <c r="G213" s="53">
        <v>43510</v>
      </c>
      <c r="H213" s="52" t="s">
        <v>55</v>
      </c>
    </row>
    <row r="214" spans="1:10" x14ac:dyDescent="0.25">
      <c r="A214" t="s">
        <v>59</v>
      </c>
      <c r="B214" s="49">
        <v>14</v>
      </c>
      <c r="C214" s="51">
        <v>53177.02</v>
      </c>
      <c r="D214" s="52" t="s">
        <v>2317</v>
      </c>
      <c r="E214" s="52" t="s">
        <v>2318</v>
      </c>
      <c r="F214" s="52" t="s">
        <v>2319</v>
      </c>
      <c r="G214" s="53">
        <v>43510</v>
      </c>
      <c r="H214" s="52" t="s">
        <v>62</v>
      </c>
    </row>
    <row r="215" spans="1:10" x14ac:dyDescent="0.25">
      <c r="A215" t="s">
        <v>59</v>
      </c>
      <c r="B215" s="49">
        <v>14</v>
      </c>
      <c r="C215" s="51">
        <v>10623.8</v>
      </c>
      <c r="D215" s="52" t="s">
        <v>2355</v>
      </c>
      <c r="E215" s="52" t="s">
        <v>2312</v>
      </c>
      <c r="F215" s="52" t="s">
        <v>2230</v>
      </c>
      <c r="G215" s="51">
        <v>26</v>
      </c>
      <c r="H215" s="53">
        <v>43515</v>
      </c>
      <c r="I215" s="52" t="s">
        <v>62</v>
      </c>
    </row>
    <row r="216" spans="1:10" x14ac:dyDescent="0.25">
      <c r="A216" t="s">
        <v>59</v>
      </c>
      <c r="B216" s="49">
        <v>14</v>
      </c>
      <c r="C216" s="51">
        <v>47927.7</v>
      </c>
      <c r="D216" s="52" t="s">
        <v>2355</v>
      </c>
      <c r="E216" s="52" t="s">
        <v>2354</v>
      </c>
      <c r="F216" s="52" t="s">
        <v>87</v>
      </c>
      <c r="G216" s="51">
        <v>18.3</v>
      </c>
      <c r="H216" s="53">
        <v>43515</v>
      </c>
      <c r="I216" s="52" t="s">
        <v>62</v>
      </c>
    </row>
    <row r="217" spans="1:10" x14ac:dyDescent="0.25">
      <c r="A217" t="s">
        <v>70</v>
      </c>
      <c r="B217" s="49">
        <v>15</v>
      </c>
      <c r="C217" s="51">
        <f>20962.41*G217</f>
        <v>406230.54339000001</v>
      </c>
      <c r="D217" s="52" t="s">
        <v>2138</v>
      </c>
      <c r="E217" s="52" t="s">
        <v>2296</v>
      </c>
      <c r="F217" s="52" t="s">
        <v>2297</v>
      </c>
      <c r="G217" s="58">
        <v>19.379000000000001</v>
      </c>
      <c r="H217" s="52">
        <v>28.97</v>
      </c>
      <c r="I217" s="53">
        <v>43511</v>
      </c>
    </row>
    <row r="218" spans="1:10" x14ac:dyDescent="0.25">
      <c r="A218" t="s">
        <v>70</v>
      </c>
      <c r="B218" s="49">
        <v>15</v>
      </c>
      <c r="C218" s="54">
        <f>22000*G218</f>
        <v>425040</v>
      </c>
      <c r="D218" s="55" t="s">
        <v>2153</v>
      </c>
      <c r="E218" s="55" t="s">
        <v>2462</v>
      </c>
      <c r="F218" s="55" t="s">
        <v>1659</v>
      </c>
      <c r="G218" s="56">
        <v>19.32</v>
      </c>
      <c r="H218" s="55">
        <v>28.53</v>
      </c>
      <c r="I218" s="57">
        <v>43511</v>
      </c>
      <c r="J218" s="55" t="s">
        <v>62</v>
      </c>
    </row>
    <row r="219" spans="1:10" x14ac:dyDescent="0.25">
      <c r="A219" t="s">
        <v>70</v>
      </c>
      <c r="B219" s="49">
        <v>15</v>
      </c>
      <c r="C219" s="54">
        <f>22000*G219</f>
        <v>425040</v>
      </c>
      <c r="D219" s="55" t="s">
        <v>2242</v>
      </c>
      <c r="E219" s="55" t="s">
        <v>2463</v>
      </c>
      <c r="F219" s="55" t="s">
        <v>1659</v>
      </c>
      <c r="G219" s="56">
        <v>19.32</v>
      </c>
      <c r="H219" s="55">
        <v>28.8</v>
      </c>
      <c r="I219" s="57">
        <v>43511</v>
      </c>
      <c r="J219" s="55" t="s">
        <v>62</v>
      </c>
    </row>
    <row r="220" spans="1:10" x14ac:dyDescent="0.25">
      <c r="A220" s="37" t="s">
        <v>89</v>
      </c>
      <c r="B220" s="49">
        <v>16</v>
      </c>
    </row>
    <row r="221" spans="1:10" x14ac:dyDescent="0.25">
      <c r="A221" s="37" t="s">
        <v>90</v>
      </c>
      <c r="B221" s="49">
        <v>17</v>
      </c>
    </row>
    <row r="222" spans="1:10" x14ac:dyDescent="0.25">
      <c r="A222" t="s">
        <v>91</v>
      </c>
      <c r="B222" s="49">
        <v>18</v>
      </c>
      <c r="C222" s="51">
        <f>581675+16369.92</f>
        <v>598044.92000000004</v>
      </c>
      <c r="D222" s="52" t="s">
        <v>2247</v>
      </c>
      <c r="E222" s="52" t="s">
        <v>2191</v>
      </c>
      <c r="F222" s="52" t="s">
        <v>52</v>
      </c>
      <c r="G222" s="53">
        <v>43511</v>
      </c>
      <c r="H222" s="52" t="s">
        <v>55</v>
      </c>
    </row>
    <row r="223" spans="1:10" x14ac:dyDescent="0.25">
      <c r="A223" t="s">
        <v>91</v>
      </c>
      <c r="B223" s="49">
        <v>18</v>
      </c>
      <c r="C223" s="51">
        <f>402800+10774.08</f>
        <v>413574.08</v>
      </c>
      <c r="D223" s="52" t="s">
        <v>2246</v>
      </c>
      <c r="E223" s="52" t="s">
        <v>2192</v>
      </c>
      <c r="F223" s="52" t="s">
        <v>52</v>
      </c>
      <c r="G223" s="53">
        <v>43511</v>
      </c>
      <c r="H223" s="52" t="s">
        <v>55</v>
      </c>
    </row>
    <row r="224" spans="1:10" x14ac:dyDescent="0.25">
      <c r="A224" t="s">
        <v>91</v>
      </c>
      <c r="B224" s="49">
        <v>18</v>
      </c>
      <c r="C224" s="51">
        <f>595455+18374.4</f>
        <v>613829.4</v>
      </c>
      <c r="D224" s="52" t="s">
        <v>2251</v>
      </c>
      <c r="E224" s="52" t="s">
        <v>2248</v>
      </c>
      <c r="F224" s="52" t="s">
        <v>52</v>
      </c>
      <c r="G224" s="53">
        <v>43511</v>
      </c>
      <c r="H224" s="52" t="s">
        <v>55</v>
      </c>
    </row>
    <row r="225" spans="1:10" x14ac:dyDescent="0.25">
      <c r="A225" t="s">
        <v>91</v>
      </c>
      <c r="B225" s="49">
        <v>18</v>
      </c>
      <c r="C225" s="51">
        <f>94075+2505.6</f>
        <v>96580.6</v>
      </c>
      <c r="D225" s="52" t="s">
        <v>2250</v>
      </c>
      <c r="E225" s="52" t="s">
        <v>2249</v>
      </c>
      <c r="F225" s="52" t="s">
        <v>52</v>
      </c>
      <c r="G225" s="53">
        <v>43511</v>
      </c>
      <c r="H225" s="52" t="s">
        <v>55</v>
      </c>
    </row>
    <row r="226" spans="1:10" x14ac:dyDescent="0.25">
      <c r="A226" t="s">
        <v>91</v>
      </c>
      <c r="B226" s="49">
        <v>18</v>
      </c>
      <c r="C226" s="51">
        <v>31549.200000000001</v>
      </c>
      <c r="D226" s="52" t="s">
        <v>2357</v>
      </c>
      <c r="E226" s="52" t="s">
        <v>2356</v>
      </c>
      <c r="F226" s="52" t="s">
        <v>87</v>
      </c>
      <c r="G226" s="51">
        <v>18.3</v>
      </c>
      <c r="H226" s="53">
        <v>43515</v>
      </c>
      <c r="I226" s="52" t="s">
        <v>62</v>
      </c>
    </row>
    <row r="227" spans="1:10" x14ac:dyDescent="0.25">
      <c r="A227" t="s">
        <v>122</v>
      </c>
      <c r="B227" s="49">
        <v>19</v>
      </c>
      <c r="C227" s="54">
        <f>23500*G227</f>
        <v>453996.5</v>
      </c>
      <c r="D227" s="55" t="s">
        <v>2133</v>
      </c>
      <c r="E227" s="55" t="s">
        <v>2398</v>
      </c>
      <c r="F227" s="55" t="s">
        <v>2324</v>
      </c>
      <c r="G227" s="56">
        <v>19.318999999999999</v>
      </c>
      <c r="H227" s="55"/>
      <c r="I227" s="57">
        <v>43515</v>
      </c>
      <c r="J227" s="55" t="s">
        <v>62</v>
      </c>
    </row>
    <row r="228" spans="1:10" x14ac:dyDescent="0.25">
      <c r="A228" t="s">
        <v>122</v>
      </c>
      <c r="B228" s="49">
        <v>19</v>
      </c>
      <c r="C228" s="51">
        <f>22046.28*G228</f>
        <v>425338.88003999996</v>
      </c>
      <c r="D228" s="52" t="s">
        <v>2140</v>
      </c>
      <c r="E228" s="52" t="s">
        <v>2304</v>
      </c>
      <c r="F228" s="52" t="s">
        <v>2305</v>
      </c>
      <c r="G228" s="58">
        <v>19.292999999999999</v>
      </c>
      <c r="H228" s="52">
        <v>28.8</v>
      </c>
      <c r="I228" s="53">
        <v>43515</v>
      </c>
      <c r="J228" s="52" t="s">
        <v>62</v>
      </c>
    </row>
    <row r="229" spans="1:10" x14ac:dyDescent="0.25">
      <c r="A229" t="s">
        <v>122</v>
      </c>
      <c r="B229" s="49">
        <v>19</v>
      </c>
      <c r="C229" s="54">
        <f>22000*G229</f>
        <v>425018</v>
      </c>
      <c r="D229" s="55" t="s">
        <v>2241</v>
      </c>
      <c r="E229" s="55" t="s">
        <v>2476</v>
      </c>
      <c r="F229" s="55" t="s">
        <v>1659</v>
      </c>
      <c r="G229" s="56">
        <v>19.318999999999999</v>
      </c>
      <c r="H229" s="55">
        <v>28.79</v>
      </c>
      <c r="I229" s="57">
        <v>43515</v>
      </c>
      <c r="J229" s="55" t="s">
        <v>62</v>
      </c>
    </row>
    <row r="230" spans="1:10" x14ac:dyDescent="0.25">
      <c r="A230" t="s">
        <v>122</v>
      </c>
      <c r="B230" s="49">
        <v>19</v>
      </c>
      <c r="C230" s="51">
        <f>777112.5+20796.48</f>
        <v>797908.98</v>
      </c>
      <c r="D230" s="52" t="s">
        <v>2268</v>
      </c>
      <c r="E230" s="52" t="s">
        <v>2212</v>
      </c>
      <c r="F230" s="52" t="s">
        <v>52</v>
      </c>
      <c r="G230" s="53">
        <v>43514</v>
      </c>
      <c r="H230" s="52" t="s">
        <v>55</v>
      </c>
    </row>
    <row r="231" spans="1:10" x14ac:dyDescent="0.25">
      <c r="A231" t="s">
        <v>122</v>
      </c>
      <c r="B231" s="49">
        <v>19</v>
      </c>
      <c r="C231" s="134">
        <f>669655+18374.4-3043.79</f>
        <v>684985.61</v>
      </c>
      <c r="D231" s="52" t="s">
        <v>2271</v>
      </c>
      <c r="E231" s="52" t="s">
        <v>2269</v>
      </c>
      <c r="F231" s="52" t="s">
        <v>52</v>
      </c>
      <c r="G231" s="53">
        <v>43514</v>
      </c>
      <c r="H231" s="52" t="s">
        <v>55</v>
      </c>
    </row>
    <row r="232" spans="1:10" x14ac:dyDescent="0.25">
      <c r="A232" t="s">
        <v>122</v>
      </c>
      <c r="B232" s="49">
        <v>19</v>
      </c>
      <c r="C232" s="51">
        <f>89967.5+2505.6</f>
        <v>92473.1</v>
      </c>
      <c r="D232" s="52" t="s">
        <v>2272</v>
      </c>
      <c r="E232" s="52" t="s">
        <v>2270</v>
      </c>
      <c r="F232" s="52" t="s">
        <v>52</v>
      </c>
      <c r="G232" s="53">
        <v>43514</v>
      </c>
      <c r="H232" s="52" t="s">
        <v>55</v>
      </c>
    </row>
    <row r="233" spans="1:10" x14ac:dyDescent="0.25">
      <c r="A233" t="s">
        <v>122</v>
      </c>
      <c r="B233" s="49">
        <v>19</v>
      </c>
      <c r="C233" s="51">
        <v>39519.4</v>
      </c>
      <c r="D233" s="52" t="s">
        <v>2363</v>
      </c>
      <c r="E233" s="52" t="s">
        <v>2386</v>
      </c>
      <c r="F233" s="52" t="s">
        <v>2364</v>
      </c>
      <c r="G233" s="52" t="s">
        <v>2365</v>
      </c>
      <c r="H233" s="53">
        <v>43515</v>
      </c>
      <c r="I233" s="52" t="s">
        <v>62</v>
      </c>
    </row>
    <row r="234" spans="1:10" x14ac:dyDescent="0.25">
      <c r="A234" t="s">
        <v>43</v>
      </c>
      <c r="B234" s="49">
        <v>20</v>
      </c>
      <c r="C234" s="54">
        <f>22500*G234</f>
        <v>433147.5</v>
      </c>
      <c r="D234" s="55" t="s">
        <v>2134</v>
      </c>
      <c r="E234" s="55" t="s">
        <v>2464</v>
      </c>
      <c r="F234" s="55" t="s">
        <v>125</v>
      </c>
      <c r="G234" s="56">
        <v>19.251000000000001</v>
      </c>
      <c r="H234" s="55">
        <v>29</v>
      </c>
      <c r="I234" s="57">
        <v>43516</v>
      </c>
      <c r="J234" s="55" t="s">
        <v>62</v>
      </c>
    </row>
    <row r="235" spans="1:10" x14ac:dyDescent="0.25">
      <c r="A235" t="s">
        <v>43</v>
      </c>
      <c r="B235" s="49">
        <v>20</v>
      </c>
      <c r="C235" s="51">
        <f>(21932.35-994.18)*G235</f>
        <v>403646.04125999991</v>
      </c>
      <c r="D235" s="52" t="s">
        <v>2139</v>
      </c>
      <c r="E235" s="52" t="s">
        <v>2323</v>
      </c>
      <c r="F235" s="52" t="s">
        <v>2344</v>
      </c>
      <c r="G235" s="58">
        <v>19.277999999999999</v>
      </c>
      <c r="H235" s="52">
        <v>29.51</v>
      </c>
      <c r="I235" s="53">
        <v>43516</v>
      </c>
      <c r="J235" s="52" t="s">
        <v>62</v>
      </c>
    </row>
    <row r="236" spans="1:10" x14ac:dyDescent="0.25">
      <c r="A236" t="s">
        <v>43</v>
      </c>
      <c r="B236" s="49">
        <v>20</v>
      </c>
      <c r="C236" s="51">
        <v>52187.6</v>
      </c>
      <c r="D236" s="52" t="s">
        <v>2395</v>
      </c>
      <c r="E236" s="52" t="s">
        <v>2396</v>
      </c>
      <c r="F236" s="52" t="s">
        <v>120</v>
      </c>
      <c r="G236" s="53">
        <v>43516</v>
      </c>
      <c r="H236" s="52" t="s">
        <v>55</v>
      </c>
      <c r="I236" s="72"/>
    </row>
    <row r="237" spans="1:10" x14ac:dyDescent="0.25">
      <c r="A237" t="s">
        <v>43</v>
      </c>
      <c r="B237" s="49">
        <v>20</v>
      </c>
      <c r="C237" s="51">
        <v>755663.27</v>
      </c>
      <c r="D237" s="52" t="s">
        <v>2315</v>
      </c>
      <c r="E237" s="52" t="s">
        <v>2397</v>
      </c>
      <c r="F237" s="52" t="s">
        <v>73</v>
      </c>
      <c r="G237" s="53">
        <v>43517</v>
      </c>
      <c r="H237" s="52" t="s">
        <v>55</v>
      </c>
    </row>
    <row r="238" spans="1:10" x14ac:dyDescent="0.25">
      <c r="A238" t="s">
        <v>43</v>
      </c>
      <c r="B238" s="49">
        <v>20</v>
      </c>
      <c r="C238" s="51">
        <f>745047.5+20963.52</f>
        <v>766011.02</v>
      </c>
      <c r="D238" s="52" t="s">
        <v>2273</v>
      </c>
      <c r="E238" s="52" t="s">
        <v>2220</v>
      </c>
      <c r="F238" s="52" t="s">
        <v>52</v>
      </c>
      <c r="G238" s="53">
        <v>43514</v>
      </c>
      <c r="H238" s="52" t="s">
        <v>55</v>
      </c>
    </row>
    <row r="239" spans="1:10" x14ac:dyDescent="0.25">
      <c r="A239" t="s">
        <v>43</v>
      </c>
      <c r="B239" s="49">
        <v>20</v>
      </c>
      <c r="C239" s="51">
        <f>435395+10857.6</f>
        <v>446252.6</v>
      </c>
      <c r="D239" s="52" t="s">
        <v>2275</v>
      </c>
      <c r="E239" s="52" t="s">
        <v>2274</v>
      </c>
      <c r="F239" s="52" t="s">
        <v>52</v>
      </c>
      <c r="G239" s="53">
        <v>43514</v>
      </c>
      <c r="H239" s="52" t="s">
        <v>55</v>
      </c>
    </row>
    <row r="240" spans="1:10" x14ac:dyDescent="0.25">
      <c r="A240" t="s">
        <v>59</v>
      </c>
      <c r="B240" s="49">
        <v>21</v>
      </c>
      <c r="C240" s="54">
        <f>21000*G240</f>
        <v>403641</v>
      </c>
      <c r="D240" s="55" t="s">
        <v>2135</v>
      </c>
      <c r="E240" s="55" t="s">
        <v>2475</v>
      </c>
      <c r="F240" s="55" t="s">
        <v>2392</v>
      </c>
      <c r="G240" s="56">
        <v>19.221</v>
      </c>
      <c r="H240" s="55">
        <v>29.22</v>
      </c>
      <c r="I240" s="57">
        <v>43517</v>
      </c>
      <c r="J240" s="55" t="s">
        <v>62</v>
      </c>
    </row>
    <row r="241" spans="1:11" x14ac:dyDescent="0.25">
      <c r="A241" t="s">
        <v>59</v>
      </c>
      <c r="B241" s="49">
        <v>21</v>
      </c>
      <c r="C241" s="51">
        <f>376167.5+10774.08-2915</f>
        <v>384026.58</v>
      </c>
      <c r="D241" s="52" t="s">
        <v>2276</v>
      </c>
      <c r="E241" s="52" t="s">
        <v>2277</v>
      </c>
      <c r="F241" s="52" t="s">
        <v>52</v>
      </c>
      <c r="G241" s="53">
        <v>43521</v>
      </c>
      <c r="H241" s="52" t="s">
        <v>55</v>
      </c>
    </row>
    <row r="242" spans="1:11" x14ac:dyDescent="0.25">
      <c r="A242" t="s">
        <v>70</v>
      </c>
      <c r="B242" s="49">
        <v>22</v>
      </c>
      <c r="C242" s="51">
        <f>21728.41*G242</f>
        <v>417315.84246000001</v>
      </c>
      <c r="D242" s="52" t="s">
        <v>2142</v>
      </c>
      <c r="E242" s="52" t="s">
        <v>2380</v>
      </c>
      <c r="F242" s="52" t="s">
        <v>2381</v>
      </c>
      <c r="G242" s="58">
        <v>19.206</v>
      </c>
      <c r="H242" s="52">
        <v>29.2</v>
      </c>
      <c r="I242" s="53">
        <v>43518</v>
      </c>
      <c r="J242" s="52" t="s">
        <v>62</v>
      </c>
    </row>
    <row r="243" spans="1:11" x14ac:dyDescent="0.25">
      <c r="A243" t="s">
        <v>70</v>
      </c>
      <c r="B243" s="49">
        <v>22</v>
      </c>
    </row>
    <row r="244" spans="1:11" x14ac:dyDescent="0.25">
      <c r="A244" s="37" t="s">
        <v>89</v>
      </c>
      <c r="B244" s="49">
        <v>23</v>
      </c>
    </row>
    <row r="245" spans="1:11" x14ac:dyDescent="0.25">
      <c r="A245" s="37" t="s">
        <v>90</v>
      </c>
      <c r="B245" s="49">
        <v>24</v>
      </c>
    </row>
    <row r="246" spans="1:11" x14ac:dyDescent="0.25">
      <c r="A246" t="s">
        <v>91</v>
      </c>
      <c r="B246" s="49">
        <v>25</v>
      </c>
      <c r="C246" s="54">
        <f>22000*G246</f>
        <v>421542.00000000006</v>
      </c>
      <c r="D246" s="55" t="s">
        <v>2136</v>
      </c>
      <c r="E246" s="55" t="s">
        <v>2517</v>
      </c>
      <c r="F246" s="55" t="s">
        <v>1659</v>
      </c>
      <c r="G246" s="56">
        <v>19.161000000000001</v>
      </c>
      <c r="H246" s="55">
        <v>30.42</v>
      </c>
      <c r="I246" s="57">
        <v>43521</v>
      </c>
      <c r="J246" s="55" t="s">
        <v>62</v>
      </c>
    </row>
    <row r="247" spans="1:11" x14ac:dyDescent="0.25">
      <c r="A247" t="s">
        <v>91</v>
      </c>
      <c r="B247" s="49">
        <v>25</v>
      </c>
      <c r="C247" s="54">
        <f>22000*G247</f>
        <v>421542.00000000006</v>
      </c>
      <c r="D247" s="55" t="s">
        <v>2243</v>
      </c>
      <c r="E247" s="55" t="s">
        <v>2573</v>
      </c>
      <c r="F247" s="55" t="s">
        <v>1659</v>
      </c>
      <c r="G247" s="56">
        <v>19.161000000000001</v>
      </c>
      <c r="H247" s="55">
        <v>30.21</v>
      </c>
      <c r="I247" s="57">
        <v>39869</v>
      </c>
      <c r="J247" s="55" t="s">
        <v>62</v>
      </c>
    </row>
    <row r="248" spans="1:11" x14ac:dyDescent="0.25">
      <c r="A248" t="s">
        <v>91</v>
      </c>
      <c r="B248" s="49">
        <v>25</v>
      </c>
      <c r="C248" s="51">
        <f>21205.1*G248</f>
        <v>405865.614</v>
      </c>
      <c r="D248" s="52" t="s">
        <v>2144</v>
      </c>
      <c r="E248" s="52" t="s">
        <v>2399</v>
      </c>
      <c r="F248" s="52" t="s">
        <v>2400</v>
      </c>
      <c r="G248" s="58">
        <v>19.14</v>
      </c>
      <c r="H248" s="52"/>
      <c r="I248" s="53">
        <v>43521</v>
      </c>
      <c r="J248" s="52" t="s">
        <v>62</v>
      </c>
      <c r="K248" t="s">
        <v>2401</v>
      </c>
    </row>
    <row r="249" spans="1:11" x14ac:dyDescent="0.25">
      <c r="A249" t="s">
        <v>91</v>
      </c>
      <c r="B249" s="49">
        <v>25</v>
      </c>
      <c r="C249" s="51">
        <f>820307.5+20880</f>
        <v>841187.5</v>
      </c>
      <c r="D249" s="52" t="s">
        <v>2309</v>
      </c>
      <c r="E249" s="52" t="s">
        <v>2281</v>
      </c>
      <c r="F249" s="52" t="s">
        <v>52</v>
      </c>
      <c r="G249" s="53">
        <v>43515</v>
      </c>
      <c r="H249" s="52" t="s">
        <v>55</v>
      </c>
    </row>
    <row r="250" spans="1:11" x14ac:dyDescent="0.25">
      <c r="A250" t="s">
        <v>91</v>
      </c>
      <c r="B250" s="49">
        <v>25</v>
      </c>
      <c r="C250" s="51">
        <f>422277.5+10857.6</f>
        <v>433135.1</v>
      </c>
      <c r="D250" s="52" t="s">
        <v>2308</v>
      </c>
      <c r="E250" s="52" t="s">
        <v>2310</v>
      </c>
      <c r="F250" s="52" t="s">
        <v>52</v>
      </c>
      <c r="G250" s="53">
        <v>43516</v>
      </c>
      <c r="H250" s="52" t="s">
        <v>55</v>
      </c>
    </row>
    <row r="251" spans="1:11" x14ac:dyDescent="0.25">
      <c r="A251" t="s">
        <v>91</v>
      </c>
      <c r="B251" s="49">
        <v>25</v>
      </c>
      <c r="C251" s="51">
        <f>732195+20796.48</f>
        <v>752991.48</v>
      </c>
      <c r="D251" s="52" t="s">
        <v>2334</v>
      </c>
      <c r="E251" s="52" t="s">
        <v>2330</v>
      </c>
      <c r="F251" s="52" t="s">
        <v>52</v>
      </c>
      <c r="G251" s="53">
        <v>43517</v>
      </c>
      <c r="H251" s="52" t="s">
        <v>55</v>
      </c>
    </row>
    <row r="252" spans="1:11" x14ac:dyDescent="0.25">
      <c r="A252" t="s">
        <v>91</v>
      </c>
      <c r="B252" s="49">
        <v>25</v>
      </c>
      <c r="C252" s="51">
        <v>53585.599999999999</v>
      </c>
      <c r="D252" s="52" t="s">
        <v>2466</v>
      </c>
      <c r="E252" s="52" t="s">
        <v>2467</v>
      </c>
      <c r="F252" s="52" t="s">
        <v>120</v>
      </c>
      <c r="G252" s="53">
        <v>43521</v>
      </c>
      <c r="H252" s="52" t="s">
        <v>55</v>
      </c>
    </row>
    <row r="253" spans="1:11" x14ac:dyDescent="0.25">
      <c r="A253" t="s">
        <v>122</v>
      </c>
      <c r="B253" s="49">
        <v>26</v>
      </c>
      <c r="C253" s="54">
        <f>22000*G253</f>
        <v>421190</v>
      </c>
      <c r="D253" s="55" t="s">
        <v>2244</v>
      </c>
      <c r="E253" s="55" t="s">
        <v>2618</v>
      </c>
      <c r="F253" s="55" t="s">
        <v>2424</v>
      </c>
      <c r="G253" s="56">
        <v>19.145</v>
      </c>
      <c r="H253" s="55">
        <v>30.5</v>
      </c>
      <c r="I253" s="57">
        <v>43522</v>
      </c>
      <c r="J253" s="55" t="s">
        <v>62</v>
      </c>
    </row>
    <row r="254" spans="1:11" x14ac:dyDescent="0.25">
      <c r="A254" t="s">
        <v>122</v>
      </c>
      <c r="B254" s="49">
        <v>26</v>
      </c>
      <c r="C254" s="51">
        <f>629640+16704</f>
        <v>646344</v>
      </c>
      <c r="D254" s="52" t="s">
        <v>2335</v>
      </c>
      <c r="E254" s="52" t="s">
        <v>2336</v>
      </c>
      <c r="F254" s="52" t="s">
        <v>52</v>
      </c>
      <c r="G254" s="53">
        <v>43518</v>
      </c>
      <c r="H254" s="52" t="s">
        <v>55</v>
      </c>
    </row>
    <row r="255" spans="1:11" x14ac:dyDescent="0.25">
      <c r="A255" t="s">
        <v>122</v>
      </c>
      <c r="B255" s="49">
        <v>26</v>
      </c>
      <c r="C255" s="51">
        <f>377890+10857.6</f>
        <v>388747.6</v>
      </c>
      <c r="D255" s="52" t="s">
        <v>2338</v>
      </c>
      <c r="E255" s="52" t="s">
        <v>2337</v>
      </c>
      <c r="F255" s="52" t="s">
        <v>52</v>
      </c>
      <c r="G255" s="53">
        <v>43521</v>
      </c>
      <c r="H255" s="52" t="s">
        <v>55</v>
      </c>
    </row>
    <row r="256" spans="1:11" x14ac:dyDescent="0.25">
      <c r="A256" t="s">
        <v>43</v>
      </c>
      <c r="B256" s="49">
        <v>27</v>
      </c>
      <c r="C256" s="54">
        <f t="shared" ref="C256:C257" si="1">22000*G256</f>
        <v>421190</v>
      </c>
      <c r="D256" s="55" t="s">
        <v>2149</v>
      </c>
      <c r="E256" s="55" t="s">
        <v>2569</v>
      </c>
      <c r="F256" s="55" t="s">
        <v>1659</v>
      </c>
      <c r="G256" s="56">
        <v>19.145</v>
      </c>
      <c r="H256" s="55">
        <v>20.46</v>
      </c>
      <c r="I256" s="57">
        <v>43523</v>
      </c>
      <c r="J256" s="55" t="s">
        <v>62</v>
      </c>
    </row>
    <row r="257" spans="1:14" x14ac:dyDescent="0.25">
      <c r="A257" t="s">
        <v>43</v>
      </c>
      <c r="B257" s="49">
        <v>27</v>
      </c>
      <c r="C257" s="54">
        <f t="shared" si="1"/>
        <v>421190</v>
      </c>
      <c r="D257" s="55" t="s">
        <v>2150</v>
      </c>
      <c r="E257" s="55" t="s">
        <v>2568</v>
      </c>
      <c r="F257" s="55" t="s">
        <v>1659</v>
      </c>
      <c r="G257" s="56">
        <v>19.145</v>
      </c>
      <c r="H257" s="55">
        <v>30.44</v>
      </c>
      <c r="I257" s="57">
        <v>43523</v>
      </c>
      <c r="J257" s="55" t="s">
        <v>62</v>
      </c>
    </row>
    <row r="258" spans="1:14" x14ac:dyDescent="0.25">
      <c r="A258" t="s">
        <v>43</v>
      </c>
      <c r="B258" s="49">
        <v>27</v>
      </c>
      <c r="C258" s="51">
        <v>742338</v>
      </c>
      <c r="D258" s="52" t="s">
        <v>2347</v>
      </c>
      <c r="E258" s="52" t="s">
        <v>2411</v>
      </c>
      <c r="F258" s="52" t="s">
        <v>73</v>
      </c>
      <c r="G258" s="53">
        <v>43521</v>
      </c>
      <c r="H258" s="52" t="s">
        <v>55</v>
      </c>
    </row>
    <row r="259" spans="1:14" x14ac:dyDescent="0.25">
      <c r="A259" t="s">
        <v>43</v>
      </c>
      <c r="B259" s="49">
        <v>27</v>
      </c>
      <c r="C259" s="51">
        <f>785990+20796.48</f>
        <v>806786.48</v>
      </c>
      <c r="D259" s="52" t="s">
        <v>2339</v>
      </c>
      <c r="E259" s="52" t="s">
        <v>2332</v>
      </c>
      <c r="F259" s="52" t="s">
        <v>52</v>
      </c>
      <c r="G259" s="53">
        <v>43521</v>
      </c>
      <c r="H259" s="52" t="s">
        <v>55</v>
      </c>
    </row>
    <row r="260" spans="1:14" x14ac:dyDescent="0.25">
      <c r="A260" t="s">
        <v>43</v>
      </c>
      <c r="B260" s="49">
        <v>27</v>
      </c>
      <c r="C260" s="51">
        <f>763200+20796.48</f>
        <v>783996.48</v>
      </c>
      <c r="D260" s="52" t="s">
        <v>2342</v>
      </c>
      <c r="E260" s="52" t="s">
        <v>2343</v>
      </c>
      <c r="F260" s="52" t="s">
        <v>52</v>
      </c>
      <c r="G260" s="53">
        <v>43523</v>
      </c>
      <c r="H260" s="52" t="s">
        <v>55</v>
      </c>
    </row>
    <row r="261" spans="1:14" x14ac:dyDescent="0.25">
      <c r="A261" t="s">
        <v>43</v>
      </c>
      <c r="B261" s="49">
        <v>27</v>
      </c>
      <c r="C261" s="51">
        <f>430227.5+10857.6</f>
        <v>441085.1</v>
      </c>
      <c r="D261" s="52" t="s">
        <v>2340</v>
      </c>
      <c r="E261" s="52" t="s">
        <v>2333</v>
      </c>
      <c r="F261" s="52" t="s">
        <v>52</v>
      </c>
      <c r="G261" s="53">
        <v>43523</v>
      </c>
      <c r="H261" s="52" t="s">
        <v>55</v>
      </c>
    </row>
    <row r="262" spans="1:14" x14ac:dyDescent="0.25">
      <c r="A262" t="s">
        <v>43</v>
      </c>
      <c r="B262" s="49">
        <v>27</v>
      </c>
      <c r="C262" s="51">
        <v>29500</v>
      </c>
      <c r="D262" s="52" t="s">
        <v>2452</v>
      </c>
      <c r="E262" s="52" t="s">
        <v>2453</v>
      </c>
      <c r="F262" s="52" t="s">
        <v>1918</v>
      </c>
      <c r="G262" s="52">
        <v>29.5</v>
      </c>
      <c r="H262" s="53">
        <v>43523</v>
      </c>
      <c r="I262" s="52" t="s">
        <v>62</v>
      </c>
    </row>
    <row r="263" spans="1:14" x14ac:dyDescent="0.25">
      <c r="A263" t="s">
        <v>43</v>
      </c>
      <c r="B263" s="49">
        <v>27</v>
      </c>
      <c r="C263" s="51">
        <v>44370</v>
      </c>
      <c r="D263" s="52" t="s">
        <v>2454</v>
      </c>
      <c r="E263" s="52" t="s">
        <v>2451</v>
      </c>
      <c r="F263" s="52" t="s">
        <v>87</v>
      </c>
      <c r="G263" s="52">
        <v>17</v>
      </c>
      <c r="H263" s="53">
        <v>43523</v>
      </c>
      <c r="I263" s="52" t="s">
        <v>62</v>
      </c>
    </row>
    <row r="264" spans="1:14" x14ac:dyDescent="0.25">
      <c r="A264" t="s">
        <v>59</v>
      </c>
      <c r="B264" s="49">
        <v>28</v>
      </c>
      <c r="C264" s="54">
        <f>22000*G264</f>
        <v>421190</v>
      </c>
      <c r="D264" s="55" t="s">
        <v>2151</v>
      </c>
      <c r="E264" s="55" t="s">
        <v>2574</v>
      </c>
      <c r="F264" s="55" t="s">
        <v>1659</v>
      </c>
      <c r="G264" s="56">
        <v>19.145</v>
      </c>
      <c r="H264" s="55">
        <v>30.91</v>
      </c>
      <c r="I264" s="57">
        <v>43524</v>
      </c>
      <c r="J264" s="55" t="s">
        <v>62</v>
      </c>
    </row>
    <row r="265" spans="1:14" x14ac:dyDescent="0.25">
      <c r="A265" t="s">
        <v>59</v>
      </c>
      <c r="B265" s="49">
        <v>28</v>
      </c>
      <c r="C265" s="51">
        <f>437515+12444.48</f>
        <v>449959.48</v>
      </c>
      <c r="D265" s="52" t="s">
        <v>2348</v>
      </c>
      <c r="E265" s="52" t="s">
        <v>2349</v>
      </c>
      <c r="F265" s="52" t="s">
        <v>52</v>
      </c>
      <c r="G265" s="53">
        <v>43524</v>
      </c>
      <c r="H265" s="53" t="s">
        <v>55</v>
      </c>
      <c r="I265" s="52"/>
      <c r="K265" s="48" t="s">
        <v>2488</v>
      </c>
      <c r="L265" s="48"/>
      <c r="M265" s="48"/>
      <c r="N265" s="48"/>
    </row>
    <row r="266" spans="1:14" x14ac:dyDescent="0.25">
      <c r="A266" t="s">
        <v>59</v>
      </c>
      <c r="B266" s="49">
        <v>28</v>
      </c>
      <c r="C266" s="51">
        <f>309520+9187.2</f>
        <v>318707.20000000001</v>
      </c>
      <c r="D266" s="52" t="s">
        <v>2351</v>
      </c>
      <c r="E266" s="52" t="s">
        <v>2350</v>
      </c>
      <c r="F266" s="52" t="s">
        <v>52</v>
      </c>
      <c r="G266" s="53">
        <v>43524</v>
      </c>
      <c r="H266" s="53" t="s">
        <v>55</v>
      </c>
      <c r="I266" s="52"/>
    </row>
    <row r="267" spans="1:14" x14ac:dyDescent="0.25">
      <c r="A267" t="s">
        <v>59</v>
      </c>
      <c r="B267" s="49">
        <v>28</v>
      </c>
      <c r="C267" s="51">
        <v>269165.88</v>
      </c>
      <c r="D267" s="52" t="s">
        <v>2445</v>
      </c>
      <c r="E267" s="52" t="s">
        <v>2461</v>
      </c>
      <c r="F267" s="52" t="s">
        <v>1925</v>
      </c>
      <c r="G267" s="52">
        <v>89.5</v>
      </c>
      <c r="H267" s="53">
        <v>43524</v>
      </c>
      <c r="I267" s="52" t="s">
        <v>2487</v>
      </c>
    </row>
    <row r="268" spans="1:14" x14ac:dyDescent="0.25">
      <c r="A268" s="61" t="s">
        <v>2148</v>
      </c>
    </row>
    <row r="269" spans="1:14" x14ac:dyDescent="0.25">
      <c r="A269" t="s">
        <v>70</v>
      </c>
      <c r="B269" s="49">
        <v>1</v>
      </c>
      <c r="C269" s="51">
        <f>21839.39*G269</f>
        <v>421543.90577999997</v>
      </c>
      <c r="D269" s="52" t="s">
        <v>2154</v>
      </c>
      <c r="E269" s="52" t="s">
        <v>2414</v>
      </c>
      <c r="F269" s="52" t="s">
        <v>2415</v>
      </c>
      <c r="G269" s="52">
        <v>19.302</v>
      </c>
      <c r="H269" s="52">
        <v>28.32</v>
      </c>
      <c r="I269" s="53">
        <v>43524</v>
      </c>
      <c r="J269" s="52" t="s">
        <v>62</v>
      </c>
    </row>
    <row r="270" spans="1:14" x14ac:dyDescent="0.25">
      <c r="A270" t="s">
        <v>70</v>
      </c>
      <c r="B270" s="49">
        <v>1</v>
      </c>
      <c r="G270" s="67"/>
    </row>
    <row r="271" spans="1:14" x14ac:dyDescent="0.25">
      <c r="A271" s="37" t="s">
        <v>89</v>
      </c>
      <c r="B271" s="49">
        <v>2</v>
      </c>
    </row>
    <row r="272" spans="1:14" x14ac:dyDescent="0.25">
      <c r="A272" s="37" t="s">
        <v>90</v>
      </c>
      <c r="B272" s="49">
        <v>3</v>
      </c>
    </row>
    <row r="273" spans="1:15" x14ac:dyDescent="0.25">
      <c r="A273" t="s">
        <v>91</v>
      </c>
      <c r="B273" s="49">
        <v>4</v>
      </c>
      <c r="C273" s="54">
        <f>27000*G273</f>
        <v>522180</v>
      </c>
      <c r="D273" s="55" t="s">
        <v>2152</v>
      </c>
      <c r="E273" s="55" t="s">
        <v>2665</v>
      </c>
      <c r="F273" s="55" t="s">
        <v>2516</v>
      </c>
      <c r="G273" s="56">
        <v>19.34</v>
      </c>
      <c r="H273" s="55">
        <v>31.47</v>
      </c>
      <c r="I273" s="57">
        <v>43528</v>
      </c>
      <c r="J273" s="55" t="s">
        <v>62</v>
      </c>
    </row>
    <row r="274" spans="1:15" x14ac:dyDescent="0.25">
      <c r="A274" t="s">
        <v>91</v>
      </c>
      <c r="B274" s="49">
        <v>4</v>
      </c>
      <c r="C274" s="51">
        <f>21926.29*G274</f>
        <v>423221.24958</v>
      </c>
      <c r="D274" s="52" t="s">
        <v>2155</v>
      </c>
      <c r="E274" s="52" t="s">
        <v>2481</v>
      </c>
      <c r="F274" s="52" t="s">
        <v>2482</v>
      </c>
      <c r="G274" s="58">
        <v>19.302</v>
      </c>
      <c r="H274" s="52">
        <v>29.28</v>
      </c>
      <c r="I274" s="53">
        <v>43524</v>
      </c>
      <c r="J274" s="52" t="s">
        <v>62</v>
      </c>
    </row>
    <row r="275" spans="1:15" x14ac:dyDescent="0.25">
      <c r="A275" t="s">
        <v>91</v>
      </c>
      <c r="B275" s="49">
        <v>4</v>
      </c>
      <c r="C275" s="54">
        <f>24000*G275</f>
        <v>464160</v>
      </c>
      <c r="D275" s="55" t="s">
        <v>2534</v>
      </c>
      <c r="E275" s="55" t="s">
        <v>2664</v>
      </c>
      <c r="F275" s="55" t="s">
        <v>1660</v>
      </c>
      <c r="G275" s="56">
        <v>19.34</v>
      </c>
      <c r="H275" s="55">
        <v>33.07</v>
      </c>
      <c r="I275" s="57">
        <v>43528</v>
      </c>
      <c r="J275" s="55" t="s">
        <v>62</v>
      </c>
    </row>
    <row r="276" spans="1:15" x14ac:dyDescent="0.25">
      <c r="A276" t="s">
        <v>91</v>
      </c>
      <c r="B276" s="49">
        <v>4</v>
      </c>
      <c r="C276" s="51">
        <v>1106691.93</v>
      </c>
      <c r="D276" s="52" t="s">
        <v>2369</v>
      </c>
      <c r="E276" s="52" t="s">
        <v>2366</v>
      </c>
      <c r="F276" s="52" t="s">
        <v>1798</v>
      </c>
      <c r="G276" s="58">
        <v>59.8</v>
      </c>
      <c r="H276" s="53">
        <v>43528</v>
      </c>
      <c r="I276" s="52" t="s">
        <v>62</v>
      </c>
    </row>
    <row r="277" spans="1:15" x14ac:dyDescent="0.25">
      <c r="A277" t="s">
        <v>91</v>
      </c>
      <c r="B277" s="49">
        <v>4</v>
      </c>
      <c r="C277" s="51">
        <f>602610+16704-3013.05</f>
        <v>616300.94999999995</v>
      </c>
      <c r="D277" s="52" t="s">
        <v>2427</v>
      </c>
      <c r="E277" s="52" t="s">
        <v>2428</v>
      </c>
      <c r="F277" s="52" t="s">
        <v>52</v>
      </c>
      <c r="G277" s="53">
        <v>43524</v>
      </c>
      <c r="H277" s="52" t="s">
        <v>55</v>
      </c>
    </row>
    <row r="278" spans="1:15" x14ac:dyDescent="0.25">
      <c r="A278" t="s">
        <v>91</v>
      </c>
      <c r="B278" s="49">
        <v>4</v>
      </c>
      <c r="C278" s="51">
        <f>417905+10857.6</f>
        <v>428762.6</v>
      </c>
      <c r="D278" s="52" t="s">
        <v>2429</v>
      </c>
      <c r="E278" s="52" t="s">
        <v>2376</v>
      </c>
      <c r="F278" s="52" t="s">
        <v>52</v>
      </c>
      <c r="G278" s="53">
        <v>43524</v>
      </c>
      <c r="H278" s="52" t="s">
        <v>55</v>
      </c>
      <c r="I278" s="52"/>
      <c r="K278" s="48" t="s">
        <v>2489</v>
      </c>
      <c r="L278" s="48"/>
      <c r="M278" s="48"/>
      <c r="N278" s="48"/>
      <c r="O278" s="48"/>
    </row>
    <row r="279" spans="1:15" x14ac:dyDescent="0.25">
      <c r="A279" t="s">
        <v>91</v>
      </c>
      <c r="B279" s="49">
        <v>4</v>
      </c>
      <c r="C279" s="51">
        <f>647262.5+18374.4</f>
        <v>665636.9</v>
      </c>
      <c r="D279" s="52" t="s">
        <v>2430</v>
      </c>
      <c r="E279" s="52" t="s">
        <v>2431</v>
      </c>
      <c r="F279" s="52" t="s">
        <v>52</v>
      </c>
      <c r="G279" s="53">
        <v>43524</v>
      </c>
      <c r="H279" s="52" t="s">
        <v>55</v>
      </c>
    </row>
    <row r="280" spans="1:15" x14ac:dyDescent="0.25">
      <c r="A280" t="s">
        <v>91</v>
      </c>
      <c r="B280" s="49">
        <v>4</v>
      </c>
      <c r="C280" s="51">
        <f>92220+2505.6</f>
        <v>94725.6</v>
      </c>
      <c r="D280" s="52" t="s">
        <v>2433</v>
      </c>
      <c r="E280" s="52" t="s">
        <v>2432</v>
      </c>
      <c r="F280" s="52" t="s">
        <v>52</v>
      </c>
      <c r="G280" s="53">
        <v>43524</v>
      </c>
      <c r="H280" s="52" t="s">
        <v>55</v>
      </c>
    </row>
    <row r="281" spans="1:15" x14ac:dyDescent="0.25">
      <c r="A281" t="s">
        <v>91</v>
      </c>
      <c r="B281" s="49">
        <v>4</v>
      </c>
      <c r="C281" s="51">
        <v>54142.8</v>
      </c>
      <c r="D281" s="52" t="s">
        <v>2575</v>
      </c>
      <c r="E281" s="52" t="s">
        <v>2576</v>
      </c>
      <c r="F281" s="52" t="s">
        <v>120</v>
      </c>
      <c r="G281" s="53">
        <v>43528</v>
      </c>
      <c r="H281" s="52" t="s">
        <v>55</v>
      </c>
    </row>
    <row r="282" spans="1:15" x14ac:dyDescent="0.25">
      <c r="A282" t="s">
        <v>91</v>
      </c>
      <c r="B282" s="49">
        <v>4</v>
      </c>
      <c r="C282" s="51">
        <v>116077.02</v>
      </c>
      <c r="D282" s="52" t="s">
        <v>2577</v>
      </c>
      <c r="E282" s="52" t="s">
        <v>2578</v>
      </c>
      <c r="F282" s="52" t="s">
        <v>2579</v>
      </c>
      <c r="G282" s="53" t="s">
        <v>2580</v>
      </c>
      <c r="H282" s="53">
        <v>43529</v>
      </c>
      <c r="I282" s="52" t="s">
        <v>62</v>
      </c>
    </row>
    <row r="283" spans="1:15" x14ac:dyDescent="0.25">
      <c r="A283" t="s">
        <v>91</v>
      </c>
      <c r="B283" s="49">
        <v>4</v>
      </c>
      <c r="C283" s="51">
        <v>59058</v>
      </c>
      <c r="D283" s="52" t="s">
        <v>2456</v>
      </c>
      <c r="E283" s="52" t="s">
        <v>2457</v>
      </c>
      <c r="F283" s="52" t="s">
        <v>87</v>
      </c>
      <c r="G283" s="53">
        <v>43529</v>
      </c>
      <c r="H283" s="52" t="s">
        <v>62</v>
      </c>
    </row>
    <row r="284" spans="1:15" x14ac:dyDescent="0.25">
      <c r="A284" t="s">
        <v>122</v>
      </c>
      <c r="B284" s="49">
        <v>5</v>
      </c>
      <c r="C284" s="54">
        <f>24000*G284</f>
        <v>463680</v>
      </c>
      <c r="D284" s="55" t="s">
        <v>2537</v>
      </c>
      <c r="E284" s="55" t="s">
        <v>2728</v>
      </c>
      <c r="F284" s="55" t="s">
        <v>1660</v>
      </c>
      <c r="G284" s="56">
        <v>19.32</v>
      </c>
      <c r="H284" s="55">
        <v>34.130000000000003</v>
      </c>
      <c r="I284" s="57">
        <v>43529</v>
      </c>
      <c r="J284" s="55" t="s">
        <v>62</v>
      </c>
    </row>
    <row r="285" spans="1:15" x14ac:dyDescent="0.25">
      <c r="A285" t="s">
        <v>122</v>
      </c>
      <c r="B285" s="49">
        <v>5</v>
      </c>
      <c r="C285" s="51">
        <f>605525+16704</f>
        <v>622229</v>
      </c>
      <c r="D285" s="52" t="s">
        <v>2434</v>
      </c>
      <c r="E285" s="52" t="s">
        <v>2435</v>
      </c>
      <c r="F285" s="52" t="s">
        <v>52</v>
      </c>
      <c r="G285" s="53">
        <v>43528</v>
      </c>
      <c r="H285" s="52" t="s">
        <v>55</v>
      </c>
    </row>
    <row r="286" spans="1:15" x14ac:dyDescent="0.25">
      <c r="A286" t="s">
        <v>122</v>
      </c>
      <c r="B286" s="49">
        <v>5</v>
      </c>
      <c r="C286" s="51">
        <f>662235+18374.4-3007.75</f>
        <v>677601.65</v>
      </c>
      <c r="D286" s="52" t="s">
        <v>2437</v>
      </c>
      <c r="E286" s="52" t="s">
        <v>2436</v>
      </c>
      <c r="F286" s="52" t="s">
        <v>52</v>
      </c>
      <c r="G286" s="53">
        <v>43627</v>
      </c>
      <c r="H286" s="52" t="s">
        <v>55</v>
      </c>
    </row>
    <row r="287" spans="1:15" x14ac:dyDescent="0.25">
      <c r="A287" t="s">
        <v>122</v>
      </c>
      <c r="B287" s="49">
        <v>5</v>
      </c>
      <c r="C287" s="51">
        <f>102820+2505.6-3418.5</f>
        <v>101907.1</v>
      </c>
      <c r="D287" s="52" t="s">
        <v>2438</v>
      </c>
      <c r="E287" s="52" t="s">
        <v>2439</v>
      </c>
      <c r="F287" s="52" t="s">
        <v>52</v>
      </c>
      <c r="G287" s="53">
        <v>43528</v>
      </c>
      <c r="H287" s="52" t="s">
        <v>55</v>
      </c>
    </row>
    <row r="288" spans="1:15" x14ac:dyDescent="0.25">
      <c r="A288" t="s">
        <v>43</v>
      </c>
      <c r="B288" s="49">
        <v>6</v>
      </c>
      <c r="C288" s="51">
        <f>23115.98*G288</f>
        <v>445213.77480000001</v>
      </c>
      <c r="D288" s="52" t="s">
        <v>2547</v>
      </c>
      <c r="E288" s="52" t="s">
        <v>2548</v>
      </c>
      <c r="F288" s="52" t="s">
        <v>2549</v>
      </c>
      <c r="G288" s="58">
        <v>19.260000000000002</v>
      </c>
      <c r="H288" s="52">
        <v>30.77</v>
      </c>
      <c r="I288" s="53">
        <v>43530</v>
      </c>
      <c r="J288" s="52" t="s">
        <v>62</v>
      </c>
    </row>
    <row r="289" spans="1:10" x14ac:dyDescent="0.25">
      <c r="A289" t="s">
        <v>43</v>
      </c>
      <c r="B289" s="49">
        <v>6</v>
      </c>
      <c r="C289" s="54">
        <f>25500*G289</f>
        <v>491946.00000000006</v>
      </c>
      <c r="D289" s="55" t="s">
        <v>2538</v>
      </c>
      <c r="E289" s="55" t="s">
        <v>2673</v>
      </c>
      <c r="F289" s="55" t="s">
        <v>2540</v>
      </c>
      <c r="G289" s="56">
        <v>19.292000000000002</v>
      </c>
      <c r="H289" s="55">
        <v>33.33</v>
      </c>
      <c r="I289" s="57">
        <v>43530</v>
      </c>
      <c r="J289" s="55" t="s">
        <v>62</v>
      </c>
    </row>
    <row r="290" spans="1:10" x14ac:dyDescent="0.25">
      <c r="A290" t="s">
        <v>43</v>
      </c>
      <c r="B290" s="49">
        <v>6</v>
      </c>
      <c r="C290" s="51">
        <f>22039.5*34.2</f>
        <v>753750.9</v>
      </c>
      <c r="D290" s="52" t="s">
        <v>2518</v>
      </c>
      <c r="E290" s="52" t="s">
        <v>2572</v>
      </c>
      <c r="F290" s="52" t="s">
        <v>73</v>
      </c>
      <c r="G290" s="53">
        <v>43529</v>
      </c>
      <c r="H290" s="52" t="s">
        <v>55</v>
      </c>
    </row>
    <row r="291" spans="1:10" x14ac:dyDescent="0.25">
      <c r="A291" t="s">
        <v>43</v>
      </c>
      <c r="B291" s="49">
        <v>6</v>
      </c>
      <c r="C291" s="51">
        <f>599430+16787.52-2981.25</f>
        <v>613236.27</v>
      </c>
      <c r="D291" s="52" t="s">
        <v>2440</v>
      </c>
      <c r="E291" s="52" t="s">
        <v>2403</v>
      </c>
      <c r="F291" s="52" t="s">
        <v>52</v>
      </c>
      <c r="G291" s="53">
        <v>43543</v>
      </c>
      <c r="H291" s="52" t="s">
        <v>55</v>
      </c>
    </row>
    <row r="292" spans="1:10" x14ac:dyDescent="0.25">
      <c r="A292" t="s">
        <v>43</v>
      </c>
      <c r="B292" s="49">
        <v>6</v>
      </c>
      <c r="C292" s="51">
        <f>446657.5+10857.6</f>
        <v>457515.1</v>
      </c>
      <c r="D292" s="52" t="s">
        <v>2441</v>
      </c>
      <c r="E292" s="52" t="s">
        <v>2404</v>
      </c>
      <c r="F292" s="52" t="s">
        <v>52</v>
      </c>
      <c r="G292" s="53">
        <v>43528</v>
      </c>
      <c r="H292" s="52" t="s">
        <v>55</v>
      </c>
    </row>
    <row r="293" spans="1:10" x14ac:dyDescent="0.25">
      <c r="A293" t="s">
        <v>59</v>
      </c>
      <c r="B293" s="49">
        <v>7</v>
      </c>
      <c r="C293" s="54">
        <f>26000*G293</f>
        <v>510354.00000000006</v>
      </c>
      <c r="D293" s="55" t="s">
        <v>2541</v>
      </c>
      <c r="E293" s="55" t="s">
        <v>2704</v>
      </c>
      <c r="F293" s="55" t="s">
        <v>1764</v>
      </c>
      <c r="G293" s="56">
        <v>19.629000000000001</v>
      </c>
      <c r="H293" s="55">
        <v>34.9</v>
      </c>
      <c r="I293" s="57">
        <v>43531</v>
      </c>
      <c r="J293" s="55" t="s">
        <v>62</v>
      </c>
    </row>
    <row r="294" spans="1:10" x14ac:dyDescent="0.25">
      <c r="A294" t="s">
        <v>59</v>
      </c>
      <c r="B294" s="49">
        <v>7</v>
      </c>
      <c r="C294" s="51">
        <f>407967.5+10857.6</f>
        <v>418825.1</v>
      </c>
      <c r="D294" s="52" t="s">
        <v>2442</v>
      </c>
      <c r="E294" s="52" t="s">
        <v>2405</v>
      </c>
      <c r="F294" s="52" t="s">
        <v>52</v>
      </c>
      <c r="G294" s="53">
        <v>43528</v>
      </c>
      <c r="H294" s="52" t="s">
        <v>55</v>
      </c>
    </row>
    <row r="295" spans="1:10" x14ac:dyDescent="0.25">
      <c r="A295" t="s">
        <v>59</v>
      </c>
      <c r="B295" s="49">
        <v>7</v>
      </c>
      <c r="C295" s="51">
        <v>56511</v>
      </c>
      <c r="D295" s="52" t="s">
        <v>2622</v>
      </c>
      <c r="E295" s="52" t="s">
        <v>2623</v>
      </c>
      <c r="F295" s="52" t="s">
        <v>120</v>
      </c>
      <c r="G295" s="53">
        <v>43531</v>
      </c>
      <c r="H295" s="52" t="s">
        <v>55</v>
      </c>
    </row>
    <row r="296" spans="1:10" x14ac:dyDescent="0.25">
      <c r="A296" t="s">
        <v>59</v>
      </c>
      <c r="B296" s="49">
        <v>7</v>
      </c>
      <c r="C296" s="51">
        <v>44200</v>
      </c>
      <c r="D296" s="52" t="s">
        <v>2550</v>
      </c>
      <c r="E296" s="52" t="s">
        <v>2562</v>
      </c>
      <c r="F296" s="52" t="s">
        <v>87</v>
      </c>
      <c r="G296" s="58">
        <v>17</v>
      </c>
      <c r="H296" s="53">
        <v>43535</v>
      </c>
      <c r="I296" s="52" t="s">
        <v>62</v>
      </c>
    </row>
    <row r="297" spans="1:10" x14ac:dyDescent="0.25">
      <c r="A297" t="s">
        <v>59</v>
      </c>
      <c r="B297" s="49">
        <v>7</v>
      </c>
      <c r="C297" s="51">
        <v>673297.92000000004</v>
      </c>
      <c r="D297" s="52" t="s">
        <v>2560</v>
      </c>
      <c r="E297" s="52" t="s">
        <v>2561</v>
      </c>
      <c r="F297" s="52" t="s">
        <v>1804</v>
      </c>
      <c r="G297" s="52">
        <v>96</v>
      </c>
      <c r="H297" s="53">
        <v>43543</v>
      </c>
      <c r="I297" s="52" t="s">
        <v>62</v>
      </c>
    </row>
    <row r="298" spans="1:10" x14ac:dyDescent="0.25">
      <c r="A298" t="s">
        <v>70</v>
      </c>
      <c r="B298" s="49">
        <v>8</v>
      </c>
      <c r="C298" s="54">
        <f>25500*G298</f>
        <v>499009.5</v>
      </c>
      <c r="D298" s="55" t="s">
        <v>2539</v>
      </c>
      <c r="E298" s="55" t="s">
        <v>2729</v>
      </c>
      <c r="F298" s="55" t="s">
        <v>2540</v>
      </c>
      <c r="G298" s="56">
        <v>19.568999999999999</v>
      </c>
      <c r="H298" s="55">
        <v>35.56</v>
      </c>
      <c r="I298" s="57">
        <v>43532</v>
      </c>
      <c r="J298" s="55" t="s">
        <v>62</v>
      </c>
    </row>
    <row r="299" spans="1:10" x14ac:dyDescent="0.25">
      <c r="A299" t="s">
        <v>70</v>
      </c>
      <c r="B299" s="49">
        <v>8</v>
      </c>
      <c r="C299" s="51">
        <v>807938.68</v>
      </c>
      <c r="D299" s="52" t="s">
        <v>2590</v>
      </c>
      <c r="E299" s="52" t="s">
        <v>2621</v>
      </c>
      <c r="F299" s="52" t="s">
        <v>1925</v>
      </c>
      <c r="G299" s="58">
        <v>89.8</v>
      </c>
      <c r="H299" s="53">
        <v>43536</v>
      </c>
      <c r="I299" s="52" t="s">
        <v>62</v>
      </c>
    </row>
    <row r="300" spans="1:10" x14ac:dyDescent="0.25">
      <c r="A300" s="37" t="s">
        <v>89</v>
      </c>
      <c r="B300" s="49">
        <v>9</v>
      </c>
    </row>
    <row r="301" spans="1:10" x14ac:dyDescent="0.25">
      <c r="A301" s="37" t="s">
        <v>90</v>
      </c>
      <c r="B301" s="49">
        <v>10</v>
      </c>
    </row>
    <row r="302" spans="1:10" x14ac:dyDescent="0.25">
      <c r="A302" t="s">
        <v>91</v>
      </c>
      <c r="B302" s="49">
        <v>11</v>
      </c>
      <c r="C302" s="54">
        <f>29000*G302</f>
        <v>564630</v>
      </c>
      <c r="D302" s="55" t="s">
        <v>2542</v>
      </c>
      <c r="E302" s="55" t="s">
        <v>2730</v>
      </c>
      <c r="F302" s="55" t="s">
        <v>2660</v>
      </c>
      <c r="G302" s="56">
        <v>19.47</v>
      </c>
      <c r="H302" s="55">
        <v>36.08</v>
      </c>
      <c r="I302" s="57">
        <v>43535</v>
      </c>
      <c r="J302" s="55" t="s">
        <v>62</v>
      </c>
    </row>
    <row r="303" spans="1:10" x14ac:dyDescent="0.25">
      <c r="A303" t="s">
        <v>91</v>
      </c>
      <c r="B303" s="49">
        <v>11</v>
      </c>
      <c r="C303" s="51">
        <v>29500</v>
      </c>
      <c r="D303" s="52" t="s">
        <v>2593</v>
      </c>
      <c r="E303" s="52" t="s">
        <v>2591</v>
      </c>
      <c r="F303" s="52" t="s">
        <v>1918</v>
      </c>
      <c r="G303" s="58">
        <v>29.5</v>
      </c>
      <c r="H303" s="53">
        <v>43535</v>
      </c>
      <c r="I303" s="52" t="s">
        <v>62</v>
      </c>
    </row>
    <row r="304" spans="1:10" x14ac:dyDescent="0.25">
      <c r="A304" t="s">
        <v>91</v>
      </c>
      <c r="B304" s="49">
        <v>11</v>
      </c>
      <c r="C304" s="51">
        <v>30612.75</v>
      </c>
      <c r="D304" s="52" t="s">
        <v>2594</v>
      </c>
      <c r="E304" s="52" t="s">
        <v>2592</v>
      </c>
      <c r="F304" s="52" t="s">
        <v>87</v>
      </c>
      <c r="G304" s="58">
        <v>17</v>
      </c>
      <c r="H304" s="53">
        <v>43535</v>
      </c>
      <c r="I304" s="52" t="s">
        <v>62</v>
      </c>
    </row>
    <row r="305" spans="1:14" x14ac:dyDescent="0.25">
      <c r="A305" t="s">
        <v>91</v>
      </c>
      <c r="B305" s="49">
        <v>11</v>
      </c>
      <c r="C305" s="51">
        <v>49000</v>
      </c>
      <c r="D305" s="52" t="s">
        <v>2667</v>
      </c>
      <c r="E305" s="52" t="s">
        <v>2668</v>
      </c>
      <c r="F305" s="52" t="s">
        <v>2669</v>
      </c>
      <c r="G305" s="53">
        <v>43535</v>
      </c>
      <c r="H305" s="52" t="s">
        <v>62</v>
      </c>
    </row>
    <row r="306" spans="1:14" x14ac:dyDescent="0.25">
      <c r="A306" t="s">
        <v>91</v>
      </c>
      <c r="B306" s="49">
        <v>11</v>
      </c>
      <c r="C306" s="51">
        <v>66283</v>
      </c>
      <c r="D306" s="52" t="s">
        <v>2684</v>
      </c>
      <c r="E306" s="52" t="s">
        <v>2685</v>
      </c>
      <c r="F306" s="52" t="s">
        <v>120</v>
      </c>
      <c r="G306" s="53">
        <v>43535</v>
      </c>
      <c r="H306" s="52" t="s">
        <v>55</v>
      </c>
    </row>
    <row r="307" spans="1:14" x14ac:dyDescent="0.25">
      <c r="A307" t="s">
        <v>91</v>
      </c>
      <c r="B307" s="49">
        <v>11</v>
      </c>
      <c r="C307" s="51">
        <f>603007.5+16620.48</f>
        <v>619627.98</v>
      </c>
      <c r="D307" s="52" t="s">
        <v>2470</v>
      </c>
      <c r="E307" s="52" t="s">
        <v>2469</v>
      </c>
      <c r="F307" s="52" t="s">
        <v>52</v>
      </c>
      <c r="G307" s="53">
        <v>43529</v>
      </c>
      <c r="H307" s="52" t="s">
        <v>55</v>
      </c>
    </row>
    <row r="308" spans="1:14" x14ac:dyDescent="0.25">
      <c r="A308" t="s">
        <v>91</v>
      </c>
      <c r="B308" s="49">
        <v>11</v>
      </c>
      <c r="C308" s="51">
        <f>155687.5+4176</f>
        <v>159863.5</v>
      </c>
      <c r="D308" s="52" t="s">
        <v>2471</v>
      </c>
      <c r="E308" s="52" t="s">
        <v>2472</v>
      </c>
      <c r="F308" s="52" t="s">
        <v>52</v>
      </c>
      <c r="G308" s="53">
        <v>43529</v>
      </c>
      <c r="H308" s="52" t="s">
        <v>55</v>
      </c>
    </row>
    <row r="309" spans="1:14" x14ac:dyDescent="0.25">
      <c r="A309" t="s">
        <v>91</v>
      </c>
      <c r="B309" s="49">
        <v>11</v>
      </c>
      <c r="C309" s="51">
        <f>617317.5+16620.48</f>
        <v>633937.98</v>
      </c>
      <c r="D309" s="52" t="s">
        <v>2473</v>
      </c>
      <c r="E309" s="52" t="s">
        <v>2468</v>
      </c>
      <c r="F309" s="52" t="s">
        <v>52</v>
      </c>
      <c r="G309" s="53">
        <v>43531</v>
      </c>
      <c r="H309" s="52" t="s">
        <v>55</v>
      </c>
    </row>
    <row r="310" spans="1:14" x14ac:dyDescent="0.25">
      <c r="A310" t="s">
        <v>122</v>
      </c>
      <c r="B310" s="49">
        <v>12</v>
      </c>
      <c r="C310" s="51">
        <f>(25210.37-337.59)*G310</f>
        <v>484273.02659999992</v>
      </c>
      <c r="D310" s="52" t="s">
        <v>2661</v>
      </c>
      <c r="E310" s="52" t="s">
        <v>2662</v>
      </c>
      <c r="F310" s="52" t="s">
        <v>2663</v>
      </c>
      <c r="G310" s="58">
        <v>19.47</v>
      </c>
      <c r="H310" s="52">
        <v>33.19</v>
      </c>
      <c r="I310" s="53">
        <v>43536</v>
      </c>
      <c r="J310" s="52" t="s">
        <v>62</v>
      </c>
      <c r="K310" s="98" t="s">
        <v>2666</v>
      </c>
      <c r="L310" s="98"/>
      <c r="M310" s="98"/>
      <c r="N310" s="98"/>
    </row>
    <row r="311" spans="1:14" x14ac:dyDescent="0.25">
      <c r="A311" t="s">
        <v>122</v>
      </c>
      <c r="B311" s="49">
        <v>12</v>
      </c>
      <c r="C311" s="51">
        <f>575315+16704</f>
        <v>592019</v>
      </c>
      <c r="D311" s="52" t="s">
        <v>2478</v>
      </c>
      <c r="E311" s="52" t="s">
        <v>2520</v>
      </c>
      <c r="F311" s="52" t="s">
        <v>52</v>
      </c>
      <c r="G311" s="53">
        <v>43531</v>
      </c>
      <c r="H311" s="52" t="s">
        <v>55</v>
      </c>
    </row>
    <row r="312" spans="1:14" x14ac:dyDescent="0.25">
      <c r="A312" t="s">
        <v>43</v>
      </c>
      <c r="B312" s="49">
        <v>13</v>
      </c>
      <c r="C312" s="54">
        <f>29000*G312</f>
        <v>562020</v>
      </c>
      <c r="D312" s="55" t="s">
        <v>2543</v>
      </c>
      <c r="E312" s="164" t="s">
        <v>2780</v>
      </c>
      <c r="F312" s="55" t="s">
        <v>2660</v>
      </c>
      <c r="G312" s="56">
        <v>19.38</v>
      </c>
      <c r="H312" s="55">
        <v>38.18</v>
      </c>
      <c r="I312" s="57">
        <v>43537</v>
      </c>
      <c r="J312" s="55" t="s">
        <v>62</v>
      </c>
    </row>
    <row r="313" spans="1:14" x14ac:dyDescent="0.25">
      <c r="A313" t="s">
        <v>43</v>
      </c>
      <c r="B313" s="49">
        <v>13</v>
      </c>
      <c r="C313" s="51">
        <f>616757.5+16704</f>
        <v>633461.5</v>
      </c>
      <c r="D313" s="52" t="s">
        <v>2479</v>
      </c>
      <c r="E313" s="52" t="s">
        <v>2477</v>
      </c>
      <c r="F313" s="52" t="s">
        <v>52</v>
      </c>
      <c r="G313" s="53">
        <v>43531</v>
      </c>
      <c r="H313" s="52" t="s">
        <v>55</v>
      </c>
    </row>
    <row r="314" spans="1:14" x14ac:dyDescent="0.25">
      <c r="A314" t="s">
        <v>43</v>
      </c>
      <c r="B314" s="49">
        <v>13</v>
      </c>
      <c r="C314" s="51">
        <f>21750*34.2</f>
        <v>743850.00000000012</v>
      </c>
      <c r="D314" s="52" t="s">
        <v>2624</v>
      </c>
      <c r="E314" s="52" t="s">
        <v>2687</v>
      </c>
      <c r="F314" s="52" t="s">
        <v>73</v>
      </c>
      <c r="G314" s="53">
        <v>43537</v>
      </c>
      <c r="H314" s="52" t="s">
        <v>55</v>
      </c>
    </row>
    <row r="315" spans="1:14" x14ac:dyDescent="0.25">
      <c r="A315" t="s">
        <v>43</v>
      </c>
      <c r="B315" s="49">
        <v>13</v>
      </c>
      <c r="C315" s="51">
        <v>40306</v>
      </c>
      <c r="D315" s="52" t="s">
        <v>2709</v>
      </c>
      <c r="E315" s="52" t="s">
        <v>2707</v>
      </c>
      <c r="F315" s="52" t="s">
        <v>120</v>
      </c>
      <c r="G315" s="53">
        <v>43537</v>
      </c>
      <c r="H315" s="52" t="s">
        <v>55</v>
      </c>
    </row>
    <row r="316" spans="1:14" x14ac:dyDescent="0.25">
      <c r="A316" t="s">
        <v>43</v>
      </c>
      <c r="B316" s="49">
        <v>13</v>
      </c>
      <c r="C316" s="51">
        <v>59948</v>
      </c>
      <c r="D316" s="52" t="s">
        <v>2710</v>
      </c>
      <c r="E316" s="52" t="s">
        <v>2708</v>
      </c>
      <c r="F316" s="52" t="s">
        <v>120</v>
      </c>
      <c r="G316" s="53">
        <v>43537</v>
      </c>
      <c r="H316" s="52" t="s">
        <v>55</v>
      </c>
    </row>
    <row r="317" spans="1:14" x14ac:dyDescent="0.25">
      <c r="A317" t="s">
        <v>59</v>
      </c>
      <c r="B317" s="49">
        <v>14</v>
      </c>
      <c r="C317" s="54">
        <f>30000*G317</f>
        <v>580200</v>
      </c>
      <c r="D317" s="55" t="s">
        <v>2545</v>
      </c>
      <c r="E317" s="55" t="s">
        <v>2755</v>
      </c>
      <c r="F317" s="55" t="s">
        <v>2686</v>
      </c>
      <c r="G317" s="56">
        <v>19.34</v>
      </c>
      <c r="H317" s="55">
        <v>40.58</v>
      </c>
      <c r="I317" s="57">
        <v>43538</v>
      </c>
      <c r="J317" s="55" t="s">
        <v>62</v>
      </c>
    </row>
    <row r="318" spans="1:14" x14ac:dyDescent="0.25">
      <c r="A318" t="s">
        <v>59</v>
      </c>
      <c r="B318" s="49">
        <v>14</v>
      </c>
      <c r="C318" s="51">
        <f>567232.5+16620.48</f>
        <v>583852.98</v>
      </c>
      <c r="D318" s="52" t="s">
        <v>2484</v>
      </c>
      <c r="E318" s="52" t="s">
        <v>2483</v>
      </c>
      <c r="F318" s="52" t="s">
        <v>52</v>
      </c>
      <c r="G318" s="53">
        <v>43538</v>
      </c>
      <c r="H318" s="52" t="s">
        <v>55</v>
      </c>
    </row>
    <row r="319" spans="1:14" x14ac:dyDescent="0.25">
      <c r="A319" t="s">
        <v>59</v>
      </c>
      <c r="B319" s="49">
        <v>14</v>
      </c>
      <c r="C319" s="51">
        <f>401607.5+10774.08-6201</f>
        <v>406180.58</v>
      </c>
      <c r="D319" s="52" t="s">
        <v>2486</v>
      </c>
      <c r="E319" s="52" t="s">
        <v>2485</v>
      </c>
      <c r="F319" s="52" t="s">
        <v>52</v>
      </c>
      <c r="G319" s="53">
        <v>43539</v>
      </c>
      <c r="H319" s="52" t="s">
        <v>55</v>
      </c>
    </row>
    <row r="320" spans="1:14" x14ac:dyDescent="0.25">
      <c r="A320" t="s">
        <v>59</v>
      </c>
      <c r="B320" s="49">
        <v>14</v>
      </c>
      <c r="C320" s="51">
        <f>158072.5+4176</f>
        <v>162248.5</v>
      </c>
      <c r="D320" s="52" t="s">
        <v>2521</v>
      </c>
      <c r="E320" s="52" t="s">
        <v>2526</v>
      </c>
      <c r="F320" s="52" t="s">
        <v>52</v>
      </c>
      <c r="G320" s="53">
        <v>43537</v>
      </c>
      <c r="H320" s="52" t="s">
        <v>55</v>
      </c>
    </row>
    <row r="321" spans="1:10" x14ac:dyDescent="0.25">
      <c r="A321" t="s">
        <v>70</v>
      </c>
      <c r="B321" s="49">
        <v>15</v>
      </c>
      <c r="C321" s="54">
        <f>31000*G321</f>
        <v>600098</v>
      </c>
      <c r="D321" s="55" t="s">
        <v>2544</v>
      </c>
      <c r="E321" s="164" t="s">
        <v>2779</v>
      </c>
      <c r="F321" s="55" t="s">
        <v>2712</v>
      </c>
      <c r="G321" s="56">
        <v>19.358000000000001</v>
      </c>
      <c r="H321" s="55">
        <v>41.5</v>
      </c>
      <c r="I321" s="57">
        <v>43539</v>
      </c>
      <c r="J321" s="55" t="s">
        <v>62</v>
      </c>
    </row>
    <row r="322" spans="1:10" x14ac:dyDescent="0.25">
      <c r="A322" t="s">
        <v>70</v>
      </c>
      <c r="B322" s="49">
        <v>15</v>
      </c>
      <c r="C322" s="51">
        <f>396042.5+10774.08</f>
        <v>406816.58</v>
      </c>
      <c r="D322" s="52" t="s">
        <v>2524</v>
      </c>
      <c r="E322" s="52" t="s">
        <v>2525</v>
      </c>
      <c r="F322" s="52" t="s">
        <v>52</v>
      </c>
      <c r="G322" s="53">
        <v>43627</v>
      </c>
      <c r="H322" s="52" t="s">
        <v>55</v>
      </c>
    </row>
    <row r="323" spans="1:10" x14ac:dyDescent="0.25">
      <c r="A323" t="s">
        <v>70</v>
      </c>
      <c r="B323" s="49">
        <v>15</v>
      </c>
      <c r="C323" s="51">
        <f>(27025.33-844.7)*G323</f>
        <v>506569.00987000001</v>
      </c>
      <c r="D323" s="52" t="s">
        <v>2631</v>
      </c>
      <c r="E323" s="52" t="s">
        <v>2701</v>
      </c>
      <c r="F323" s="52" t="s">
        <v>2702</v>
      </c>
      <c r="G323" s="58">
        <v>19.349</v>
      </c>
      <c r="H323" s="52">
        <v>34.89</v>
      </c>
      <c r="I323" s="53">
        <v>43539</v>
      </c>
      <c r="J323" s="52" t="s">
        <v>62</v>
      </c>
    </row>
    <row r="324" spans="1:10" x14ac:dyDescent="0.25">
      <c r="A324" t="s">
        <v>70</v>
      </c>
      <c r="B324" s="49">
        <v>15</v>
      </c>
      <c r="C324" s="51">
        <v>58204</v>
      </c>
      <c r="D324" s="52" t="s">
        <v>2725</v>
      </c>
      <c r="E324" s="52" t="s">
        <v>2726</v>
      </c>
      <c r="F324" s="52" t="s">
        <v>120</v>
      </c>
      <c r="G324" s="58">
        <v>43539</v>
      </c>
      <c r="H324" s="52" t="s">
        <v>55</v>
      </c>
      <c r="I324" s="72"/>
    </row>
    <row r="325" spans="1:10" x14ac:dyDescent="0.25">
      <c r="A325" t="s">
        <v>70</v>
      </c>
      <c r="B325" s="49">
        <v>15</v>
      </c>
      <c r="C325" s="51">
        <v>58174</v>
      </c>
      <c r="D325" s="52" t="s">
        <v>2805</v>
      </c>
      <c r="E325" s="52" t="s">
        <v>2804</v>
      </c>
      <c r="F325" s="52" t="s">
        <v>87</v>
      </c>
      <c r="G325" s="58">
        <v>17</v>
      </c>
      <c r="H325" s="53">
        <v>43545</v>
      </c>
      <c r="I325" s="52" t="s">
        <v>62</v>
      </c>
    </row>
    <row r="326" spans="1:10" x14ac:dyDescent="0.25">
      <c r="A326" s="37" t="s">
        <v>89</v>
      </c>
      <c r="B326" s="49">
        <v>16</v>
      </c>
    </row>
    <row r="327" spans="1:10" x14ac:dyDescent="0.25">
      <c r="A327" s="37" t="s">
        <v>90</v>
      </c>
      <c r="B327" s="49">
        <v>17</v>
      </c>
    </row>
    <row r="328" spans="1:10" x14ac:dyDescent="0.25">
      <c r="A328" t="s">
        <v>91</v>
      </c>
      <c r="B328" s="49">
        <v>18</v>
      </c>
      <c r="C328" s="3" t="s">
        <v>2552</v>
      </c>
    </row>
    <row r="329" spans="1:10" x14ac:dyDescent="0.25">
      <c r="A329" t="s">
        <v>122</v>
      </c>
      <c r="B329" s="49">
        <v>19</v>
      </c>
      <c r="C329" s="51">
        <f>24528.85*G329</f>
        <v>466784.01549999998</v>
      </c>
      <c r="D329" s="52" t="s">
        <v>2736</v>
      </c>
      <c r="E329" s="52" t="s">
        <v>2731</v>
      </c>
      <c r="F329" s="52" t="s">
        <v>2732</v>
      </c>
      <c r="G329" s="58">
        <v>19.03</v>
      </c>
      <c r="H329" s="52">
        <v>33.81</v>
      </c>
      <c r="I329" s="53">
        <v>43543</v>
      </c>
      <c r="J329" s="52" t="s">
        <v>62</v>
      </c>
    </row>
    <row r="330" spans="1:10" x14ac:dyDescent="0.25">
      <c r="A330" t="s">
        <v>122</v>
      </c>
      <c r="B330" s="49">
        <v>19</v>
      </c>
      <c r="C330" s="54">
        <f>35000*G330</f>
        <v>666925</v>
      </c>
      <c r="D330" s="55" t="s">
        <v>2546</v>
      </c>
      <c r="E330" s="55" t="s">
        <v>2817</v>
      </c>
      <c r="F330" s="55" t="s">
        <v>2739</v>
      </c>
      <c r="G330" s="56">
        <v>19.055</v>
      </c>
      <c r="H330" s="55">
        <v>41.48</v>
      </c>
      <c r="I330" s="57">
        <v>43543</v>
      </c>
      <c r="J330" s="55" t="s">
        <v>62</v>
      </c>
    </row>
    <row r="331" spans="1:10" x14ac:dyDescent="0.25">
      <c r="A331" t="s">
        <v>122</v>
      </c>
      <c r="B331" s="49">
        <v>19</v>
      </c>
      <c r="C331" s="54">
        <f>35000*G331</f>
        <v>667100</v>
      </c>
      <c r="D331" s="55" t="s">
        <v>2744</v>
      </c>
      <c r="E331" s="55" t="s">
        <v>2855</v>
      </c>
      <c r="F331" s="55" t="s">
        <v>2739</v>
      </c>
      <c r="G331" s="56">
        <v>19.059999999999999</v>
      </c>
      <c r="H331" s="55">
        <v>42.01</v>
      </c>
      <c r="I331" s="57">
        <v>43543</v>
      </c>
      <c r="J331" s="55" t="s">
        <v>62</v>
      </c>
    </row>
    <row r="332" spans="1:10" x14ac:dyDescent="0.25">
      <c r="A332" t="s">
        <v>122</v>
      </c>
      <c r="B332" s="49">
        <v>19</v>
      </c>
      <c r="C332" s="51">
        <f>643552.5+16704</f>
        <v>660256.5</v>
      </c>
      <c r="D332" s="52" t="s">
        <v>2553</v>
      </c>
      <c r="E332" s="52" t="s">
        <v>2551</v>
      </c>
      <c r="F332" s="52" t="s">
        <v>52</v>
      </c>
      <c r="G332" s="53">
        <v>43532</v>
      </c>
      <c r="H332" s="52" t="s">
        <v>55</v>
      </c>
    </row>
    <row r="333" spans="1:10" x14ac:dyDescent="0.25">
      <c r="A333" t="s">
        <v>122</v>
      </c>
      <c r="B333" s="49">
        <v>19</v>
      </c>
      <c r="C333" s="51">
        <f>579290+16620.48</f>
        <v>595910.48</v>
      </c>
      <c r="D333" s="52" t="s">
        <v>2564</v>
      </c>
      <c r="E333" s="52" t="s">
        <v>2563</v>
      </c>
      <c r="F333" s="52" t="s">
        <v>52</v>
      </c>
      <c r="G333" s="53">
        <v>43536</v>
      </c>
      <c r="H333" s="52" t="s">
        <v>55</v>
      </c>
    </row>
    <row r="334" spans="1:10" x14ac:dyDescent="0.25">
      <c r="A334" t="s">
        <v>122</v>
      </c>
      <c r="B334" s="49">
        <v>19</v>
      </c>
      <c r="C334" s="51">
        <f>627785+17504.4</f>
        <v>645289.4</v>
      </c>
      <c r="D334" s="52" t="s">
        <v>2596</v>
      </c>
      <c r="E334" s="52" t="s">
        <v>2597</v>
      </c>
      <c r="F334" s="52" t="s">
        <v>52</v>
      </c>
      <c r="G334" s="53">
        <v>43539</v>
      </c>
      <c r="H334" s="52" t="s">
        <v>55</v>
      </c>
    </row>
    <row r="335" spans="1:10" x14ac:dyDescent="0.25">
      <c r="A335" t="s">
        <v>122</v>
      </c>
      <c r="B335" s="49">
        <v>19</v>
      </c>
      <c r="C335" s="51">
        <v>74269.600000000006</v>
      </c>
      <c r="D335" s="52" t="s">
        <v>2807</v>
      </c>
      <c r="E335" s="52" t="s">
        <v>2806</v>
      </c>
      <c r="F335" s="52" t="s">
        <v>87</v>
      </c>
      <c r="G335" s="58">
        <v>17.2</v>
      </c>
      <c r="H335" s="53">
        <v>43546</v>
      </c>
      <c r="I335" s="52" t="s">
        <v>62</v>
      </c>
    </row>
    <row r="336" spans="1:10" x14ac:dyDescent="0.25">
      <c r="A336" t="s">
        <v>43</v>
      </c>
      <c r="B336" s="49">
        <v>20</v>
      </c>
      <c r="C336" s="54">
        <f>35500*G336</f>
        <v>675387.5</v>
      </c>
      <c r="D336" s="55" t="s">
        <v>2742</v>
      </c>
      <c r="E336" s="55" t="s">
        <v>2963</v>
      </c>
      <c r="F336" s="55" t="s">
        <v>2733</v>
      </c>
      <c r="G336" s="56">
        <v>19.024999999999999</v>
      </c>
      <c r="H336" s="55"/>
      <c r="I336" s="57">
        <v>43544</v>
      </c>
      <c r="J336" s="55" t="s">
        <v>62</v>
      </c>
    </row>
    <row r="337" spans="1:12" x14ac:dyDescent="0.25">
      <c r="A337" t="s">
        <v>43</v>
      </c>
      <c r="B337" s="49">
        <v>20</v>
      </c>
      <c r="C337" s="54">
        <f>33000*G337</f>
        <v>628419</v>
      </c>
      <c r="D337" s="55" t="s">
        <v>2737</v>
      </c>
      <c r="E337" s="55" t="s">
        <v>2866</v>
      </c>
      <c r="F337" s="55" t="s">
        <v>2740</v>
      </c>
      <c r="G337" s="56">
        <v>19.042999999999999</v>
      </c>
      <c r="H337" s="55">
        <v>44</v>
      </c>
      <c r="I337" s="57">
        <v>43543</v>
      </c>
      <c r="J337" s="55" t="s">
        <v>62</v>
      </c>
    </row>
    <row r="338" spans="1:12" x14ac:dyDescent="0.25">
      <c r="A338" t="s">
        <v>43</v>
      </c>
      <c r="B338" s="49">
        <v>20</v>
      </c>
      <c r="C338" s="51">
        <v>728172</v>
      </c>
      <c r="D338" s="52" t="s">
        <v>2715</v>
      </c>
      <c r="E338" s="52" t="s">
        <v>2759</v>
      </c>
      <c r="F338" s="52" t="s">
        <v>73</v>
      </c>
      <c r="G338" s="53">
        <v>43544</v>
      </c>
      <c r="H338" s="52" t="s">
        <v>55</v>
      </c>
    </row>
    <row r="339" spans="1:12" x14ac:dyDescent="0.25">
      <c r="A339" t="s">
        <v>43</v>
      </c>
      <c r="B339" s="49">
        <v>20</v>
      </c>
      <c r="C339" s="51">
        <f>622750+17504.4</f>
        <v>640254.4</v>
      </c>
      <c r="D339" s="52" t="s">
        <v>2674</v>
      </c>
      <c r="E339" s="52" t="s">
        <v>2619</v>
      </c>
      <c r="F339" s="52" t="s">
        <v>52</v>
      </c>
      <c r="G339" s="53">
        <v>43543</v>
      </c>
      <c r="H339" s="52" t="s">
        <v>55</v>
      </c>
    </row>
    <row r="340" spans="1:12" x14ac:dyDescent="0.25">
      <c r="A340" t="s">
        <v>43</v>
      </c>
      <c r="B340" s="49">
        <v>20</v>
      </c>
      <c r="C340" s="51">
        <f>681447.5+18992.27</f>
        <v>700439.77</v>
      </c>
      <c r="D340" s="52" t="s">
        <v>2675</v>
      </c>
      <c r="E340" s="52" t="s">
        <v>2676</v>
      </c>
      <c r="F340" s="52" t="s">
        <v>52</v>
      </c>
      <c r="G340" s="53">
        <v>43544</v>
      </c>
      <c r="H340" s="52" t="s">
        <v>55</v>
      </c>
    </row>
    <row r="341" spans="1:12" x14ac:dyDescent="0.25">
      <c r="A341" t="s">
        <v>43</v>
      </c>
      <c r="B341" s="49">
        <v>20</v>
      </c>
      <c r="C341" s="51">
        <f>485877.5+14353.61</f>
        <v>500231.11</v>
      </c>
      <c r="D341" s="52" t="s">
        <v>2677</v>
      </c>
      <c r="E341" s="52" t="s">
        <v>2627</v>
      </c>
      <c r="F341" s="52" t="s">
        <v>52</v>
      </c>
      <c r="G341" s="53">
        <v>43545</v>
      </c>
      <c r="H341" s="52" t="s">
        <v>55</v>
      </c>
    </row>
    <row r="342" spans="1:12" x14ac:dyDescent="0.25">
      <c r="A342" t="s">
        <v>59</v>
      </c>
      <c r="B342" s="49">
        <v>21</v>
      </c>
      <c r="C342" s="54">
        <f>35000*G342</f>
        <v>660765</v>
      </c>
      <c r="D342" s="55" t="s">
        <v>2738</v>
      </c>
      <c r="E342" s="55" t="s">
        <v>2870</v>
      </c>
      <c r="F342" s="55" t="s">
        <v>2739</v>
      </c>
      <c r="G342" s="56">
        <v>18.879000000000001</v>
      </c>
      <c r="H342" s="55"/>
      <c r="I342" s="57">
        <v>43545</v>
      </c>
      <c r="J342" s="55" t="s">
        <v>62</v>
      </c>
    </row>
    <row r="343" spans="1:12" x14ac:dyDescent="0.25">
      <c r="A343" t="s">
        <v>59</v>
      </c>
      <c r="B343" s="49">
        <v>21</v>
      </c>
      <c r="C343" s="51">
        <v>211391.35999999999</v>
      </c>
      <c r="D343" s="52" t="s">
        <v>2790</v>
      </c>
      <c r="E343" s="52" t="s">
        <v>2782</v>
      </c>
      <c r="F343" s="52" t="s">
        <v>2791</v>
      </c>
      <c r="G343" s="52" t="s">
        <v>2792</v>
      </c>
      <c r="H343" s="53">
        <v>43545</v>
      </c>
      <c r="I343" s="52" t="s">
        <v>62</v>
      </c>
    </row>
    <row r="344" spans="1:12" x14ac:dyDescent="0.25">
      <c r="A344" t="s">
        <v>59</v>
      </c>
      <c r="B344" s="49">
        <v>21</v>
      </c>
      <c r="C344" s="51">
        <f>374400+11377.86</f>
        <v>385777.86</v>
      </c>
      <c r="D344" s="52" t="s">
        <v>2681</v>
      </c>
      <c r="E344" s="52" t="s">
        <v>2682</v>
      </c>
      <c r="F344" s="52" t="s">
        <v>52</v>
      </c>
      <c r="G344" s="53">
        <v>43545</v>
      </c>
      <c r="H344" s="52" t="s">
        <v>55</v>
      </c>
    </row>
    <row r="345" spans="1:12" x14ac:dyDescent="0.25">
      <c r="A345" t="s">
        <v>70</v>
      </c>
      <c r="B345" s="49">
        <v>22</v>
      </c>
      <c r="C345" s="51">
        <f>29488.73*G345</f>
        <v>556452.33510000003</v>
      </c>
      <c r="D345" s="52" t="s">
        <v>2746</v>
      </c>
      <c r="E345" s="52" t="s">
        <v>2747</v>
      </c>
      <c r="F345" s="52" t="s">
        <v>2748</v>
      </c>
      <c r="G345" s="58">
        <v>18.87</v>
      </c>
      <c r="H345" s="52">
        <v>37.61</v>
      </c>
      <c r="I345" s="53">
        <v>43546</v>
      </c>
    </row>
    <row r="346" spans="1:12" x14ac:dyDescent="0.25">
      <c r="A346" t="s">
        <v>70</v>
      </c>
      <c r="B346" s="49">
        <v>22</v>
      </c>
      <c r="C346" s="51">
        <f>29363.72*G346</f>
        <v>554357.66988000006</v>
      </c>
      <c r="D346" s="52" t="s">
        <v>2756</v>
      </c>
      <c r="E346" s="52" t="s">
        <v>2757</v>
      </c>
      <c r="F346" s="52" t="s">
        <v>2758</v>
      </c>
      <c r="G346" s="58">
        <v>18.879000000000001</v>
      </c>
      <c r="H346" s="52">
        <v>37.64</v>
      </c>
      <c r="I346" s="53">
        <v>43546</v>
      </c>
    </row>
    <row r="347" spans="1:12" x14ac:dyDescent="0.25">
      <c r="A347" t="s">
        <v>70</v>
      </c>
      <c r="B347" s="49">
        <v>22</v>
      </c>
      <c r="C347" s="51">
        <v>769145.56</v>
      </c>
      <c r="D347" s="52" t="s">
        <v>2802</v>
      </c>
      <c r="E347" s="52" t="s">
        <v>2801</v>
      </c>
      <c r="F347" s="52" t="s">
        <v>2803</v>
      </c>
      <c r="G347" s="58">
        <v>87.8</v>
      </c>
      <c r="H347" s="53">
        <v>43553</v>
      </c>
      <c r="I347" s="52" t="s">
        <v>62</v>
      </c>
    </row>
    <row r="348" spans="1:12" x14ac:dyDescent="0.25">
      <c r="A348" s="37" t="s">
        <v>89</v>
      </c>
      <c r="B348" s="49">
        <v>23</v>
      </c>
    </row>
    <row r="349" spans="1:12" x14ac:dyDescent="0.25">
      <c r="A349" s="37" t="s">
        <v>90</v>
      </c>
      <c r="B349" s="49">
        <v>24</v>
      </c>
    </row>
    <row r="350" spans="1:12" x14ac:dyDescent="0.25">
      <c r="A350" t="s">
        <v>91</v>
      </c>
      <c r="B350" s="49">
        <v>25</v>
      </c>
      <c r="C350" s="83">
        <f>37000*G350</f>
        <v>706330</v>
      </c>
      <c r="D350" s="46" t="s">
        <v>2830</v>
      </c>
      <c r="E350" s="46" t="s">
        <v>230</v>
      </c>
      <c r="F350" s="46" t="s">
        <v>2832</v>
      </c>
      <c r="G350" s="177">
        <v>19.09</v>
      </c>
      <c r="H350" s="46"/>
      <c r="I350" s="178">
        <v>43549</v>
      </c>
      <c r="J350" s="46" t="s">
        <v>62</v>
      </c>
      <c r="L350" t="s">
        <v>2972</v>
      </c>
    </row>
    <row r="351" spans="1:12" x14ac:dyDescent="0.25">
      <c r="A351" t="s">
        <v>91</v>
      </c>
      <c r="B351" s="49">
        <v>25</v>
      </c>
      <c r="C351" s="51">
        <f>29954.49*G351</f>
        <v>574497.16370999999</v>
      </c>
      <c r="D351" s="52" t="s">
        <v>2814</v>
      </c>
      <c r="E351" s="52" t="s">
        <v>2815</v>
      </c>
      <c r="F351" s="52" t="s">
        <v>2816</v>
      </c>
      <c r="G351" s="58">
        <v>19.178999999999998</v>
      </c>
      <c r="H351" s="52">
        <v>39.65</v>
      </c>
      <c r="I351" s="53">
        <v>43549</v>
      </c>
      <c r="J351" s="52" t="s">
        <v>62</v>
      </c>
      <c r="L351" t="s">
        <v>2973</v>
      </c>
    </row>
    <row r="352" spans="1:12" x14ac:dyDescent="0.25">
      <c r="A352" t="s">
        <v>91</v>
      </c>
      <c r="B352" s="49">
        <v>25</v>
      </c>
      <c r="C352" s="51">
        <v>15595.24</v>
      </c>
      <c r="D352" s="52" t="s">
        <v>2809</v>
      </c>
      <c r="E352" s="52" t="s">
        <v>2808</v>
      </c>
      <c r="F352" s="52" t="s">
        <v>87</v>
      </c>
      <c r="G352" s="58">
        <v>17.2</v>
      </c>
      <c r="H352" s="53">
        <v>43551</v>
      </c>
      <c r="I352" s="52" t="s">
        <v>62</v>
      </c>
    </row>
    <row r="353" spans="1:10" x14ac:dyDescent="0.25">
      <c r="A353" t="s">
        <v>91</v>
      </c>
      <c r="B353" s="49">
        <v>25</v>
      </c>
      <c r="C353" s="51">
        <f>647790+17504</f>
        <v>665294</v>
      </c>
      <c r="D353" s="52" t="s">
        <v>2689</v>
      </c>
      <c r="E353" s="52" t="s">
        <v>2690</v>
      </c>
      <c r="F353" s="52" t="s">
        <v>52</v>
      </c>
      <c r="G353" s="53">
        <v>43549</v>
      </c>
      <c r="H353" s="52" t="s">
        <v>55</v>
      </c>
    </row>
    <row r="354" spans="1:10" x14ac:dyDescent="0.25">
      <c r="A354" t="s">
        <v>91</v>
      </c>
      <c r="B354" s="49">
        <v>25</v>
      </c>
      <c r="C354" s="51">
        <f>144950+4376.1</f>
        <v>149326.1</v>
      </c>
      <c r="D354" s="52" t="s">
        <v>2692</v>
      </c>
      <c r="E354" s="52" t="s">
        <v>2691</v>
      </c>
      <c r="F354" s="52" t="s">
        <v>52</v>
      </c>
      <c r="G354" s="53">
        <v>43549</v>
      </c>
      <c r="H354" s="52" t="s">
        <v>55</v>
      </c>
    </row>
    <row r="355" spans="1:10" x14ac:dyDescent="0.25">
      <c r="A355" t="s">
        <v>91</v>
      </c>
      <c r="B355" s="49">
        <v>25</v>
      </c>
      <c r="C355" s="51">
        <v>5347.9</v>
      </c>
      <c r="D355" s="52" t="s">
        <v>2856</v>
      </c>
      <c r="E355" s="52" t="s">
        <v>2857</v>
      </c>
      <c r="F355" s="52" t="s">
        <v>2858</v>
      </c>
      <c r="G355" s="53">
        <v>43549</v>
      </c>
      <c r="H355" s="52" t="s">
        <v>55</v>
      </c>
    </row>
    <row r="356" spans="1:10" x14ac:dyDescent="0.25">
      <c r="A356" t="s">
        <v>91</v>
      </c>
      <c r="B356" s="49">
        <v>25</v>
      </c>
      <c r="C356" s="51">
        <v>49190.1</v>
      </c>
      <c r="D356" s="52" t="s">
        <v>2859</v>
      </c>
      <c r="E356" s="52" t="s">
        <v>2860</v>
      </c>
      <c r="F356" s="52" t="s">
        <v>120</v>
      </c>
      <c r="G356" s="53">
        <v>43549</v>
      </c>
      <c r="H356" s="52" t="s">
        <v>55</v>
      </c>
    </row>
    <row r="357" spans="1:10" x14ac:dyDescent="0.25">
      <c r="A357" t="s">
        <v>91</v>
      </c>
      <c r="B357" s="49">
        <v>25</v>
      </c>
      <c r="C357" s="51">
        <v>43572</v>
      </c>
      <c r="D357" s="52" t="s">
        <v>2861</v>
      </c>
      <c r="E357" s="52" t="s">
        <v>2862</v>
      </c>
      <c r="F357" s="52" t="s">
        <v>120</v>
      </c>
      <c r="G357" s="53">
        <v>43549</v>
      </c>
      <c r="H357" s="52" t="s">
        <v>55</v>
      </c>
    </row>
    <row r="358" spans="1:10" x14ac:dyDescent="0.25">
      <c r="A358" t="s">
        <v>91</v>
      </c>
      <c r="B358" s="49">
        <v>25</v>
      </c>
      <c r="C358" s="51">
        <f>583440+17416.88</f>
        <v>600856.88</v>
      </c>
      <c r="D358" s="52" t="s">
        <v>2693</v>
      </c>
      <c r="E358" s="52" t="s">
        <v>2688</v>
      </c>
      <c r="F358" s="52" t="s">
        <v>52</v>
      </c>
      <c r="G358" s="53">
        <v>43550</v>
      </c>
      <c r="H358" s="52" t="s">
        <v>55</v>
      </c>
    </row>
    <row r="359" spans="1:10" x14ac:dyDescent="0.25">
      <c r="A359" t="s">
        <v>122</v>
      </c>
      <c r="B359" s="49">
        <v>26</v>
      </c>
      <c r="C359" s="54">
        <f>37000*G359</f>
        <v>705442</v>
      </c>
      <c r="D359" s="55" t="s">
        <v>2831</v>
      </c>
      <c r="E359" s="55"/>
      <c r="F359" s="55" t="s">
        <v>2832</v>
      </c>
      <c r="G359" s="56">
        <v>19.065999999999999</v>
      </c>
      <c r="H359" s="55"/>
      <c r="I359" s="57">
        <v>43550</v>
      </c>
      <c r="J359" s="55" t="s">
        <v>62</v>
      </c>
    </row>
    <row r="360" spans="1:10" x14ac:dyDescent="0.25">
      <c r="A360" t="s">
        <v>122</v>
      </c>
      <c r="B360" s="49">
        <v>26</v>
      </c>
      <c r="C360" s="51">
        <f>34506.43*G360</f>
        <v>657692.55579999997</v>
      </c>
      <c r="D360" s="52" t="s">
        <v>2841</v>
      </c>
      <c r="E360" s="52" t="s">
        <v>2850</v>
      </c>
      <c r="F360" s="52" t="s">
        <v>2851</v>
      </c>
      <c r="G360" s="58">
        <v>19.059999999999999</v>
      </c>
      <c r="H360" s="52">
        <v>43.84</v>
      </c>
      <c r="I360" s="53">
        <v>43550</v>
      </c>
      <c r="J360" s="52" t="s">
        <v>62</v>
      </c>
    </row>
    <row r="361" spans="1:10" x14ac:dyDescent="0.25">
      <c r="A361" t="s">
        <v>122</v>
      </c>
      <c r="B361" s="49">
        <v>26</v>
      </c>
      <c r="C361" s="51">
        <f>665990+17504.4</f>
        <v>683494.40000000002</v>
      </c>
      <c r="D361" s="52" t="s">
        <v>2772</v>
      </c>
      <c r="E361" s="52" t="s">
        <v>2700</v>
      </c>
      <c r="F361" s="52" t="s">
        <v>52</v>
      </c>
      <c r="G361" s="53">
        <v>43551</v>
      </c>
      <c r="H361" s="52" t="s">
        <v>55</v>
      </c>
    </row>
    <row r="362" spans="1:10" x14ac:dyDescent="0.25">
      <c r="A362" t="s">
        <v>122</v>
      </c>
      <c r="B362" s="49">
        <v>26</v>
      </c>
      <c r="C362" s="51">
        <f>637520+17504.4</f>
        <v>655024.4</v>
      </c>
      <c r="D362" s="52" t="s">
        <v>2773</v>
      </c>
      <c r="E362" s="52" t="s">
        <v>2711</v>
      </c>
      <c r="F362" s="52" t="s">
        <v>52</v>
      </c>
      <c r="G362" s="53">
        <v>43552</v>
      </c>
      <c r="H362" s="52" t="s">
        <v>55</v>
      </c>
    </row>
    <row r="363" spans="1:10" x14ac:dyDescent="0.25">
      <c r="A363" t="s">
        <v>43</v>
      </c>
      <c r="B363" s="49">
        <v>27</v>
      </c>
      <c r="C363" s="51">
        <f>35048.6*G363</f>
        <v>668411.85060000001</v>
      </c>
      <c r="D363" s="52" t="s">
        <v>2834</v>
      </c>
      <c r="E363" s="52" t="s">
        <v>2835</v>
      </c>
      <c r="F363" s="52" t="s">
        <v>2836</v>
      </c>
      <c r="G363" s="58">
        <v>19.071000000000002</v>
      </c>
      <c r="H363" s="52">
        <v>43.56</v>
      </c>
      <c r="I363" s="53">
        <v>43551</v>
      </c>
      <c r="J363" s="52" t="s">
        <v>62</v>
      </c>
    </row>
    <row r="364" spans="1:10" x14ac:dyDescent="0.25">
      <c r="A364" t="s">
        <v>43</v>
      </c>
      <c r="B364" s="49">
        <v>27</v>
      </c>
      <c r="C364" s="51">
        <f>21013.8*33.7</f>
        <v>708165.06</v>
      </c>
      <c r="D364" s="52" t="s">
        <v>2799</v>
      </c>
      <c r="E364" s="52" t="s">
        <v>2869</v>
      </c>
      <c r="F364" s="52" t="s">
        <v>73</v>
      </c>
      <c r="G364" s="53">
        <v>43551</v>
      </c>
      <c r="H364" s="52" t="s">
        <v>55</v>
      </c>
    </row>
    <row r="365" spans="1:10" x14ac:dyDescent="0.25">
      <c r="A365" s="48" t="s">
        <v>43</v>
      </c>
      <c r="B365" s="49">
        <v>27</v>
      </c>
      <c r="C365" s="3">
        <f>597740+17504.4</f>
        <v>615244.4</v>
      </c>
      <c r="D365" t="s">
        <v>2774</v>
      </c>
      <c r="E365" t="s">
        <v>2775</v>
      </c>
      <c r="F365" t="s">
        <v>52</v>
      </c>
    </row>
    <row r="366" spans="1:10" x14ac:dyDescent="0.25">
      <c r="A366" t="s">
        <v>43</v>
      </c>
      <c r="B366" s="49">
        <v>27</v>
      </c>
      <c r="C366" s="3">
        <f>515450+15753.96</f>
        <v>531203.96</v>
      </c>
      <c r="D366" t="s">
        <v>2777</v>
      </c>
      <c r="E366" t="s">
        <v>2776</v>
      </c>
      <c r="F366" t="s">
        <v>52</v>
      </c>
    </row>
    <row r="367" spans="1:10" x14ac:dyDescent="0.25">
      <c r="A367" t="s">
        <v>59</v>
      </c>
      <c r="B367" s="49">
        <v>28</v>
      </c>
      <c r="C367" s="54">
        <f>36000*G367</f>
        <v>698760</v>
      </c>
      <c r="D367" s="55" t="s">
        <v>2833</v>
      </c>
      <c r="E367" s="55"/>
      <c r="F367" s="55" t="s">
        <v>2951</v>
      </c>
      <c r="G367" s="56">
        <v>19.41</v>
      </c>
      <c r="H367" s="55"/>
      <c r="I367" s="57">
        <v>43552</v>
      </c>
      <c r="J367" s="55" t="s">
        <v>62</v>
      </c>
    </row>
    <row r="368" spans="1:10" x14ac:dyDescent="0.25">
      <c r="A368" t="s">
        <v>59</v>
      </c>
      <c r="B368" s="49">
        <v>28</v>
      </c>
      <c r="C368" s="3">
        <f>387010+11290.34</f>
        <v>398300.34</v>
      </c>
      <c r="D368" t="s">
        <v>2778</v>
      </c>
      <c r="E368" t="s">
        <v>2734</v>
      </c>
      <c r="F368" t="s">
        <v>52</v>
      </c>
    </row>
    <row r="369" spans="1:10" x14ac:dyDescent="0.25">
      <c r="A369" t="s">
        <v>70</v>
      </c>
      <c r="B369" s="49">
        <v>29</v>
      </c>
      <c r="C369" s="51">
        <v>62950.7</v>
      </c>
      <c r="D369" s="52" t="s">
        <v>2975</v>
      </c>
      <c r="E369" s="52" t="s">
        <v>2976</v>
      </c>
      <c r="F369" s="52" t="s">
        <v>120</v>
      </c>
      <c r="G369" s="53">
        <v>43553</v>
      </c>
      <c r="H369" s="52" t="s">
        <v>55</v>
      </c>
    </row>
    <row r="370" spans="1:10" x14ac:dyDescent="0.25">
      <c r="A370" t="s">
        <v>70</v>
      </c>
      <c r="B370" s="49">
        <v>29</v>
      </c>
      <c r="C370" s="54">
        <f>37000*G370</f>
        <v>706330</v>
      </c>
      <c r="D370" s="55" t="s">
        <v>2974</v>
      </c>
      <c r="E370" s="55"/>
      <c r="F370" s="55" t="s">
        <v>2832</v>
      </c>
      <c r="G370" s="56">
        <v>19.09</v>
      </c>
      <c r="H370" s="55"/>
      <c r="I370" s="57">
        <v>43549</v>
      </c>
      <c r="J370" s="55" t="s">
        <v>62</v>
      </c>
    </row>
    <row r="371" spans="1:10" x14ac:dyDescent="0.25">
      <c r="A371" t="s">
        <v>70</v>
      </c>
      <c r="B371" s="49">
        <v>29</v>
      </c>
      <c r="C371" s="51">
        <f>33589.24*G371</f>
        <v>651967.14839999995</v>
      </c>
      <c r="D371" s="52" t="s">
        <v>2837</v>
      </c>
      <c r="E371" s="52" t="s">
        <v>2838</v>
      </c>
      <c r="F371" s="52" t="s">
        <v>2839</v>
      </c>
      <c r="G371" s="58">
        <v>19.41</v>
      </c>
      <c r="H371" s="52">
        <v>45.5</v>
      </c>
      <c r="I371" s="53">
        <v>43553</v>
      </c>
      <c r="J371" s="52" t="s">
        <v>62</v>
      </c>
    </row>
    <row r="372" spans="1:10" x14ac:dyDescent="0.25">
      <c r="A372" t="s">
        <v>70</v>
      </c>
      <c r="B372" s="49">
        <v>29</v>
      </c>
      <c r="C372" s="51">
        <f>35578.32*G372</f>
        <v>691108.86600000004</v>
      </c>
      <c r="D372" s="52" t="s">
        <v>2842</v>
      </c>
      <c r="E372" s="52" t="s">
        <v>2969</v>
      </c>
      <c r="F372" s="52" t="s">
        <v>2970</v>
      </c>
      <c r="G372" s="58">
        <v>19.425000000000001</v>
      </c>
      <c r="H372" s="52">
        <v>45.73</v>
      </c>
      <c r="I372" s="53">
        <v>43553</v>
      </c>
      <c r="J372" s="52" t="s">
        <v>62</v>
      </c>
    </row>
    <row r="373" spans="1:10" x14ac:dyDescent="0.25">
      <c r="A373" s="37" t="s">
        <v>89</v>
      </c>
      <c r="B373" s="49">
        <v>30</v>
      </c>
    </row>
    <row r="374" spans="1:10" x14ac:dyDescent="0.25">
      <c r="A374" s="37" t="s">
        <v>90</v>
      </c>
      <c r="B374" s="49">
        <v>31</v>
      </c>
    </row>
    <row r="375" spans="1:10" x14ac:dyDescent="0.25">
      <c r="A375" s="61" t="s">
        <v>2771</v>
      </c>
    </row>
    <row r="376" spans="1:10" x14ac:dyDescent="0.25">
      <c r="A376" t="s">
        <v>91</v>
      </c>
      <c r="B376" s="49">
        <v>1</v>
      </c>
      <c r="C376" s="54">
        <f>34000*G376</f>
        <v>660960</v>
      </c>
      <c r="D376" s="55" t="s">
        <v>2840</v>
      </c>
      <c r="E376" s="55"/>
      <c r="F376" s="55" t="s">
        <v>2971</v>
      </c>
      <c r="G376" s="56">
        <v>19.440000000000001</v>
      </c>
      <c r="H376" s="55"/>
      <c r="I376" s="57">
        <v>43553</v>
      </c>
      <c r="J376" s="55" t="s">
        <v>62</v>
      </c>
    </row>
    <row r="377" spans="1:10" x14ac:dyDescent="0.25">
      <c r="A377" t="s">
        <v>91</v>
      </c>
      <c r="B377" s="49">
        <v>1</v>
      </c>
      <c r="G377" s="67"/>
    </row>
    <row r="378" spans="1:10" x14ac:dyDescent="0.25">
      <c r="A378" t="s">
        <v>91</v>
      </c>
      <c r="B378" s="49">
        <v>1</v>
      </c>
      <c r="C378" s="3">
        <f>620230+17329.36</f>
        <v>637559.36</v>
      </c>
      <c r="D378" t="s">
        <v>2793</v>
      </c>
      <c r="E378" t="s">
        <v>2794</v>
      </c>
      <c r="F378" t="s">
        <v>52</v>
      </c>
    </row>
    <row r="379" spans="1:10" x14ac:dyDescent="0.25">
      <c r="A379" t="s">
        <v>91</v>
      </c>
      <c r="B379" s="49">
        <v>1</v>
      </c>
      <c r="C379" s="3">
        <f>390130+11552.9</f>
        <v>401682.9</v>
      </c>
      <c r="D379" t="s">
        <v>2795</v>
      </c>
      <c r="E379" t="s">
        <v>2751</v>
      </c>
      <c r="F379" t="s">
        <v>52</v>
      </c>
    </row>
    <row r="380" spans="1:10" x14ac:dyDescent="0.25">
      <c r="A380" t="s">
        <v>91</v>
      </c>
      <c r="B380" s="49">
        <v>1</v>
      </c>
      <c r="C380" s="3">
        <f>587210+17504.4</f>
        <v>604714.4</v>
      </c>
      <c r="D380" t="s">
        <v>2796</v>
      </c>
      <c r="E380" t="s">
        <v>2752</v>
      </c>
      <c r="F380" t="s">
        <v>52</v>
      </c>
    </row>
    <row r="381" spans="1:10" x14ac:dyDescent="0.25">
      <c r="A381" t="s">
        <v>122</v>
      </c>
      <c r="B381" s="49">
        <v>2</v>
      </c>
      <c r="C381" s="3">
        <f>598650+17504.4</f>
        <v>616154.4</v>
      </c>
      <c r="D381" t="s">
        <v>2797</v>
      </c>
      <c r="E381" t="s">
        <v>2760</v>
      </c>
      <c r="F381" t="s">
        <v>52</v>
      </c>
    </row>
    <row r="382" spans="1:10" x14ac:dyDescent="0.25">
      <c r="A382" t="s">
        <v>122</v>
      </c>
      <c r="B382" s="49">
        <v>2</v>
      </c>
      <c r="C382" s="3">
        <f>588380+17504.4-2938</f>
        <v>602946.4</v>
      </c>
      <c r="D382" t="s">
        <v>2798</v>
      </c>
      <c r="E382" t="s">
        <v>2761</v>
      </c>
      <c r="F382" t="s">
        <v>52</v>
      </c>
    </row>
    <row r="383" spans="1:10" x14ac:dyDescent="0.25">
      <c r="A383" t="s">
        <v>43</v>
      </c>
      <c r="B383" s="49">
        <v>3</v>
      </c>
      <c r="C383" s="3">
        <f>649870+19342.36-8814</f>
        <v>660398.36</v>
      </c>
      <c r="D383" t="s">
        <v>2844</v>
      </c>
      <c r="E383" t="s">
        <v>2818</v>
      </c>
      <c r="F383" t="s">
        <v>52</v>
      </c>
    </row>
    <row r="384" spans="1:10" x14ac:dyDescent="0.25">
      <c r="A384" t="s">
        <v>43</v>
      </c>
      <c r="B384" s="49">
        <v>3</v>
      </c>
      <c r="C384" s="3">
        <f>434850+14003.52</f>
        <v>448853.52</v>
      </c>
      <c r="D384" t="s">
        <v>2846</v>
      </c>
      <c r="E384" t="s">
        <v>2845</v>
      </c>
      <c r="F384" t="s">
        <v>52</v>
      </c>
    </row>
    <row r="385" spans="1:10" x14ac:dyDescent="0.25">
      <c r="A385" t="s">
        <v>59</v>
      </c>
      <c r="B385" s="49">
        <v>4</v>
      </c>
      <c r="C385" s="3">
        <f>434265+11290.34</f>
        <v>445555.34</v>
      </c>
      <c r="D385" t="s">
        <v>2847</v>
      </c>
      <c r="E385" t="s">
        <v>2828</v>
      </c>
      <c r="F385" t="s">
        <v>52</v>
      </c>
    </row>
    <row r="386" spans="1:10" x14ac:dyDescent="0.25">
      <c r="A386" t="s">
        <v>59</v>
      </c>
      <c r="B386" s="49">
        <v>4</v>
      </c>
      <c r="C386" s="50">
        <f>19670*33.7</f>
        <v>662879</v>
      </c>
      <c r="D386" t="s">
        <v>2992</v>
      </c>
      <c r="E386" s="37" t="s">
        <v>2993</v>
      </c>
      <c r="F386" t="s">
        <v>73</v>
      </c>
    </row>
    <row r="387" spans="1:10" x14ac:dyDescent="0.25">
      <c r="A387" t="s">
        <v>70</v>
      </c>
      <c r="B387" s="49">
        <v>5</v>
      </c>
    </row>
    <row r="388" spans="1:10" x14ac:dyDescent="0.25">
      <c r="A388" s="37" t="s">
        <v>89</v>
      </c>
      <c r="B388" s="49">
        <v>6</v>
      </c>
    </row>
    <row r="389" spans="1:10" x14ac:dyDescent="0.25">
      <c r="A389" s="37" t="s">
        <v>90</v>
      </c>
      <c r="B389" s="49">
        <v>7</v>
      </c>
    </row>
    <row r="390" spans="1:10" x14ac:dyDescent="0.25">
      <c r="A390" t="s">
        <v>91</v>
      </c>
      <c r="B390" s="49">
        <v>8</v>
      </c>
      <c r="C390" s="63"/>
      <c r="D390" s="64"/>
      <c r="E390" s="64"/>
      <c r="F390" s="64"/>
      <c r="G390" s="37"/>
      <c r="H390" s="64"/>
      <c r="I390" s="64"/>
      <c r="J390" s="64"/>
    </row>
    <row r="391" spans="1:10" x14ac:dyDescent="0.25">
      <c r="A391" t="s">
        <v>91</v>
      </c>
      <c r="B391" s="49">
        <v>8</v>
      </c>
      <c r="C391" s="3">
        <f>590707.5+17416.88</f>
        <v>608124.38</v>
      </c>
      <c r="D391" t="s">
        <v>2986</v>
      </c>
      <c r="E391" t="s">
        <v>2852</v>
      </c>
      <c r="F391" t="s">
        <v>52</v>
      </c>
    </row>
    <row r="392" spans="1:10" x14ac:dyDescent="0.25">
      <c r="A392" t="s">
        <v>91</v>
      </c>
      <c r="B392" s="49">
        <v>8</v>
      </c>
      <c r="C392" s="3">
        <f>382372.5+11377.86</f>
        <v>393750.36</v>
      </c>
      <c r="D392" t="s">
        <v>2987</v>
      </c>
      <c r="E392" t="s">
        <v>2853</v>
      </c>
      <c r="F392" t="s">
        <v>52</v>
      </c>
    </row>
    <row r="393" spans="1:10" x14ac:dyDescent="0.25">
      <c r="A393" t="s">
        <v>91</v>
      </c>
      <c r="B393" s="49">
        <v>8</v>
      </c>
      <c r="C393" s="3">
        <f>597082.5</f>
        <v>597082.5</v>
      </c>
      <c r="D393" t="s">
        <v>2998</v>
      </c>
      <c r="E393" t="s">
        <v>2988</v>
      </c>
      <c r="F393" t="s">
        <v>52</v>
      </c>
    </row>
    <row r="394" spans="1:10" x14ac:dyDescent="0.25">
      <c r="A394" t="s">
        <v>91</v>
      </c>
      <c r="B394" s="49">
        <v>8</v>
      </c>
    </row>
    <row r="395" spans="1:10" x14ac:dyDescent="0.25">
      <c r="A395" t="s">
        <v>122</v>
      </c>
      <c r="B395" s="49">
        <v>9</v>
      </c>
      <c r="C395" s="3">
        <v>672356.16</v>
      </c>
      <c r="D395" t="s">
        <v>2985</v>
      </c>
      <c r="E395" t="s">
        <v>2984</v>
      </c>
      <c r="F395" t="s">
        <v>1804</v>
      </c>
      <c r="G395">
        <v>96</v>
      </c>
    </row>
    <row r="396" spans="1:10" x14ac:dyDescent="0.25">
      <c r="A396" t="s">
        <v>122</v>
      </c>
      <c r="B396" s="49">
        <v>9</v>
      </c>
      <c r="C396" s="50">
        <f>564570+17504.4</f>
        <v>582074.4</v>
      </c>
      <c r="D396" t="s">
        <v>2989</v>
      </c>
      <c r="E396" t="s">
        <v>2990</v>
      </c>
      <c r="F396" t="s">
        <v>52</v>
      </c>
    </row>
    <row r="397" spans="1:10" x14ac:dyDescent="0.25">
      <c r="A397" t="s">
        <v>122</v>
      </c>
      <c r="B397" s="49">
        <v>9</v>
      </c>
      <c r="C397" s="50">
        <f>565972.5+17504.4</f>
        <v>583476.9</v>
      </c>
      <c r="D397" t="s">
        <v>2991</v>
      </c>
      <c r="E397" t="s">
        <v>2954</v>
      </c>
      <c r="F397" t="s">
        <v>52</v>
      </c>
    </row>
    <row r="398" spans="1:10" x14ac:dyDescent="0.25">
      <c r="A398" t="s">
        <v>43</v>
      </c>
      <c r="B398" s="49">
        <v>10</v>
      </c>
      <c r="C398" s="3">
        <f>589050+17416.88</f>
        <v>606466.88</v>
      </c>
      <c r="D398" t="s">
        <v>2994</v>
      </c>
      <c r="E398" t="s">
        <v>2995</v>
      </c>
      <c r="F398" t="s">
        <v>52</v>
      </c>
    </row>
    <row r="399" spans="1:10" x14ac:dyDescent="0.25">
      <c r="A399" t="s">
        <v>43</v>
      </c>
      <c r="B399" s="49">
        <v>10</v>
      </c>
      <c r="C399" s="3">
        <f>483735+15753.96</f>
        <v>499488.96</v>
      </c>
      <c r="D399" t="s">
        <v>2996</v>
      </c>
      <c r="E399" t="s">
        <v>2978</v>
      </c>
      <c r="F399" t="s">
        <v>52</v>
      </c>
    </row>
    <row r="400" spans="1:10" x14ac:dyDescent="0.25">
      <c r="A400" t="s">
        <v>59</v>
      </c>
      <c r="B400" s="49">
        <v>11</v>
      </c>
      <c r="C400" s="3">
        <f>417945+11377.86</f>
        <v>429322.86</v>
      </c>
      <c r="D400" t="s">
        <v>2997</v>
      </c>
      <c r="E400" t="s">
        <v>2979</v>
      </c>
      <c r="F400" t="s">
        <v>52</v>
      </c>
    </row>
    <row r="401" spans="1:2" x14ac:dyDescent="0.25">
      <c r="A401" t="s">
        <v>59</v>
      </c>
      <c r="B401" s="49">
        <v>11</v>
      </c>
    </row>
    <row r="402" spans="1:2" x14ac:dyDescent="0.25">
      <c r="A402" t="s">
        <v>70</v>
      </c>
      <c r="B402" s="49">
        <v>12</v>
      </c>
    </row>
    <row r="403" spans="1:2" x14ac:dyDescent="0.25">
      <c r="A403" s="37" t="s">
        <v>89</v>
      </c>
      <c r="B403" s="49">
        <v>13</v>
      </c>
    </row>
    <row r="404" spans="1:2" x14ac:dyDescent="0.25">
      <c r="A404" s="37" t="s">
        <v>90</v>
      </c>
      <c r="B404" s="49">
        <v>14</v>
      </c>
    </row>
    <row r="405" spans="1:2" x14ac:dyDescent="0.25">
      <c r="A405" t="s">
        <v>91</v>
      </c>
      <c r="B405" s="49">
        <v>15</v>
      </c>
    </row>
    <row r="406" spans="1:2" x14ac:dyDescent="0.25">
      <c r="A406" t="s">
        <v>122</v>
      </c>
      <c r="B406" s="49">
        <v>16</v>
      </c>
    </row>
    <row r="407" spans="1:2" x14ac:dyDescent="0.25">
      <c r="A407" t="s">
        <v>43</v>
      </c>
      <c r="B407" s="49">
        <v>17</v>
      </c>
    </row>
    <row r="408" spans="1:2" x14ac:dyDescent="0.25">
      <c r="A408" t="s">
        <v>59</v>
      </c>
      <c r="B408" s="49">
        <v>18</v>
      </c>
    </row>
    <row r="409" spans="1:2" x14ac:dyDescent="0.25">
      <c r="A409" t="s">
        <v>70</v>
      </c>
      <c r="B409" s="49">
        <v>19</v>
      </c>
    </row>
    <row r="410" spans="1:2" x14ac:dyDescent="0.25">
      <c r="A410" s="37" t="s">
        <v>89</v>
      </c>
      <c r="B410" s="49">
        <v>20</v>
      </c>
    </row>
    <row r="411" spans="1:2" x14ac:dyDescent="0.25">
      <c r="A411" s="37" t="s">
        <v>90</v>
      </c>
      <c r="B411" s="49">
        <v>21</v>
      </c>
    </row>
    <row r="412" spans="1:2" x14ac:dyDescent="0.25">
      <c r="A412" t="s">
        <v>91</v>
      </c>
      <c r="B412" s="49">
        <v>22</v>
      </c>
    </row>
    <row r="413" spans="1:2" x14ac:dyDescent="0.25">
      <c r="A413" t="s">
        <v>122</v>
      </c>
      <c r="B413" s="49">
        <v>23</v>
      </c>
    </row>
    <row r="414" spans="1:2" x14ac:dyDescent="0.25">
      <c r="A414" t="s">
        <v>43</v>
      </c>
      <c r="B414" s="49">
        <v>24</v>
      </c>
    </row>
    <row r="415" spans="1:2" x14ac:dyDescent="0.25">
      <c r="A415" t="s">
        <v>59</v>
      </c>
      <c r="B415" s="49">
        <v>25</v>
      </c>
    </row>
    <row r="416" spans="1:2" x14ac:dyDescent="0.25">
      <c r="A416" t="s">
        <v>70</v>
      </c>
      <c r="B416" s="49">
        <v>26</v>
      </c>
    </row>
    <row r="417" spans="1:2" x14ac:dyDescent="0.25">
      <c r="A417" s="37" t="s">
        <v>89</v>
      </c>
      <c r="B417" s="49">
        <v>27</v>
      </c>
    </row>
    <row r="418" spans="1:2" x14ac:dyDescent="0.25">
      <c r="A418" s="37" t="s">
        <v>90</v>
      </c>
      <c r="B418" s="49">
        <v>28</v>
      </c>
    </row>
    <row r="419" spans="1:2" x14ac:dyDescent="0.25">
      <c r="A419" t="s">
        <v>91</v>
      </c>
      <c r="B419" s="49">
        <v>29</v>
      </c>
    </row>
    <row r="420" spans="1:2" x14ac:dyDescent="0.25">
      <c r="A420" t="s">
        <v>122</v>
      </c>
      <c r="B420" s="49">
        <v>30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6E8E-1760-4403-9438-449390A4BF97}">
  <dimension ref="A5:O186"/>
  <sheetViews>
    <sheetView topLeftCell="A149" workbookViewId="0">
      <selection activeCell="B173" sqref="B173"/>
    </sheetView>
  </sheetViews>
  <sheetFormatPr baseColWidth="10" defaultRowHeight="15" x14ac:dyDescent="0.25"/>
  <cols>
    <col min="1" max="1" width="4.140625" customWidth="1"/>
    <col min="2" max="2" width="5.140625" customWidth="1"/>
    <col min="3" max="3" width="14.28515625" customWidth="1"/>
    <col min="4" max="4" width="31.28515625" bestFit="1" customWidth="1"/>
    <col min="5" max="5" width="14.7109375" bestFit="1" customWidth="1"/>
    <col min="6" max="6" width="30.28515625" bestFit="1" customWidth="1"/>
    <col min="7" max="7" width="16.28515625" customWidth="1"/>
    <col min="8" max="8" width="15.140625" bestFit="1" customWidth="1"/>
  </cols>
  <sheetData>
    <row r="5" spans="1:10" x14ac:dyDescent="0.25">
      <c r="A5" t="s">
        <v>49</v>
      </c>
    </row>
    <row r="6" spans="1:10" x14ac:dyDescent="0.25">
      <c r="A6" s="48" t="s">
        <v>43</v>
      </c>
      <c r="B6" s="49">
        <v>26</v>
      </c>
      <c r="C6" s="50">
        <f>747037.5+18541.44</f>
        <v>765578.94</v>
      </c>
      <c r="D6" t="s">
        <v>50</v>
      </c>
      <c r="E6" t="s">
        <v>51</v>
      </c>
      <c r="F6" t="s">
        <v>52</v>
      </c>
    </row>
    <row r="7" spans="1:10" x14ac:dyDescent="0.25">
      <c r="A7" t="s">
        <v>43</v>
      </c>
      <c r="B7" s="49">
        <v>26</v>
      </c>
      <c r="C7" s="51">
        <f>116875+3340.8</f>
        <v>120215.8</v>
      </c>
      <c r="D7" s="52" t="s">
        <v>53</v>
      </c>
      <c r="E7" s="52" t="s">
        <v>54</v>
      </c>
      <c r="F7" s="52" t="s">
        <v>52</v>
      </c>
      <c r="G7" s="53">
        <v>43461</v>
      </c>
      <c r="H7" s="52" t="s">
        <v>55</v>
      </c>
    </row>
    <row r="8" spans="1:10" x14ac:dyDescent="0.25">
      <c r="A8" t="s">
        <v>43</v>
      </c>
      <c r="B8" s="49">
        <v>26</v>
      </c>
      <c r="C8" s="3">
        <v>688015.97</v>
      </c>
      <c r="D8" t="s">
        <v>56</v>
      </c>
      <c r="E8" t="s">
        <v>57</v>
      </c>
      <c r="F8" t="s">
        <v>58</v>
      </c>
      <c r="G8">
        <v>39.5</v>
      </c>
    </row>
    <row r="9" spans="1:10" x14ac:dyDescent="0.25">
      <c r="A9" t="s">
        <v>59</v>
      </c>
      <c r="B9" s="49">
        <v>27</v>
      </c>
      <c r="C9" s="54">
        <f>21000*G9</f>
        <v>418173</v>
      </c>
      <c r="D9" s="55" t="s">
        <v>60</v>
      </c>
      <c r="E9" s="55"/>
      <c r="F9" s="55" t="s">
        <v>61</v>
      </c>
      <c r="G9" s="56">
        <v>19.913</v>
      </c>
      <c r="H9" s="55"/>
      <c r="I9" s="57">
        <v>43461</v>
      </c>
      <c r="J9" s="55" t="s">
        <v>62</v>
      </c>
    </row>
    <row r="10" spans="1:10" x14ac:dyDescent="0.25">
      <c r="A10" t="s">
        <v>59</v>
      </c>
      <c r="B10" s="49">
        <v>27</v>
      </c>
      <c r="C10" s="51">
        <f>25558.7*G10</f>
        <v>508950.39310000004</v>
      </c>
      <c r="D10" s="52" t="s">
        <v>63</v>
      </c>
      <c r="E10" s="52" t="s">
        <v>64</v>
      </c>
      <c r="F10" s="52" t="s">
        <v>65</v>
      </c>
      <c r="G10" s="58">
        <v>19.913</v>
      </c>
      <c r="H10" s="52">
        <v>34.65</v>
      </c>
      <c r="I10" s="53">
        <v>43461</v>
      </c>
      <c r="J10" s="52" t="s">
        <v>62</v>
      </c>
    </row>
    <row r="11" spans="1:10" x14ac:dyDescent="0.25">
      <c r="A11" t="s">
        <v>59</v>
      </c>
      <c r="B11" s="49">
        <v>27</v>
      </c>
      <c r="C11" s="50">
        <f>761600+18374.4</f>
        <v>779974.4</v>
      </c>
      <c r="D11" t="s">
        <v>66</v>
      </c>
      <c r="E11" t="s">
        <v>67</v>
      </c>
      <c r="F11" t="s">
        <v>52</v>
      </c>
      <c r="G11" s="59"/>
    </row>
    <row r="12" spans="1:10" x14ac:dyDescent="0.25">
      <c r="A12" t="s">
        <v>59</v>
      </c>
      <c r="B12" s="49">
        <v>27</v>
      </c>
      <c r="C12" s="51">
        <f>455560+10857.6</f>
        <v>466417.6</v>
      </c>
      <c r="D12" s="52" t="s">
        <v>68</v>
      </c>
      <c r="E12" s="52" t="s">
        <v>69</v>
      </c>
      <c r="F12" s="52" t="s">
        <v>52</v>
      </c>
      <c r="G12" s="53">
        <v>43461</v>
      </c>
      <c r="H12" s="52" t="s">
        <v>55</v>
      </c>
    </row>
    <row r="13" spans="1:10" x14ac:dyDescent="0.25">
      <c r="A13" t="s">
        <v>70</v>
      </c>
      <c r="B13" s="49">
        <v>28</v>
      </c>
      <c r="C13" s="51">
        <f>20603.5*36.4</f>
        <v>749967.4</v>
      </c>
      <c r="D13" s="52" t="s">
        <v>71</v>
      </c>
      <c r="E13" s="52" t="s">
        <v>72</v>
      </c>
      <c r="F13" s="52" t="s">
        <v>73</v>
      </c>
      <c r="G13" s="60">
        <v>43462</v>
      </c>
      <c r="H13" s="52" t="s">
        <v>55</v>
      </c>
    </row>
    <row r="14" spans="1:10" x14ac:dyDescent="0.25">
      <c r="A14" t="s">
        <v>70</v>
      </c>
      <c r="B14" s="49">
        <v>28</v>
      </c>
      <c r="C14" s="51">
        <f>399700+10857.6</f>
        <v>410557.6</v>
      </c>
      <c r="D14" s="52" t="s">
        <v>74</v>
      </c>
      <c r="E14" s="52" t="s">
        <v>75</v>
      </c>
      <c r="F14" s="52" t="s">
        <v>52</v>
      </c>
      <c r="G14" s="53">
        <v>43461</v>
      </c>
      <c r="H14" s="52" t="s">
        <v>55</v>
      </c>
    </row>
    <row r="15" spans="1:10" x14ac:dyDescent="0.25">
      <c r="A15" t="s">
        <v>70</v>
      </c>
      <c r="B15" s="49">
        <v>28</v>
      </c>
      <c r="C15" s="51">
        <f>25250.38*G15</f>
        <v>498619.25386</v>
      </c>
      <c r="D15" s="52" t="s">
        <v>76</v>
      </c>
      <c r="E15" s="52" t="s">
        <v>77</v>
      </c>
      <c r="F15" s="52" t="s">
        <v>78</v>
      </c>
      <c r="G15" s="58">
        <v>19.747</v>
      </c>
      <c r="H15" s="52">
        <v>34.270000000000003</v>
      </c>
      <c r="I15" s="53">
        <v>43432</v>
      </c>
    </row>
    <row r="16" spans="1:10" x14ac:dyDescent="0.25">
      <c r="A16" t="s">
        <v>70</v>
      </c>
      <c r="B16" s="49">
        <v>28</v>
      </c>
      <c r="C16" s="51">
        <f>25198.78*G16</f>
        <v>497625.50744000002</v>
      </c>
      <c r="D16" s="52" t="s">
        <v>79</v>
      </c>
      <c r="E16" s="52" t="s">
        <v>80</v>
      </c>
      <c r="F16" s="52" t="s">
        <v>81</v>
      </c>
      <c r="G16" s="58">
        <v>19.748000000000001</v>
      </c>
      <c r="H16" s="52">
        <v>34.29</v>
      </c>
      <c r="I16" s="53">
        <v>43432</v>
      </c>
    </row>
    <row r="17" spans="1:10" x14ac:dyDescent="0.25">
      <c r="A17" t="s">
        <v>70</v>
      </c>
      <c r="B17" s="49">
        <v>28</v>
      </c>
      <c r="C17" s="51">
        <f>22649.79*G17</f>
        <v>447084.20481000002</v>
      </c>
      <c r="D17" s="52" t="s">
        <v>82</v>
      </c>
      <c r="E17" s="52" t="s">
        <v>83</v>
      </c>
      <c r="F17" s="52" t="s">
        <v>84</v>
      </c>
      <c r="G17" s="58">
        <v>19.739000000000001</v>
      </c>
      <c r="H17" s="52">
        <v>32.1</v>
      </c>
      <c r="I17" s="53">
        <v>43462</v>
      </c>
    </row>
    <row r="18" spans="1:10" x14ac:dyDescent="0.25">
      <c r="A18" t="s">
        <v>70</v>
      </c>
      <c r="B18" s="49">
        <v>28</v>
      </c>
      <c r="C18" s="51">
        <v>35893.65</v>
      </c>
      <c r="D18" s="52" t="s">
        <v>85</v>
      </c>
      <c r="E18" s="52" t="s">
        <v>86</v>
      </c>
      <c r="F18" s="52" t="s">
        <v>87</v>
      </c>
      <c r="G18" s="58">
        <v>19.5</v>
      </c>
      <c r="H18" s="53">
        <v>43465</v>
      </c>
      <c r="I18" s="53" t="s">
        <v>88</v>
      </c>
    </row>
    <row r="19" spans="1:10" x14ac:dyDescent="0.25">
      <c r="A19" s="37" t="s">
        <v>89</v>
      </c>
      <c r="B19" s="49">
        <v>29</v>
      </c>
      <c r="C19" s="3"/>
    </row>
    <row r="20" spans="1:10" x14ac:dyDescent="0.25">
      <c r="A20" s="37" t="s">
        <v>90</v>
      </c>
      <c r="B20" s="49">
        <v>30</v>
      </c>
      <c r="C20" s="3"/>
    </row>
    <row r="21" spans="1:10" x14ac:dyDescent="0.25">
      <c r="A21" t="s">
        <v>91</v>
      </c>
      <c r="B21" s="49">
        <v>31</v>
      </c>
      <c r="C21" s="54">
        <f>23000*G21</f>
        <v>453330</v>
      </c>
      <c r="D21" s="55" t="s">
        <v>92</v>
      </c>
      <c r="E21" s="55"/>
      <c r="F21" s="55" t="s">
        <v>93</v>
      </c>
      <c r="G21" s="56">
        <v>19.71</v>
      </c>
      <c r="H21" s="55"/>
      <c r="I21" s="57">
        <v>43465</v>
      </c>
      <c r="J21" s="55" t="s">
        <v>62</v>
      </c>
    </row>
    <row r="22" spans="1:10" x14ac:dyDescent="0.25">
      <c r="A22" t="s">
        <v>91</v>
      </c>
      <c r="B22" s="49">
        <v>31</v>
      </c>
      <c r="C22" s="51">
        <f>23846.32*G22</f>
        <v>469295.57759999996</v>
      </c>
      <c r="D22" s="52" t="s">
        <v>94</v>
      </c>
      <c r="E22" s="52" t="s">
        <v>95</v>
      </c>
      <c r="F22" s="52" t="s">
        <v>96</v>
      </c>
      <c r="G22" s="58">
        <v>19.68</v>
      </c>
      <c r="H22" s="52">
        <v>34.04</v>
      </c>
      <c r="I22" s="53">
        <v>43465</v>
      </c>
      <c r="J22" s="52" t="s">
        <v>62</v>
      </c>
    </row>
    <row r="23" spans="1:10" x14ac:dyDescent="0.25">
      <c r="A23" t="s">
        <v>91</v>
      </c>
      <c r="B23" s="49">
        <v>31</v>
      </c>
      <c r="C23" s="51">
        <f>22665.22*G23</f>
        <v>446867.47752000007</v>
      </c>
      <c r="D23" s="52" t="s">
        <v>97</v>
      </c>
      <c r="E23" s="52" t="s">
        <v>98</v>
      </c>
      <c r="F23" s="52" t="s">
        <v>99</v>
      </c>
      <c r="G23" s="58">
        <v>19.716000000000001</v>
      </c>
      <c r="H23" s="52">
        <v>31.97</v>
      </c>
      <c r="I23" s="53">
        <v>43465</v>
      </c>
      <c r="J23" s="52" t="s">
        <v>62</v>
      </c>
    </row>
    <row r="24" spans="1:10" x14ac:dyDescent="0.25">
      <c r="A24" t="s">
        <v>91</v>
      </c>
      <c r="B24" s="49">
        <v>31</v>
      </c>
      <c r="C24" s="51">
        <f>23180.3*G24</f>
        <v>456883.71299999999</v>
      </c>
      <c r="D24" s="52" t="s">
        <v>100</v>
      </c>
      <c r="E24" s="52" t="s">
        <v>101</v>
      </c>
      <c r="F24" s="52" t="s">
        <v>102</v>
      </c>
      <c r="G24" s="51">
        <v>19.71</v>
      </c>
      <c r="H24" s="52">
        <v>31.13</v>
      </c>
      <c r="I24" s="53">
        <v>43465</v>
      </c>
      <c r="J24" s="52" t="s">
        <v>62</v>
      </c>
    </row>
    <row r="25" spans="1:10" x14ac:dyDescent="0.25">
      <c r="A25" t="s">
        <v>91</v>
      </c>
      <c r="B25" s="49">
        <v>31</v>
      </c>
      <c r="C25" s="51">
        <f>23015.57*G25</f>
        <v>453636.8847</v>
      </c>
      <c r="D25" s="52" t="s">
        <v>103</v>
      </c>
      <c r="E25" s="52" t="s">
        <v>104</v>
      </c>
      <c r="F25" s="52" t="s">
        <v>105</v>
      </c>
      <c r="G25" s="51">
        <v>19.71</v>
      </c>
      <c r="H25" s="52">
        <v>31.17</v>
      </c>
      <c r="I25" s="53">
        <v>43465</v>
      </c>
      <c r="J25" s="52" t="s">
        <v>62</v>
      </c>
    </row>
    <row r="26" spans="1:10" x14ac:dyDescent="0.25">
      <c r="A26" t="s">
        <v>91</v>
      </c>
      <c r="B26" s="49">
        <v>31</v>
      </c>
      <c r="C26" s="51">
        <v>42722.76</v>
      </c>
      <c r="D26" s="52" t="s">
        <v>106</v>
      </c>
      <c r="E26" s="52" t="s">
        <v>107</v>
      </c>
      <c r="F26" s="52" t="s">
        <v>108</v>
      </c>
      <c r="G26" s="52" t="s">
        <v>109</v>
      </c>
      <c r="H26" s="53">
        <v>43465</v>
      </c>
      <c r="I26" s="53" t="s">
        <v>88</v>
      </c>
    </row>
    <row r="27" spans="1:10" x14ac:dyDescent="0.25">
      <c r="A27" t="s">
        <v>91</v>
      </c>
      <c r="B27" s="49">
        <v>31</v>
      </c>
      <c r="C27" s="51">
        <f>729680+18457.92</f>
        <v>748137.92</v>
      </c>
      <c r="D27" s="52" t="s">
        <v>110</v>
      </c>
      <c r="E27" s="52" t="s">
        <v>111</v>
      </c>
      <c r="F27" s="52" t="s">
        <v>52</v>
      </c>
      <c r="G27" s="60">
        <v>43462</v>
      </c>
      <c r="H27" s="52" t="s">
        <v>55</v>
      </c>
    </row>
    <row r="28" spans="1:10" x14ac:dyDescent="0.25">
      <c r="A28" t="s">
        <v>91</v>
      </c>
      <c r="B28" s="49">
        <v>31</v>
      </c>
      <c r="C28" s="51">
        <f>134400+3340</f>
        <v>137740</v>
      </c>
      <c r="D28" s="52" t="s">
        <v>112</v>
      </c>
      <c r="E28" s="52" t="s">
        <v>113</v>
      </c>
      <c r="F28" s="52" t="s">
        <v>52</v>
      </c>
      <c r="G28" s="60">
        <v>43462</v>
      </c>
      <c r="H28" s="52" t="s">
        <v>55</v>
      </c>
    </row>
    <row r="29" spans="1:10" x14ac:dyDescent="0.25">
      <c r="A29" t="s">
        <v>91</v>
      </c>
      <c r="B29" s="49">
        <v>31</v>
      </c>
      <c r="C29" s="51">
        <f>750400+18290.88</f>
        <v>768690.88</v>
      </c>
      <c r="D29" s="52" t="s">
        <v>114</v>
      </c>
      <c r="E29" s="52" t="s">
        <v>115</v>
      </c>
      <c r="F29" s="52" t="s">
        <v>52</v>
      </c>
      <c r="G29" s="53">
        <v>43465</v>
      </c>
      <c r="H29" s="52" t="s">
        <v>55</v>
      </c>
    </row>
    <row r="30" spans="1:10" x14ac:dyDescent="0.25">
      <c r="A30" t="s">
        <v>91</v>
      </c>
      <c r="B30" s="49">
        <v>31</v>
      </c>
      <c r="C30" s="51">
        <f>94220+2505.6</f>
        <v>96725.6</v>
      </c>
      <c r="D30" s="52" t="s">
        <v>116</v>
      </c>
      <c r="E30" s="52" t="s">
        <v>117</v>
      </c>
      <c r="F30" s="52" t="s">
        <v>52</v>
      </c>
      <c r="G30" s="53">
        <v>43465</v>
      </c>
      <c r="H30" s="52" t="s">
        <v>55</v>
      </c>
    </row>
    <row r="31" spans="1:10" x14ac:dyDescent="0.25">
      <c r="A31" t="s">
        <v>91</v>
      </c>
      <c r="B31" s="49">
        <v>31</v>
      </c>
      <c r="C31" s="51">
        <v>70616</v>
      </c>
      <c r="D31" s="52" t="s">
        <v>118</v>
      </c>
      <c r="E31" s="52" t="s">
        <v>119</v>
      </c>
      <c r="F31" s="52" t="s">
        <v>120</v>
      </c>
      <c r="G31" s="53">
        <v>43465</v>
      </c>
      <c r="H31" s="52" t="s">
        <v>55</v>
      </c>
    </row>
    <row r="32" spans="1:10" x14ac:dyDescent="0.25">
      <c r="A32" s="61" t="s">
        <v>121</v>
      </c>
      <c r="C32" s="3"/>
    </row>
    <row r="33" spans="1:11" x14ac:dyDescent="0.25">
      <c r="A33" t="s">
        <v>122</v>
      </c>
      <c r="B33" s="49">
        <v>1</v>
      </c>
      <c r="C33" s="3" t="s">
        <v>123</v>
      </c>
    </row>
    <row r="34" spans="1:11" x14ac:dyDescent="0.25">
      <c r="A34" t="s">
        <v>43</v>
      </c>
      <c r="B34" s="49">
        <v>2</v>
      </c>
      <c r="C34" s="54">
        <f>22500*G34</f>
        <v>443025</v>
      </c>
      <c r="D34" s="55" t="s">
        <v>124</v>
      </c>
      <c r="E34" s="55"/>
      <c r="F34" s="55" t="s">
        <v>125</v>
      </c>
      <c r="G34" s="56">
        <v>19.690000000000001</v>
      </c>
      <c r="H34" s="55"/>
      <c r="I34" s="57">
        <v>43467</v>
      </c>
      <c r="J34" s="55" t="s">
        <v>62</v>
      </c>
    </row>
    <row r="35" spans="1:11" x14ac:dyDescent="0.25">
      <c r="A35" t="s">
        <v>43</v>
      </c>
      <c r="B35" s="49">
        <v>2</v>
      </c>
      <c r="C35" s="54">
        <f>22500*G35</f>
        <v>443025</v>
      </c>
      <c r="D35" s="55" t="s">
        <v>126</v>
      </c>
      <c r="E35" s="55"/>
      <c r="F35" s="55" t="s">
        <v>125</v>
      </c>
      <c r="G35" s="56">
        <v>19.690000000000001</v>
      </c>
      <c r="H35" s="55"/>
      <c r="I35" s="57">
        <v>43467</v>
      </c>
      <c r="J35" s="55" t="s">
        <v>62</v>
      </c>
    </row>
    <row r="36" spans="1:11" x14ac:dyDescent="0.25">
      <c r="A36" t="s">
        <v>43</v>
      </c>
      <c r="B36" s="49">
        <v>2</v>
      </c>
      <c r="C36" s="51">
        <f>720720+18374.4</f>
        <v>739094.4</v>
      </c>
      <c r="D36" s="52" t="s">
        <v>127</v>
      </c>
      <c r="E36" s="52" t="s">
        <v>128</v>
      </c>
      <c r="F36" s="52" t="s">
        <v>52</v>
      </c>
      <c r="G36" s="53">
        <v>43465</v>
      </c>
      <c r="H36" s="52" t="s">
        <v>55</v>
      </c>
    </row>
    <row r="37" spans="1:11" x14ac:dyDescent="0.25">
      <c r="A37" t="s">
        <v>43</v>
      </c>
      <c r="B37" s="49">
        <v>2</v>
      </c>
      <c r="C37" s="51">
        <f>97020+2505.6</f>
        <v>99525.6</v>
      </c>
      <c r="D37" s="52" t="s">
        <v>129</v>
      </c>
      <c r="E37" s="52" t="s">
        <v>130</v>
      </c>
      <c r="F37" s="52" t="s">
        <v>52</v>
      </c>
      <c r="G37" s="53">
        <v>43465</v>
      </c>
      <c r="H37" s="52" t="s">
        <v>55</v>
      </c>
    </row>
    <row r="38" spans="1:11" x14ac:dyDescent="0.25">
      <c r="A38" t="s">
        <v>43</v>
      </c>
      <c r="B38" s="49">
        <v>2</v>
      </c>
      <c r="C38" s="51">
        <f>770840+19293.12</f>
        <v>790133.12</v>
      </c>
      <c r="D38" s="52" t="s">
        <v>131</v>
      </c>
      <c r="E38" s="52" t="s">
        <v>132</v>
      </c>
      <c r="F38" s="52" t="s">
        <v>52</v>
      </c>
      <c r="G38" s="53">
        <v>43465</v>
      </c>
      <c r="H38" s="52" t="s">
        <v>55</v>
      </c>
    </row>
    <row r="39" spans="1:11" x14ac:dyDescent="0.25">
      <c r="A39" t="s">
        <v>43</v>
      </c>
      <c r="B39" s="49">
        <v>2</v>
      </c>
      <c r="C39" s="51">
        <f>64820+1670.4</f>
        <v>66490.399999999994</v>
      </c>
      <c r="D39" s="52" t="s">
        <v>133</v>
      </c>
      <c r="E39" s="52" t="s">
        <v>134</v>
      </c>
      <c r="F39" s="52" t="s">
        <v>52</v>
      </c>
      <c r="G39" s="53">
        <v>43465</v>
      </c>
      <c r="H39" s="52" t="s">
        <v>55</v>
      </c>
    </row>
    <row r="40" spans="1:11" x14ac:dyDescent="0.25">
      <c r="A40" t="s">
        <v>59</v>
      </c>
      <c r="B40" s="49">
        <v>3</v>
      </c>
      <c r="C40" s="51">
        <f>764260+18374.4</f>
        <v>782634.4</v>
      </c>
      <c r="D40" s="52" t="s">
        <v>135</v>
      </c>
      <c r="E40" s="52" t="s">
        <v>136</v>
      </c>
      <c r="F40" s="52" t="s">
        <v>52</v>
      </c>
      <c r="G40" s="53">
        <v>43465</v>
      </c>
      <c r="H40" s="52" t="s">
        <v>55</v>
      </c>
    </row>
    <row r="41" spans="1:11" x14ac:dyDescent="0.25">
      <c r="A41" t="s">
        <v>59</v>
      </c>
      <c r="B41" s="49">
        <v>3</v>
      </c>
      <c r="C41" s="51">
        <f>528220+13363.2</f>
        <v>541583.19999999995</v>
      </c>
      <c r="D41" s="52" t="s">
        <v>135</v>
      </c>
      <c r="E41" s="52" t="s">
        <v>137</v>
      </c>
      <c r="F41" s="52" t="s">
        <v>52</v>
      </c>
      <c r="G41" s="53">
        <v>43465</v>
      </c>
      <c r="H41" s="52" t="s">
        <v>55</v>
      </c>
      <c r="K41" s="62"/>
    </row>
    <row r="42" spans="1:11" x14ac:dyDescent="0.25">
      <c r="A42" t="s">
        <v>59</v>
      </c>
      <c r="B42" s="49">
        <v>3</v>
      </c>
      <c r="C42" s="63"/>
      <c r="D42" s="64" t="s">
        <v>138</v>
      </c>
      <c r="E42" s="64"/>
      <c r="F42" s="64"/>
      <c r="G42" s="65">
        <v>20.7</v>
      </c>
      <c r="H42" s="64"/>
      <c r="I42" s="64"/>
      <c r="J42" s="64"/>
      <c r="K42" s="62"/>
    </row>
    <row r="43" spans="1:11" x14ac:dyDescent="0.25">
      <c r="A43" t="s">
        <v>59</v>
      </c>
      <c r="B43" s="49">
        <v>3</v>
      </c>
      <c r="C43" s="3"/>
      <c r="D43" t="s">
        <v>139</v>
      </c>
      <c r="G43" s="50">
        <v>20.7</v>
      </c>
    </row>
    <row r="44" spans="1:11" x14ac:dyDescent="0.25">
      <c r="B44" s="49"/>
      <c r="C44" s="3">
        <f>23322.69*G44</f>
        <v>482779.68299999996</v>
      </c>
      <c r="D44" t="s">
        <v>140</v>
      </c>
      <c r="E44" t="s">
        <v>141</v>
      </c>
      <c r="F44" t="s">
        <v>142</v>
      </c>
      <c r="G44" s="50">
        <v>20.7</v>
      </c>
    </row>
    <row r="45" spans="1:11" x14ac:dyDescent="0.25">
      <c r="A45" t="s">
        <v>59</v>
      </c>
      <c r="B45" s="49">
        <v>3</v>
      </c>
      <c r="C45" s="3">
        <f>23473.46*G45</f>
        <v>485900.62199999997</v>
      </c>
      <c r="D45" t="s">
        <v>143</v>
      </c>
      <c r="E45" t="s">
        <v>144</v>
      </c>
      <c r="F45" t="s">
        <v>145</v>
      </c>
      <c r="G45" s="50">
        <v>20.7</v>
      </c>
    </row>
    <row r="46" spans="1:11" x14ac:dyDescent="0.25">
      <c r="A46" t="s">
        <v>59</v>
      </c>
      <c r="B46" s="49">
        <v>3</v>
      </c>
      <c r="C46" s="3"/>
    </row>
    <row r="47" spans="1:11" x14ac:dyDescent="0.25">
      <c r="A47" t="s">
        <v>70</v>
      </c>
      <c r="B47" s="49">
        <v>4</v>
      </c>
      <c r="C47" s="51">
        <v>16632.599999999999</v>
      </c>
      <c r="D47" s="52" t="s">
        <v>146</v>
      </c>
      <c r="E47" s="52" t="s">
        <v>147</v>
      </c>
      <c r="F47" s="52" t="s">
        <v>87</v>
      </c>
      <c r="G47" s="51">
        <v>19</v>
      </c>
      <c r="H47" s="53">
        <v>43465</v>
      </c>
      <c r="I47" s="53" t="s">
        <v>88</v>
      </c>
    </row>
    <row r="48" spans="1:11" x14ac:dyDescent="0.25">
      <c r="A48" t="s">
        <v>70</v>
      </c>
      <c r="B48" s="49">
        <v>4</v>
      </c>
      <c r="C48" s="3"/>
      <c r="D48" t="s">
        <v>148</v>
      </c>
      <c r="G48" s="50">
        <v>20.7</v>
      </c>
    </row>
    <row r="49" spans="1:10" x14ac:dyDescent="0.25">
      <c r="A49" t="s">
        <v>70</v>
      </c>
      <c r="B49" s="66">
        <v>4</v>
      </c>
      <c r="C49" s="50">
        <v>947926.9</v>
      </c>
      <c r="D49" t="s">
        <v>149</v>
      </c>
      <c r="E49" t="s">
        <v>150</v>
      </c>
      <c r="F49" t="s">
        <v>73</v>
      </c>
      <c r="G49" s="50" t="s">
        <v>151</v>
      </c>
    </row>
    <row r="50" spans="1:10" x14ac:dyDescent="0.25">
      <c r="A50" t="s">
        <v>70</v>
      </c>
      <c r="B50" s="49">
        <v>4</v>
      </c>
      <c r="C50" s="51">
        <f>715680+18374.4</f>
        <v>734054.40000000002</v>
      </c>
      <c r="D50" s="52" t="s">
        <v>152</v>
      </c>
      <c r="E50" s="52" t="s">
        <v>153</v>
      </c>
      <c r="F50" s="52" t="s">
        <v>52</v>
      </c>
      <c r="G50" s="53">
        <v>43465</v>
      </c>
      <c r="H50" s="52" t="s">
        <v>55</v>
      </c>
    </row>
    <row r="51" spans="1:10" x14ac:dyDescent="0.25">
      <c r="A51" t="s">
        <v>70</v>
      </c>
      <c r="B51" s="49">
        <v>4</v>
      </c>
      <c r="C51" s="51">
        <f>105700+2505.6</f>
        <v>108205.6</v>
      </c>
      <c r="D51" s="52" t="s">
        <v>154</v>
      </c>
      <c r="E51" s="52" t="s">
        <v>155</v>
      </c>
      <c r="F51" s="52" t="s">
        <v>52</v>
      </c>
      <c r="G51" s="53">
        <v>43465</v>
      </c>
      <c r="H51" s="52" t="s">
        <v>55</v>
      </c>
    </row>
    <row r="52" spans="1:10" x14ac:dyDescent="0.25">
      <c r="A52" t="s">
        <v>70</v>
      </c>
      <c r="B52" s="49">
        <v>4</v>
      </c>
      <c r="C52" s="51">
        <f>715680+18290.88</f>
        <v>733970.88</v>
      </c>
      <c r="D52" s="52" t="s">
        <v>156</v>
      </c>
      <c r="E52" s="52" t="s">
        <v>157</v>
      </c>
      <c r="F52" s="52" t="s">
        <v>52</v>
      </c>
      <c r="G52" s="53">
        <v>43465</v>
      </c>
      <c r="H52" s="52" t="s">
        <v>55</v>
      </c>
    </row>
    <row r="53" spans="1:10" x14ac:dyDescent="0.25">
      <c r="A53" t="s">
        <v>70</v>
      </c>
      <c r="B53" s="49">
        <v>4</v>
      </c>
      <c r="C53" s="51">
        <f>93800+2505.6</f>
        <v>96305.600000000006</v>
      </c>
      <c r="D53" s="52" t="s">
        <v>156</v>
      </c>
      <c r="E53" s="52" t="s">
        <v>158</v>
      </c>
      <c r="F53" s="52" t="s">
        <v>52</v>
      </c>
      <c r="G53" s="53">
        <v>43465</v>
      </c>
      <c r="H53" s="52" t="s">
        <v>55</v>
      </c>
    </row>
    <row r="54" spans="1:10" x14ac:dyDescent="0.25">
      <c r="A54" t="s">
        <v>70</v>
      </c>
      <c r="B54" s="49">
        <v>4</v>
      </c>
      <c r="C54" s="51">
        <f>655900+16704</f>
        <v>672604</v>
      </c>
      <c r="D54" s="52" t="s">
        <v>156</v>
      </c>
      <c r="E54" s="52" t="s">
        <v>159</v>
      </c>
      <c r="F54" s="52" t="s">
        <v>52</v>
      </c>
      <c r="G54" s="53">
        <v>43465</v>
      </c>
      <c r="H54" s="52" t="s">
        <v>55</v>
      </c>
    </row>
    <row r="55" spans="1:10" x14ac:dyDescent="0.25">
      <c r="A55" s="37" t="s">
        <v>89</v>
      </c>
      <c r="B55" s="49">
        <v>5</v>
      </c>
      <c r="C55" s="3"/>
    </row>
    <row r="56" spans="1:10" x14ac:dyDescent="0.25">
      <c r="A56" s="37" t="s">
        <v>90</v>
      </c>
      <c r="B56" s="49">
        <v>6</v>
      </c>
      <c r="C56" s="3"/>
    </row>
    <row r="57" spans="1:10" x14ac:dyDescent="0.25">
      <c r="A57" t="s">
        <v>91</v>
      </c>
      <c r="B57" s="49">
        <v>7</v>
      </c>
      <c r="C57" s="63"/>
      <c r="D57" s="64" t="s">
        <v>160</v>
      </c>
      <c r="E57" s="64"/>
      <c r="F57" s="64"/>
      <c r="G57" s="65">
        <v>20.7</v>
      </c>
      <c r="H57" s="64"/>
      <c r="I57" s="64"/>
      <c r="J57" s="64"/>
    </row>
    <row r="58" spans="1:10" x14ac:dyDescent="0.25">
      <c r="A58" t="s">
        <v>91</v>
      </c>
      <c r="B58" s="49">
        <v>7</v>
      </c>
      <c r="C58" s="3">
        <v>299109.18</v>
      </c>
      <c r="D58" t="s">
        <v>161</v>
      </c>
      <c r="E58" t="s">
        <v>162</v>
      </c>
      <c r="F58" t="s">
        <v>163</v>
      </c>
      <c r="G58" s="67">
        <v>35.5</v>
      </c>
    </row>
    <row r="59" spans="1:10" x14ac:dyDescent="0.25">
      <c r="A59" t="s">
        <v>91</v>
      </c>
      <c r="B59" s="49">
        <v>7</v>
      </c>
      <c r="C59" s="50">
        <f>667520+18374.4</f>
        <v>685894.4</v>
      </c>
      <c r="D59" t="s">
        <v>164</v>
      </c>
      <c r="E59" t="s">
        <v>165</v>
      </c>
      <c r="F59" t="s">
        <v>52</v>
      </c>
    </row>
    <row r="60" spans="1:10" x14ac:dyDescent="0.25">
      <c r="A60" t="s">
        <v>91</v>
      </c>
      <c r="B60" s="49">
        <v>7</v>
      </c>
      <c r="C60" s="50">
        <f>486640+13363.2</f>
        <v>500003.2</v>
      </c>
      <c r="D60" t="s">
        <v>164</v>
      </c>
      <c r="E60" t="s">
        <v>166</v>
      </c>
      <c r="F60" t="s">
        <v>52</v>
      </c>
    </row>
    <row r="61" spans="1:10" x14ac:dyDescent="0.25">
      <c r="A61" t="s">
        <v>91</v>
      </c>
      <c r="B61" s="49">
        <v>7</v>
      </c>
      <c r="C61" s="3">
        <f>542220+13279.68</f>
        <v>555499.68000000005</v>
      </c>
      <c r="D61" t="s">
        <v>167</v>
      </c>
      <c r="E61" t="s">
        <v>168</v>
      </c>
      <c r="F61" t="s">
        <v>52</v>
      </c>
    </row>
    <row r="62" spans="1:10" x14ac:dyDescent="0.25">
      <c r="A62" t="s">
        <v>91</v>
      </c>
      <c r="B62" s="49">
        <v>7</v>
      </c>
      <c r="C62" s="3">
        <f>778680+18290.88</f>
        <v>796970.88</v>
      </c>
      <c r="D62" t="s">
        <v>167</v>
      </c>
      <c r="E62" t="s">
        <v>169</v>
      </c>
      <c r="F62" t="s">
        <v>52</v>
      </c>
    </row>
    <row r="63" spans="1:10" x14ac:dyDescent="0.25">
      <c r="A63" t="s">
        <v>122</v>
      </c>
      <c r="B63" s="49">
        <v>8</v>
      </c>
      <c r="C63" s="3">
        <v>757010.8</v>
      </c>
      <c r="D63" t="s">
        <v>170</v>
      </c>
      <c r="E63" t="s">
        <v>171</v>
      </c>
      <c r="F63" t="s">
        <v>73</v>
      </c>
    </row>
    <row r="64" spans="1:10" x14ac:dyDescent="0.25">
      <c r="A64" t="s">
        <v>43</v>
      </c>
      <c r="B64" s="49">
        <v>9</v>
      </c>
      <c r="C64" s="51">
        <f>711760+18290.88</f>
        <v>730050.88</v>
      </c>
      <c r="D64" s="52" t="s">
        <v>172</v>
      </c>
      <c r="E64" s="52" t="s">
        <v>173</v>
      </c>
      <c r="F64" s="52" t="s">
        <v>52</v>
      </c>
      <c r="G64" s="53">
        <v>43465</v>
      </c>
      <c r="H64" s="52" t="s">
        <v>55</v>
      </c>
    </row>
    <row r="65" spans="1:9" x14ac:dyDescent="0.25">
      <c r="A65" t="s">
        <v>43</v>
      </c>
      <c r="B65" s="49">
        <v>9</v>
      </c>
      <c r="C65" s="3">
        <f>353640+9187.2</f>
        <v>362827.2</v>
      </c>
      <c r="D65" t="s">
        <v>174</v>
      </c>
      <c r="E65" t="s">
        <v>175</v>
      </c>
      <c r="F65" t="s">
        <v>52</v>
      </c>
    </row>
    <row r="66" spans="1:9" x14ac:dyDescent="0.25">
      <c r="A66" t="s">
        <v>59</v>
      </c>
      <c r="B66" s="49">
        <v>10</v>
      </c>
      <c r="C66" s="3">
        <f>728840+19126.08</f>
        <v>747966.08</v>
      </c>
      <c r="D66" t="s">
        <v>176</v>
      </c>
      <c r="E66" t="s">
        <v>177</v>
      </c>
      <c r="F66" t="s">
        <v>52</v>
      </c>
    </row>
    <row r="67" spans="1:9" x14ac:dyDescent="0.25">
      <c r="A67" t="s">
        <v>59</v>
      </c>
      <c r="B67" s="49">
        <v>10</v>
      </c>
      <c r="C67" s="3">
        <f>62720+1670.4</f>
        <v>64390.400000000001</v>
      </c>
      <c r="D67" t="s">
        <v>178</v>
      </c>
      <c r="E67" t="s">
        <v>179</v>
      </c>
      <c r="F67" t="s">
        <v>52</v>
      </c>
    </row>
    <row r="68" spans="1:9" x14ac:dyDescent="0.25">
      <c r="A68" t="s">
        <v>70</v>
      </c>
      <c r="B68" s="49">
        <v>11</v>
      </c>
      <c r="C68" s="3">
        <f>742840+18374.4</f>
        <v>761214.4</v>
      </c>
      <c r="D68" t="s">
        <v>180</v>
      </c>
      <c r="E68" t="s">
        <v>181</v>
      </c>
      <c r="F68" t="s">
        <v>52</v>
      </c>
    </row>
    <row r="69" spans="1:9" x14ac:dyDescent="0.25">
      <c r="A69" t="s">
        <v>70</v>
      </c>
      <c r="B69" s="49">
        <v>11</v>
      </c>
      <c r="C69" s="3">
        <f>190120+4320</f>
        <v>194440</v>
      </c>
      <c r="D69" t="s">
        <v>182</v>
      </c>
      <c r="E69" t="s">
        <v>183</v>
      </c>
      <c r="F69" t="s">
        <v>52</v>
      </c>
    </row>
    <row r="70" spans="1:9" x14ac:dyDescent="0.25">
      <c r="A70" t="s">
        <v>70</v>
      </c>
      <c r="B70" s="49">
        <v>11</v>
      </c>
      <c r="C70" s="3">
        <f>688940+18374.4</f>
        <v>707314.4</v>
      </c>
      <c r="D70" t="s">
        <v>184</v>
      </c>
      <c r="E70" t="s">
        <v>185</v>
      </c>
      <c r="F70" t="s">
        <v>52</v>
      </c>
      <c r="I70" s="62"/>
    </row>
    <row r="71" spans="1:9" x14ac:dyDescent="0.25">
      <c r="A71" t="s">
        <v>70</v>
      </c>
      <c r="B71" s="49">
        <v>11</v>
      </c>
      <c r="C71" s="3">
        <f>23015.57*G71</f>
        <v>476422.299</v>
      </c>
      <c r="D71" t="s">
        <v>186</v>
      </c>
      <c r="E71" t="s">
        <v>104</v>
      </c>
      <c r="F71" t="s">
        <v>105</v>
      </c>
      <c r="G71" s="50">
        <v>20.7</v>
      </c>
    </row>
    <row r="72" spans="1:9" x14ac:dyDescent="0.25">
      <c r="A72" s="37" t="s">
        <v>89</v>
      </c>
      <c r="B72" s="49">
        <v>12</v>
      </c>
      <c r="C72" s="3"/>
    </row>
    <row r="73" spans="1:9" x14ac:dyDescent="0.25">
      <c r="A73" s="37" t="s">
        <v>90</v>
      </c>
      <c r="B73" s="49">
        <v>13</v>
      </c>
      <c r="C73" s="3"/>
    </row>
    <row r="74" spans="1:9" x14ac:dyDescent="0.25">
      <c r="A74" t="s">
        <v>91</v>
      </c>
      <c r="B74" s="49">
        <v>14</v>
      </c>
      <c r="C74" s="3"/>
    </row>
    <row r="75" spans="1:9" x14ac:dyDescent="0.25">
      <c r="A75" t="s">
        <v>91</v>
      </c>
      <c r="B75" s="49">
        <v>14</v>
      </c>
      <c r="C75" s="3">
        <f>777980+19209.6</f>
        <v>797189.6</v>
      </c>
      <c r="D75" t="s">
        <v>187</v>
      </c>
      <c r="E75" t="s">
        <v>188</v>
      </c>
      <c r="F75" t="s">
        <v>52</v>
      </c>
    </row>
    <row r="76" spans="1:9" x14ac:dyDescent="0.25">
      <c r="A76" t="s">
        <v>91</v>
      </c>
      <c r="B76" s="49">
        <v>14</v>
      </c>
      <c r="C76" s="3">
        <f>661920+18374.4</f>
        <v>680294.40000000002</v>
      </c>
      <c r="D76" t="s">
        <v>189</v>
      </c>
      <c r="E76" t="s">
        <v>190</v>
      </c>
      <c r="F76" t="s">
        <v>52</v>
      </c>
    </row>
    <row r="77" spans="1:9" x14ac:dyDescent="0.25">
      <c r="A77" t="s">
        <v>91</v>
      </c>
      <c r="B77" s="49">
        <v>14</v>
      </c>
      <c r="C77" s="3">
        <f>625240+18290.88</f>
        <v>643530.88</v>
      </c>
      <c r="D77" t="s">
        <v>191</v>
      </c>
      <c r="E77" t="s">
        <v>192</v>
      </c>
      <c r="F77" t="s">
        <v>52</v>
      </c>
    </row>
    <row r="78" spans="1:9" x14ac:dyDescent="0.25">
      <c r="A78" t="s">
        <v>91</v>
      </c>
      <c r="B78" s="49">
        <v>14</v>
      </c>
      <c r="C78" s="3">
        <f>541100+13363.2</f>
        <v>554463.19999999995</v>
      </c>
      <c r="D78" t="s">
        <v>193</v>
      </c>
      <c r="E78" t="s">
        <v>194</v>
      </c>
      <c r="F78" t="s">
        <v>52</v>
      </c>
    </row>
    <row r="79" spans="1:9" x14ac:dyDescent="0.25">
      <c r="A79" t="s">
        <v>122</v>
      </c>
      <c r="B79" s="49">
        <v>15</v>
      </c>
      <c r="C79" s="3"/>
    </row>
    <row r="91" spans="1:10" x14ac:dyDescent="0.25">
      <c r="A91" t="s">
        <v>2113</v>
      </c>
    </row>
    <row r="92" spans="1:10" x14ac:dyDescent="0.25">
      <c r="A92" t="s">
        <v>91</v>
      </c>
      <c r="B92" s="49">
        <v>28</v>
      </c>
      <c r="C92" s="54">
        <f>24000*G92</f>
        <v>479544.00000000006</v>
      </c>
      <c r="D92" s="55" t="s">
        <v>1899</v>
      </c>
      <c r="E92" s="55" t="s">
        <v>2095</v>
      </c>
      <c r="F92" s="55" t="s">
        <v>1660</v>
      </c>
      <c r="G92" s="56">
        <v>19.981000000000002</v>
      </c>
      <c r="H92" s="55"/>
      <c r="I92" s="57">
        <v>43493</v>
      </c>
      <c r="J92" s="55" t="s">
        <v>62</v>
      </c>
    </row>
    <row r="93" spans="1:10" x14ac:dyDescent="0.25">
      <c r="A93" t="s">
        <v>43</v>
      </c>
      <c r="B93" s="49">
        <v>30</v>
      </c>
      <c r="C93" s="54">
        <f>22000*G93</f>
        <v>420552</v>
      </c>
      <c r="D93" s="55" t="s">
        <v>1978</v>
      </c>
      <c r="E93" s="55"/>
      <c r="F93" s="55" t="s">
        <v>1659</v>
      </c>
      <c r="G93" s="56">
        <v>19.116</v>
      </c>
      <c r="H93" s="55"/>
      <c r="I93" s="57">
        <v>43495</v>
      </c>
      <c r="J93" s="55" t="s">
        <v>62</v>
      </c>
    </row>
    <row r="94" spans="1:10" x14ac:dyDescent="0.25">
      <c r="A94" t="s">
        <v>43</v>
      </c>
      <c r="B94" s="49">
        <v>30</v>
      </c>
      <c r="C94" s="54">
        <f>22000*G94</f>
        <v>420552</v>
      </c>
      <c r="D94" s="55" t="s">
        <v>1979</v>
      </c>
      <c r="E94" s="55"/>
      <c r="F94" s="55" t="s">
        <v>1659</v>
      </c>
      <c r="G94" s="56">
        <v>19.116</v>
      </c>
      <c r="H94" s="55"/>
      <c r="I94" s="57">
        <v>43495</v>
      </c>
      <c r="J94" s="55" t="s">
        <v>62</v>
      </c>
    </row>
    <row r="95" spans="1:10" x14ac:dyDescent="0.25">
      <c r="A95" t="s">
        <v>59</v>
      </c>
      <c r="B95" s="49">
        <v>31</v>
      </c>
      <c r="C95" s="54">
        <f>22000*G95</f>
        <v>418836</v>
      </c>
      <c r="D95" s="55" t="s">
        <v>1980</v>
      </c>
      <c r="E95" s="55"/>
      <c r="F95" s="55" t="s">
        <v>1659</v>
      </c>
      <c r="G95" s="56">
        <v>19.038</v>
      </c>
      <c r="H95" s="55"/>
      <c r="I95" s="57">
        <v>43496</v>
      </c>
      <c r="J95" s="55" t="s">
        <v>62</v>
      </c>
    </row>
    <row r="96" spans="1:10" x14ac:dyDescent="0.25">
      <c r="A96" t="s">
        <v>59</v>
      </c>
      <c r="B96" s="49">
        <v>31</v>
      </c>
      <c r="C96" s="3">
        <v>31842</v>
      </c>
      <c r="D96" t="s">
        <v>2011</v>
      </c>
      <c r="E96" t="s">
        <v>2008</v>
      </c>
      <c r="F96" t="s">
        <v>87</v>
      </c>
      <c r="G96" s="67">
        <v>18.3</v>
      </c>
      <c r="I96" s="72"/>
    </row>
    <row r="97" spans="1:9" x14ac:dyDescent="0.25">
      <c r="A97" s="61" t="s">
        <v>1772</v>
      </c>
      <c r="C97" s="3"/>
    </row>
    <row r="98" spans="1:9" x14ac:dyDescent="0.25">
      <c r="A98" t="s">
        <v>70</v>
      </c>
      <c r="B98" s="49">
        <v>1</v>
      </c>
      <c r="C98" s="3">
        <v>34023.360000000001</v>
      </c>
      <c r="D98" t="s">
        <v>2013</v>
      </c>
      <c r="E98" t="s">
        <v>2012</v>
      </c>
      <c r="F98" t="s">
        <v>87</v>
      </c>
      <c r="G98">
        <v>18.3</v>
      </c>
    </row>
    <row r="99" spans="1:9" x14ac:dyDescent="0.25">
      <c r="A99" s="61" t="s">
        <v>70</v>
      </c>
      <c r="B99" s="49">
        <v>1</v>
      </c>
      <c r="C99" s="3">
        <v>141304.46</v>
      </c>
      <c r="D99" t="s">
        <v>2010</v>
      </c>
      <c r="E99" t="s">
        <v>2106</v>
      </c>
      <c r="F99" t="s">
        <v>1798</v>
      </c>
      <c r="G99">
        <v>61.8</v>
      </c>
      <c r="I99" s="62"/>
    </row>
    <row r="100" spans="1:9" x14ac:dyDescent="0.25">
      <c r="A100" s="61" t="s">
        <v>70</v>
      </c>
      <c r="B100" s="49">
        <v>1</v>
      </c>
      <c r="C100" s="3">
        <v>34166.1</v>
      </c>
      <c r="D100" t="s">
        <v>2013</v>
      </c>
      <c r="E100" t="s">
        <v>2014</v>
      </c>
      <c r="F100" t="s">
        <v>87</v>
      </c>
      <c r="G100">
        <v>18.3</v>
      </c>
    </row>
    <row r="101" spans="1:9" x14ac:dyDescent="0.25">
      <c r="C101" s="3"/>
    </row>
    <row r="102" spans="1:9" x14ac:dyDescent="0.25">
      <c r="C102" s="3"/>
    </row>
    <row r="103" spans="1:9" x14ac:dyDescent="0.25">
      <c r="A103" s="37" t="s">
        <v>89</v>
      </c>
      <c r="B103" s="49">
        <v>2</v>
      </c>
      <c r="C103" s="3"/>
    </row>
    <row r="104" spans="1:9" x14ac:dyDescent="0.25">
      <c r="A104" s="37" t="s">
        <v>90</v>
      </c>
      <c r="B104" s="49">
        <v>3</v>
      </c>
      <c r="C104" s="3"/>
    </row>
    <row r="105" spans="1:9" x14ac:dyDescent="0.25">
      <c r="A105" t="s">
        <v>91</v>
      </c>
      <c r="B105" s="49">
        <v>4</v>
      </c>
      <c r="C105" s="51">
        <f>698490+18374.4</f>
        <v>716864.4</v>
      </c>
      <c r="D105" s="52" t="s">
        <v>1966</v>
      </c>
      <c r="E105" s="52" t="s">
        <v>1967</v>
      </c>
      <c r="F105" s="52" t="s">
        <v>52</v>
      </c>
      <c r="G105" s="53">
        <v>43496</v>
      </c>
      <c r="H105" s="52" t="s">
        <v>55</v>
      </c>
    </row>
    <row r="106" spans="1:9" x14ac:dyDescent="0.25">
      <c r="A106" t="s">
        <v>91</v>
      </c>
      <c r="B106" s="49">
        <v>4</v>
      </c>
      <c r="C106" s="51">
        <f>520830+13363.2</f>
        <v>534193.19999999995</v>
      </c>
      <c r="D106" s="52" t="s">
        <v>1966</v>
      </c>
      <c r="E106" s="52" t="s">
        <v>1908</v>
      </c>
      <c r="F106" s="52" t="s">
        <v>52</v>
      </c>
      <c r="G106" s="53">
        <v>43495</v>
      </c>
      <c r="H106" s="52" t="s">
        <v>55</v>
      </c>
    </row>
    <row r="107" spans="1:9" x14ac:dyDescent="0.25">
      <c r="A107" t="s">
        <v>91</v>
      </c>
      <c r="B107" s="49">
        <v>4</v>
      </c>
      <c r="C107" s="51">
        <f>567135+16620.48</f>
        <v>583755.48</v>
      </c>
      <c r="D107" s="52" t="s">
        <v>2018</v>
      </c>
      <c r="E107" s="52" t="s">
        <v>2019</v>
      </c>
      <c r="F107" s="52" t="s">
        <v>52</v>
      </c>
      <c r="G107" s="53">
        <v>43496</v>
      </c>
      <c r="H107" s="52" t="s">
        <v>55</v>
      </c>
    </row>
    <row r="108" spans="1:9" x14ac:dyDescent="0.25">
      <c r="A108" t="s">
        <v>91</v>
      </c>
      <c r="B108" s="49">
        <v>4</v>
      </c>
      <c r="C108" s="3">
        <f>378945+10857.6</f>
        <v>389802.6</v>
      </c>
      <c r="D108" t="s">
        <v>2021</v>
      </c>
      <c r="E108" t="s">
        <v>2020</v>
      </c>
      <c r="F108" t="s">
        <v>52</v>
      </c>
    </row>
    <row r="109" spans="1:9" x14ac:dyDescent="0.25">
      <c r="A109" t="s">
        <v>91</v>
      </c>
      <c r="B109" s="49">
        <v>4</v>
      </c>
      <c r="C109" s="3">
        <v>193512.95999999999</v>
      </c>
      <c r="D109" t="s">
        <v>2017</v>
      </c>
      <c r="E109" t="s">
        <v>2016</v>
      </c>
      <c r="F109" t="s">
        <v>1798</v>
      </c>
      <c r="G109">
        <v>64</v>
      </c>
    </row>
    <row r="110" spans="1:9" x14ac:dyDescent="0.25">
      <c r="A110" t="s">
        <v>122</v>
      </c>
      <c r="B110" s="49">
        <v>5</v>
      </c>
      <c r="C110" s="3">
        <f>573345+16704</f>
        <v>590049</v>
      </c>
      <c r="D110" t="s">
        <v>2022</v>
      </c>
      <c r="E110" t="s">
        <v>1947</v>
      </c>
      <c r="F110" t="s">
        <v>52</v>
      </c>
    </row>
    <row r="111" spans="1:9" x14ac:dyDescent="0.25">
      <c r="A111" t="s">
        <v>122</v>
      </c>
      <c r="B111" s="49">
        <v>5</v>
      </c>
      <c r="C111" s="51">
        <f>710910+18290.88</f>
        <v>729200.88</v>
      </c>
      <c r="D111" s="52" t="s">
        <v>2023</v>
      </c>
      <c r="E111" s="52" t="s">
        <v>2024</v>
      </c>
      <c r="F111" s="52" t="s">
        <v>52</v>
      </c>
      <c r="G111" s="53">
        <v>43496</v>
      </c>
      <c r="H111" s="52" t="s">
        <v>55</v>
      </c>
    </row>
    <row r="112" spans="1:9" x14ac:dyDescent="0.25">
      <c r="A112" t="s">
        <v>122</v>
      </c>
      <c r="B112" s="49">
        <v>5</v>
      </c>
      <c r="C112" s="51">
        <f>96525+2505.6</f>
        <v>99030.6</v>
      </c>
      <c r="D112" s="52" t="s">
        <v>2023</v>
      </c>
      <c r="E112" s="52" t="s">
        <v>2025</v>
      </c>
      <c r="F112" s="52" t="s">
        <v>52</v>
      </c>
      <c r="G112" s="53">
        <v>43496</v>
      </c>
      <c r="H112" s="52" t="s">
        <v>55</v>
      </c>
    </row>
    <row r="113" spans="1:7" x14ac:dyDescent="0.25">
      <c r="A113" t="s">
        <v>43</v>
      </c>
      <c r="B113" s="49">
        <v>6</v>
      </c>
      <c r="C113" s="3">
        <f>536490+16704</f>
        <v>553194</v>
      </c>
      <c r="D113" t="s">
        <v>2026</v>
      </c>
      <c r="E113" t="s">
        <v>1957</v>
      </c>
      <c r="F113" t="s">
        <v>52</v>
      </c>
    </row>
    <row r="114" spans="1:7" x14ac:dyDescent="0.25">
      <c r="A114" t="s">
        <v>43</v>
      </c>
      <c r="B114" s="49">
        <v>6</v>
      </c>
      <c r="C114" s="3">
        <f>560655+15033.6</f>
        <v>575688.6</v>
      </c>
      <c r="D114" t="s">
        <v>2027</v>
      </c>
      <c r="E114" t="s">
        <v>1958</v>
      </c>
      <c r="F114" t="s">
        <v>52</v>
      </c>
    </row>
    <row r="115" spans="1:7" x14ac:dyDescent="0.25">
      <c r="A115" t="s">
        <v>59</v>
      </c>
      <c r="B115" s="49">
        <v>7</v>
      </c>
      <c r="C115" s="3">
        <v>23116.080000000002</v>
      </c>
      <c r="D115" t="s">
        <v>2100</v>
      </c>
      <c r="E115" t="s">
        <v>2099</v>
      </c>
      <c r="F115" t="s">
        <v>2101</v>
      </c>
      <c r="G115" s="67">
        <v>186</v>
      </c>
    </row>
    <row r="116" spans="1:7" x14ac:dyDescent="0.25">
      <c r="A116" t="s">
        <v>59</v>
      </c>
      <c r="B116" s="49">
        <v>7</v>
      </c>
      <c r="C116" s="3">
        <f>378810+10857.6</f>
        <v>389667.6</v>
      </c>
      <c r="D116" t="s">
        <v>2028</v>
      </c>
      <c r="E116" t="s">
        <v>1961</v>
      </c>
      <c r="F116" t="s">
        <v>52</v>
      </c>
    </row>
    <row r="117" spans="1:7" x14ac:dyDescent="0.25">
      <c r="A117" t="s">
        <v>70</v>
      </c>
      <c r="B117" s="49">
        <v>8</v>
      </c>
      <c r="C117" s="3">
        <v>1578776.13</v>
      </c>
      <c r="D117" t="s">
        <v>1924</v>
      </c>
      <c r="E117" t="s">
        <v>1923</v>
      </c>
      <c r="F117" t="s">
        <v>1925</v>
      </c>
      <c r="G117">
        <v>92.5</v>
      </c>
    </row>
    <row r="118" spans="1:7" x14ac:dyDescent="0.25">
      <c r="A118" s="37" t="s">
        <v>89</v>
      </c>
      <c r="B118" s="49">
        <v>9</v>
      </c>
      <c r="C118" s="3"/>
    </row>
    <row r="119" spans="1:7" x14ac:dyDescent="0.25">
      <c r="A119" s="37" t="s">
        <v>90</v>
      </c>
      <c r="B119" s="49">
        <v>10</v>
      </c>
      <c r="C119" s="3"/>
    </row>
    <row r="120" spans="1:7" x14ac:dyDescent="0.25">
      <c r="A120" t="s">
        <v>91</v>
      </c>
      <c r="B120" s="49">
        <v>11</v>
      </c>
      <c r="C120" s="3">
        <f>654020+16704</f>
        <v>670724</v>
      </c>
      <c r="D120" t="s">
        <v>2029</v>
      </c>
      <c r="E120" t="s">
        <v>1990</v>
      </c>
      <c r="F120" t="s">
        <v>52</v>
      </c>
    </row>
    <row r="121" spans="1:7" x14ac:dyDescent="0.25">
      <c r="A121" t="s">
        <v>91</v>
      </c>
      <c r="B121" s="49">
        <v>11</v>
      </c>
      <c r="C121" s="3">
        <f>366627.5+10857.6</f>
        <v>377485.1</v>
      </c>
      <c r="D121" t="s">
        <v>2030</v>
      </c>
      <c r="E121" t="s">
        <v>1991</v>
      </c>
      <c r="F121" t="s">
        <v>52</v>
      </c>
    </row>
    <row r="122" spans="1:7" x14ac:dyDescent="0.25">
      <c r="A122" t="s">
        <v>91</v>
      </c>
      <c r="B122" s="49">
        <v>11</v>
      </c>
      <c r="C122" s="3">
        <f>665150+16704</f>
        <v>681854</v>
      </c>
      <c r="D122" t="s">
        <v>2031</v>
      </c>
      <c r="E122" t="s">
        <v>2032</v>
      </c>
      <c r="F122" t="s">
        <v>52</v>
      </c>
    </row>
    <row r="123" spans="1:7" x14ac:dyDescent="0.25">
      <c r="A123" t="s">
        <v>91</v>
      </c>
      <c r="B123" s="49">
        <v>11</v>
      </c>
      <c r="C123" s="3">
        <f>134885+4176</f>
        <v>139061</v>
      </c>
      <c r="D123" t="s">
        <v>2034</v>
      </c>
      <c r="E123" t="s">
        <v>2033</v>
      </c>
      <c r="F123" t="s">
        <v>52</v>
      </c>
    </row>
    <row r="124" spans="1:7" x14ac:dyDescent="0.25">
      <c r="A124" t="s">
        <v>122</v>
      </c>
      <c r="B124" s="49">
        <v>12</v>
      </c>
      <c r="C124" s="3">
        <f>614800+16620.48</f>
        <v>631420.48</v>
      </c>
      <c r="D124" t="s">
        <v>2072</v>
      </c>
      <c r="E124" t="s">
        <v>2069</v>
      </c>
      <c r="F124" t="s">
        <v>52</v>
      </c>
    </row>
    <row r="125" spans="1:7" x14ac:dyDescent="0.25">
      <c r="A125" t="s">
        <v>122</v>
      </c>
      <c r="B125" s="49">
        <v>12</v>
      </c>
      <c r="C125" s="3">
        <f>144557.5+4176</f>
        <v>148733.5</v>
      </c>
      <c r="D125" t="s">
        <v>2071</v>
      </c>
      <c r="E125" t="s">
        <v>2070</v>
      </c>
      <c r="F125" t="s">
        <v>52</v>
      </c>
    </row>
    <row r="126" spans="1:7" x14ac:dyDescent="0.25">
      <c r="A126" t="s">
        <v>122</v>
      </c>
      <c r="B126" s="49">
        <v>12</v>
      </c>
      <c r="C126" s="3">
        <f>607380+16704</f>
        <v>624084</v>
      </c>
      <c r="D126" t="s">
        <v>2073</v>
      </c>
      <c r="E126" t="s">
        <v>2051</v>
      </c>
      <c r="F126" t="s">
        <v>52</v>
      </c>
    </row>
    <row r="127" spans="1:7" x14ac:dyDescent="0.25">
      <c r="A127" t="s">
        <v>122</v>
      </c>
      <c r="B127" s="49">
        <v>23</v>
      </c>
      <c r="C127" s="3">
        <f>369807.5+10857.6</f>
        <v>380665.1</v>
      </c>
      <c r="D127" t="s">
        <v>2074</v>
      </c>
      <c r="E127" t="s">
        <v>2052</v>
      </c>
      <c r="F127" t="s">
        <v>52</v>
      </c>
    </row>
    <row r="128" spans="1:7" x14ac:dyDescent="0.25">
      <c r="A128" t="s">
        <v>43</v>
      </c>
      <c r="B128" s="49">
        <v>13</v>
      </c>
      <c r="C128" s="3">
        <f>643155+16620.48</f>
        <v>659775.48</v>
      </c>
      <c r="D128" t="s">
        <v>2077</v>
      </c>
      <c r="E128" t="s">
        <v>2078</v>
      </c>
      <c r="F128" t="s">
        <v>52</v>
      </c>
    </row>
    <row r="129" spans="1:6" x14ac:dyDescent="0.25">
      <c r="A129" t="s">
        <v>43</v>
      </c>
      <c r="B129" s="49">
        <v>13</v>
      </c>
      <c r="C129" s="3">
        <f>458052.5+15033.6</f>
        <v>473086.1</v>
      </c>
      <c r="D129" t="s">
        <v>2079</v>
      </c>
      <c r="E129" t="s">
        <v>2075</v>
      </c>
      <c r="F129" t="s">
        <v>52</v>
      </c>
    </row>
    <row r="130" spans="1:6" x14ac:dyDescent="0.25">
      <c r="A130" t="s">
        <v>70</v>
      </c>
      <c r="B130" s="49">
        <v>15</v>
      </c>
      <c r="C130" s="3"/>
    </row>
    <row r="131" spans="1:6" x14ac:dyDescent="0.25">
      <c r="A131" s="37" t="s">
        <v>89</v>
      </c>
      <c r="B131" s="49">
        <v>16</v>
      </c>
      <c r="C131" s="3"/>
    </row>
    <row r="132" spans="1:6" x14ac:dyDescent="0.25">
      <c r="A132" s="37" t="s">
        <v>90</v>
      </c>
      <c r="B132" s="49">
        <v>17</v>
      </c>
      <c r="C132" s="3"/>
    </row>
    <row r="136" spans="1:6" x14ac:dyDescent="0.25">
      <c r="C136" s="62">
        <f>C92+C93+C94+C95</f>
        <v>1739484</v>
      </c>
      <c r="D136" t="s">
        <v>2114</v>
      </c>
    </row>
    <row r="137" spans="1:6" x14ac:dyDescent="0.25">
      <c r="C137" s="62">
        <f>C109+C115+C117</f>
        <v>1795405.17</v>
      </c>
      <c r="D137" t="s">
        <v>2115</v>
      </c>
    </row>
    <row r="138" spans="1:6" x14ac:dyDescent="0.25">
      <c r="C138" s="149">
        <f>C136-C137</f>
        <v>-55921.169999999925</v>
      </c>
      <c r="D138" s="46" t="s">
        <v>2118</v>
      </c>
    </row>
    <row r="142" spans="1:6" x14ac:dyDescent="0.25">
      <c r="C142" s="62">
        <f>C108+C110+C113+C114+C116+C120+C121+C122+C123+C124+C125+C126+C127+C128+C129</f>
        <v>7285290.5600000005</v>
      </c>
      <c r="D142" t="s">
        <v>2116</v>
      </c>
    </row>
    <row r="143" spans="1:6" x14ac:dyDescent="0.25">
      <c r="C143" s="149">
        <f>C141-C142</f>
        <v>-7285290.5600000005</v>
      </c>
      <c r="D143" s="46" t="s">
        <v>2117</v>
      </c>
    </row>
    <row r="145" spans="1:15" x14ac:dyDescent="0.25">
      <c r="C145" s="54">
        <v>3302176</v>
      </c>
      <c r="D145" s="55" t="s">
        <v>2119</v>
      </c>
      <c r="E145" s="55"/>
    </row>
    <row r="146" spans="1:15" x14ac:dyDescent="0.25">
      <c r="D146" t="s">
        <v>2120</v>
      </c>
    </row>
    <row r="147" spans="1:15" x14ac:dyDescent="0.25">
      <c r="D147" t="s">
        <v>2121</v>
      </c>
    </row>
    <row r="149" spans="1:15" x14ac:dyDescent="0.25">
      <c r="D149" t="s">
        <v>2122</v>
      </c>
    </row>
    <row r="154" spans="1:15" x14ac:dyDescent="0.25">
      <c r="A154" t="s">
        <v>2523</v>
      </c>
    </row>
    <row r="155" spans="1:15" x14ac:dyDescent="0.25">
      <c r="A155" s="48" t="s">
        <v>91</v>
      </c>
      <c r="B155" s="49">
        <v>4</v>
      </c>
      <c r="C155" s="3">
        <v>1106691.93</v>
      </c>
      <c r="D155" t="s">
        <v>2369</v>
      </c>
      <c r="E155" t="s">
        <v>2366</v>
      </c>
      <c r="F155" t="s">
        <v>1798</v>
      </c>
      <c r="G155" s="67">
        <v>59.8</v>
      </c>
    </row>
    <row r="156" spans="1:15" x14ac:dyDescent="0.25">
      <c r="A156" t="s">
        <v>91</v>
      </c>
      <c r="B156" s="49">
        <v>4</v>
      </c>
      <c r="C156" s="51">
        <f>602610+16704-3013.05</f>
        <v>616300.94999999995</v>
      </c>
      <c r="D156" s="52" t="s">
        <v>2427</v>
      </c>
      <c r="E156" s="52" t="s">
        <v>2428</v>
      </c>
      <c r="F156" s="52" t="s">
        <v>52</v>
      </c>
      <c r="G156" s="53">
        <v>43524</v>
      </c>
      <c r="H156" s="52" t="s">
        <v>55</v>
      </c>
    </row>
    <row r="157" spans="1:15" x14ac:dyDescent="0.25">
      <c r="A157" t="s">
        <v>91</v>
      </c>
      <c r="B157" s="49">
        <v>4</v>
      </c>
      <c r="C157" s="51">
        <f>417905+10857.6</f>
        <v>428762.6</v>
      </c>
      <c r="D157" s="52" t="s">
        <v>2429</v>
      </c>
      <c r="E157" s="52" t="s">
        <v>2376</v>
      </c>
      <c r="F157" s="52" t="s">
        <v>52</v>
      </c>
      <c r="G157" s="53">
        <v>43524</v>
      </c>
      <c r="H157" s="52" t="s">
        <v>55</v>
      </c>
      <c r="I157" s="52"/>
      <c r="K157" s="48" t="s">
        <v>2489</v>
      </c>
      <c r="L157" s="48"/>
      <c r="M157" s="48"/>
      <c r="N157" s="48"/>
      <c r="O157" s="48"/>
    </row>
    <row r="158" spans="1:15" x14ac:dyDescent="0.25">
      <c r="A158" t="s">
        <v>91</v>
      </c>
      <c r="B158" s="49">
        <v>4</v>
      </c>
      <c r="C158" s="51">
        <f>647262.5+18374.4</f>
        <v>665636.9</v>
      </c>
      <c r="D158" s="52" t="s">
        <v>2430</v>
      </c>
      <c r="E158" s="52" t="s">
        <v>2431</v>
      </c>
      <c r="F158" s="52" t="s">
        <v>52</v>
      </c>
      <c r="G158" s="53">
        <v>43524</v>
      </c>
      <c r="H158" s="52" t="s">
        <v>55</v>
      </c>
    </row>
    <row r="159" spans="1:15" x14ac:dyDescent="0.25">
      <c r="A159" t="s">
        <v>91</v>
      </c>
      <c r="B159" s="49">
        <v>4</v>
      </c>
      <c r="C159" s="51">
        <f>92220+2505.6</f>
        <v>94725.6</v>
      </c>
      <c r="D159" s="52" t="s">
        <v>2433</v>
      </c>
      <c r="E159" s="52" t="s">
        <v>2432</v>
      </c>
      <c r="F159" s="52" t="s">
        <v>52</v>
      </c>
      <c r="G159" s="53">
        <v>43524</v>
      </c>
      <c r="H159" s="52" t="s">
        <v>55</v>
      </c>
    </row>
    <row r="160" spans="1:15" x14ac:dyDescent="0.25">
      <c r="A160" t="s">
        <v>91</v>
      </c>
      <c r="B160" s="49">
        <v>4</v>
      </c>
      <c r="C160" s="3">
        <v>59058</v>
      </c>
      <c r="D160" t="s">
        <v>2456</v>
      </c>
      <c r="E160" t="s">
        <v>2457</v>
      </c>
      <c r="F160" t="s">
        <v>87</v>
      </c>
    </row>
    <row r="161" spans="1:10" x14ac:dyDescent="0.25">
      <c r="A161" t="s">
        <v>122</v>
      </c>
      <c r="B161" s="49">
        <v>5</v>
      </c>
      <c r="C161" s="3">
        <f>605525+16704</f>
        <v>622229</v>
      </c>
      <c r="D161" t="s">
        <v>2434</v>
      </c>
      <c r="E161" t="s">
        <v>2435</v>
      </c>
      <c r="F161" t="s">
        <v>52</v>
      </c>
    </row>
    <row r="162" spans="1:10" x14ac:dyDescent="0.25">
      <c r="A162" t="s">
        <v>122</v>
      </c>
      <c r="B162" s="49">
        <v>5</v>
      </c>
      <c r="C162" s="50">
        <f>662235+18374.4</f>
        <v>680609.4</v>
      </c>
      <c r="D162" t="s">
        <v>2437</v>
      </c>
      <c r="E162" t="s">
        <v>2436</v>
      </c>
      <c r="F162" t="s">
        <v>52</v>
      </c>
    </row>
    <row r="163" spans="1:10" x14ac:dyDescent="0.25">
      <c r="A163" t="s">
        <v>122</v>
      </c>
      <c r="B163" s="49">
        <v>5</v>
      </c>
      <c r="C163" s="3">
        <f>102820+2505.6-3418.5</f>
        <v>101907.1</v>
      </c>
      <c r="D163" t="s">
        <v>2438</v>
      </c>
      <c r="E163" t="s">
        <v>2439</v>
      </c>
      <c r="F163" t="s">
        <v>52</v>
      </c>
    </row>
    <row r="164" spans="1:10" x14ac:dyDescent="0.25">
      <c r="A164" t="s">
        <v>43</v>
      </c>
      <c r="B164" s="49">
        <v>6</v>
      </c>
      <c r="C164" s="63"/>
      <c r="D164" s="64"/>
      <c r="E164" s="64"/>
      <c r="F164" s="64"/>
      <c r="G164" s="65">
        <v>19.5</v>
      </c>
      <c r="H164" s="64"/>
      <c r="I164" s="64"/>
      <c r="J164" s="64"/>
    </row>
    <row r="165" spans="1:10" x14ac:dyDescent="0.25">
      <c r="A165" t="s">
        <v>43</v>
      </c>
      <c r="B165" s="49">
        <v>6</v>
      </c>
      <c r="C165" s="63"/>
      <c r="D165" s="64"/>
      <c r="E165" s="64"/>
      <c r="F165" s="64"/>
      <c r="G165" s="65">
        <v>19.5</v>
      </c>
      <c r="H165" s="64"/>
      <c r="I165" s="64"/>
      <c r="J165" s="64"/>
    </row>
    <row r="166" spans="1:10" x14ac:dyDescent="0.25">
      <c r="A166" t="s">
        <v>43</v>
      </c>
      <c r="B166" s="49">
        <v>6</v>
      </c>
      <c r="C166" s="3"/>
      <c r="D166" t="s">
        <v>2518</v>
      </c>
      <c r="G166" s="67"/>
    </row>
    <row r="167" spans="1:10" x14ac:dyDescent="0.25">
      <c r="A167" t="s">
        <v>43</v>
      </c>
      <c r="B167" s="49">
        <v>6</v>
      </c>
      <c r="C167" s="50">
        <f>599430+16787.52</f>
        <v>616217.52</v>
      </c>
      <c r="D167" t="s">
        <v>2440</v>
      </c>
      <c r="E167" t="s">
        <v>2403</v>
      </c>
      <c r="F167" t="s">
        <v>52</v>
      </c>
    </row>
    <row r="168" spans="1:10" x14ac:dyDescent="0.25">
      <c r="A168" t="s">
        <v>43</v>
      </c>
      <c r="B168" s="49">
        <v>6</v>
      </c>
      <c r="C168" s="3">
        <f>446657.5+10857.6</f>
        <v>457515.1</v>
      </c>
      <c r="D168" t="s">
        <v>2441</v>
      </c>
      <c r="E168" t="s">
        <v>2404</v>
      </c>
      <c r="F168" t="s">
        <v>52</v>
      </c>
    </row>
    <row r="169" spans="1:10" x14ac:dyDescent="0.25">
      <c r="A169" t="s">
        <v>59</v>
      </c>
      <c r="B169" s="49">
        <v>7</v>
      </c>
      <c r="C169" s="63"/>
      <c r="D169" s="64"/>
      <c r="E169" s="64"/>
      <c r="F169" s="64"/>
      <c r="G169" s="65">
        <v>19.5</v>
      </c>
      <c r="H169" s="64"/>
      <c r="I169" s="64"/>
      <c r="J169" s="64"/>
    </row>
    <row r="170" spans="1:10" x14ac:dyDescent="0.25">
      <c r="A170" t="s">
        <v>59</v>
      </c>
      <c r="B170" s="49">
        <v>7</v>
      </c>
      <c r="C170" s="3">
        <f>407967.5+10857.6</f>
        <v>418825.1</v>
      </c>
      <c r="D170" t="s">
        <v>2442</v>
      </c>
      <c r="E170" t="s">
        <v>2405</v>
      </c>
      <c r="F170" t="s">
        <v>52</v>
      </c>
    </row>
    <row r="171" spans="1:10" x14ac:dyDescent="0.25">
      <c r="A171" t="s">
        <v>59</v>
      </c>
      <c r="B171" s="49">
        <v>7</v>
      </c>
      <c r="C171" s="3">
        <v>44200</v>
      </c>
      <c r="D171" t="s">
        <v>2550</v>
      </c>
      <c r="E171" t="s">
        <v>2562</v>
      </c>
      <c r="F171" t="s">
        <v>87</v>
      </c>
      <c r="G171" s="67">
        <v>17</v>
      </c>
    </row>
    <row r="172" spans="1:10" x14ac:dyDescent="0.25">
      <c r="A172" t="s">
        <v>59</v>
      </c>
      <c r="B172" s="49">
        <v>7</v>
      </c>
      <c r="C172" s="3">
        <v>673297.92000000004</v>
      </c>
      <c r="D172" t="s">
        <v>2560</v>
      </c>
      <c r="E172" t="s">
        <v>2561</v>
      </c>
      <c r="F172" t="s">
        <v>1804</v>
      </c>
      <c r="G172">
        <v>96</v>
      </c>
    </row>
    <row r="173" spans="1:10" x14ac:dyDescent="0.25">
      <c r="A173" t="s">
        <v>70</v>
      </c>
      <c r="B173" s="49">
        <v>8</v>
      </c>
      <c r="C173" s="3"/>
      <c r="G173" s="65">
        <v>19.5</v>
      </c>
    </row>
    <row r="174" spans="1:10" x14ac:dyDescent="0.25">
      <c r="A174" t="s">
        <v>70</v>
      </c>
      <c r="B174" s="49">
        <v>8</v>
      </c>
      <c r="C174" s="3"/>
      <c r="D174" t="s">
        <v>2156</v>
      </c>
    </row>
    <row r="175" spans="1:10" x14ac:dyDescent="0.25">
      <c r="A175" s="37" t="s">
        <v>89</v>
      </c>
      <c r="B175" s="49">
        <v>9</v>
      </c>
      <c r="C175" s="3"/>
    </row>
    <row r="176" spans="1:10" x14ac:dyDescent="0.25">
      <c r="A176" s="37" t="s">
        <v>90</v>
      </c>
      <c r="B176" s="49">
        <v>10</v>
      </c>
      <c r="C176" s="3"/>
      <c r="F176" s="64"/>
      <c r="G176" s="65">
        <v>19.5</v>
      </c>
      <c r="H176" s="64"/>
      <c r="I176" s="64"/>
      <c r="J176" s="64"/>
    </row>
    <row r="177" spans="1:6" x14ac:dyDescent="0.25">
      <c r="A177" t="s">
        <v>91</v>
      </c>
      <c r="B177" s="49">
        <v>11</v>
      </c>
      <c r="C177" s="63"/>
      <c r="D177" s="64"/>
      <c r="E177" s="64"/>
      <c r="F177" t="s">
        <v>52</v>
      </c>
    </row>
    <row r="178" spans="1:6" x14ac:dyDescent="0.25">
      <c r="A178" t="s">
        <v>91</v>
      </c>
      <c r="B178" s="49">
        <v>11</v>
      </c>
      <c r="C178" s="3">
        <f>603007.5+16620.48</f>
        <v>619627.98</v>
      </c>
      <c r="D178" t="s">
        <v>2470</v>
      </c>
      <c r="E178" t="s">
        <v>2469</v>
      </c>
      <c r="F178" t="s">
        <v>52</v>
      </c>
    </row>
    <row r="179" spans="1:6" x14ac:dyDescent="0.25">
      <c r="A179" t="s">
        <v>91</v>
      </c>
      <c r="B179" s="49">
        <v>11</v>
      </c>
      <c r="C179" s="3">
        <f>155687.5+4176</f>
        <v>159863.5</v>
      </c>
      <c r="D179" t="s">
        <v>2471</v>
      </c>
      <c r="E179" t="s">
        <v>2472</v>
      </c>
      <c r="F179" t="s">
        <v>52</v>
      </c>
    </row>
    <row r="180" spans="1:6" x14ac:dyDescent="0.25">
      <c r="A180" t="s">
        <v>91</v>
      </c>
      <c r="B180" s="49">
        <v>11</v>
      </c>
      <c r="C180" s="3">
        <f>617317.5+16620.48</f>
        <v>633937.98</v>
      </c>
      <c r="D180" t="s">
        <v>2473</v>
      </c>
      <c r="E180" t="s">
        <v>2468</v>
      </c>
      <c r="F180" t="s">
        <v>52</v>
      </c>
    </row>
    <row r="181" spans="1:6" x14ac:dyDescent="0.25">
      <c r="A181" t="s">
        <v>122</v>
      </c>
      <c r="B181" s="49">
        <v>12</v>
      </c>
      <c r="C181" s="3">
        <f>575315+16704</f>
        <v>592019</v>
      </c>
      <c r="D181" t="s">
        <v>2478</v>
      </c>
      <c r="E181" t="s">
        <v>2520</v>
      </c>
      <c r="F181" t="s">
        <v>52</v>
      </c>
    </row>
    <row r="182" spans="1:6" x14ac:dyDescent="0.25">
      <c r="A182" t="s">
        <v>43</v>
      </c>
      <c r="B182" s="49">
        <v>13</v>
      </c>
      <c r="C182" s="3">
        <f>616757.5+16704</f>
        <v>633461.5</v>
      </c>
      <c r="D182" t="s">
        <v>2479</v>
      </c>
      <c r="E182" t="s">
        <v>2477</v>
      </c>
      <c r="F182" t="s">
        <v>52</v>
      </c>
    </row>
    <row r="183" spans="1:6" x14ac:dyDescent="0.25">
      <c r="A183" t="s">
        <v>59</v>
      </c>
      <c r="B183" s="49">
        <v>14</v>
      </c>
      <c r="C183" s="50">
        <f>567232.5+16620.48</f>
        <v>583852.98</v>
      </c>
      <c r="D183" t="s">
        <v>2484</v>
      </c>
      <c r="E183" t="s">
        <v>2483</v>
      </c>
      <c r="F183" t="s">
        <v>52</v>
      </c>
    </row>
    <row r="184" spans="1:6" x14ac:dyDescent="0.25">
      <c r="A184" t="s">
        <v>59</v>
      </c>
      <c r="B184" s="49">
        <v>14</v>
      </c>
      <c r="C184" s="50">
        <f>401607.5+10774.08</f>
        <v>412381.58</v>
      </c>
      <c r="D184" t="s">
        <v>2486</v>
      </c>
      <c r="E184" t="s">
        <v>2485</v>
      </c>
      <c r="F184" t="s">
        <v>52</v>
      </c>
    </row>
    <row r="185" spans="1:6" x14ac:dyDescent="0.25">
      <c r="A185" t="s">
        <v>59</v>
      </c>
      <c r="B185" s="49">
        <v>14</v>
      </c>
      <c r="C185" s="3">
        <f>158072.5+4176</f>
        <v>162248.5</v>
      </c>
      <c r="D185" t="s">
        <v>2521</v>
      </c>
      <c r="E185" t="s">
        <v>2522</v>
      </c>
    </row>
    <row r="186" spans="1:6" x14ac:dyDescent="0.25">
      <c r="A186" t="s">
        <v>70</v>
      </c>
      <c r="B186" s="49">
        <v>15</v>
      </c>
      <c r="C18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6C6E-6E5E-4941-823D-89A7ACA3F867}">
  <dimension ref="A2:S328"/>
  <sheetViews>
    <sheetView topLeftCell="A292" workbookViewId="0">
      <selection activeCell="B311" sqref="B311"/>
    </sheetView>
  </sheetViews>
  <sheetFormatPr baseColWidth="10" defaultRowHeight="15" x14ac:dyDescent="0.25"/>
  <cols>
    <col min="1" max="1" width="12.7109375" customWidth="1"/>
    <col min="2" max="2" width="12.5703125" style="3" bestFit="1" customWidth="1"/>
    <col min="3" max="3" width="4.42578125" style="3" customWidth="1"/>
    <col min="6" max="6" width="15.42578125" style="3" customWidth="1"/>
    <col min="7" max="7" width="12.140625" style="3" customWidth="1"/>
    <col min="8" max="9" width="12.5703125" style="70" customWidth="1"/>
  </cols>
  <sheetData>
    <row r="2" spans="1:19" x14ac:dyDescent="0.25">
      <c r="A2" t="s">
        <v>207</v>
      </c>
      <c r="F2" s="3" t="s">
        <v>208</v>
      </c>
    </row>
    <row r="3" spans="1:19" x14ac:dyDescent="0.25">
      <c r="G3" s="71" t="s">
        <v>209</v>
      </c>
    </row>
    <row r="4" spans="1:19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70" t="s">
        <v>216</v>
      </c>
      <c r="I4" s="70" t="s">
        <v>217</v>
      </c>
      <c r="J4" s="3"/>
    </row>
    <row r="5" spans="1:19" x14ac:dyDescent="0.25">
      <c r="A5" t="s">
        <v>218</v>
      </c>
      <c r="B5" s="3">
        <v>35000</v>
      </c>
      <c r="C5" s="3" t="s">
        <v>41</v>
      </c>
      <c r="D5" s="72">
        <v>42726</v>
      </c>
      <c r="E5">
        <v>1323951</v>
      </c>
      <c r="F5" s="3">
        <v>32362.44</v>
      </c>
      <c r="G5" s="73">
        <v>42733</v>
      </c>
      <c r="H5" s="70">
        <f t="shared" ref="H5:H68" si="0">B5-F5</f>
        <v>2637.5600000000013</v>
      </c>
      <c r="I5" s="70" t="e">
        <f>#REF!+H5</f>
        <v>#REF!</v>
      </c>
      <c r="J5" t="s">
        <v>219</v>
      </c>
      <c r="M5" s="74" t="s">
        <v>220</v>
      </c>
      <c r="N5" s="74"/>
      <c r="O5" s="74"/>
      <c r="P5" s="74"/>
      <c r="Q5" s="74"/>
      <c r="R5" s="74"/>
      <c r="S5" s="74"/>
    </row>
    <row r="6" spans="1:19" x14ac:dyDescent="0.25">
      <c r="A6" t="s">
        <v>221</v>
      </c>
      <c r="D6" s="72"/>
      <c r="G6" s="73"/>
      <c r="H6" s="70">
        <f t="shared" si="0"/>
        <v>0</v>
      </c>
      <c r="I6" s="70">
        <v>18159.939999999999</v>
      </c>
    </row>
    <row r="7" spans="1:19" x14ac:dyDescent="0.25">
      <c r="A7" t="s">
        <v>222</v>
      </c>
      <c r="B7" s="3">
        <v>10000</v>
      </c>
      <c r="C7" s="3" t="s">
        <v>45</v>
      </c>
      <c r="D7" s="72">
        <v>42734</v>
      </c>
      <c r="E7">
        <v>1325778</v>
      </c>
      <c r="F7" s="3">
        <v>30377.919999999998</v>
      </c>
      <c r="G7" s="73">
        <v>42740</v>
      </c>
      <c r="H7" s="70">
        <f t="shared" si="0"/>
        <v>-20377.919999999998</v>
      </c>
      <c r="I7" s="70">
        <f t="shared" ref="I7:I70" si="1">I6+H7</f>
        <v>-2217.9799999999996</v>
      </c>
    </row>
    <row r="8" spans="1:19" x14ac:dyDescent="0.25">
      <c r="A8" t="s">
        <v>223</v>
      </c>
      <c r="B8" s="3">
        <v>35000</v>
      </c>
      <c r="C8" s="3" t="s">
        <v>48</v>
      </c>
      <c r="D8" s="72">
        <v>42738</v>
      </c>
      <c r="E8">
        <v>1327059</v>
      </c>
      <c r="F8" s="3">
        <v>29286.47</v>
      </c>
      <c r="G8" s="73">
        <v>42741</v>
      </c>
      <c r="H8" s="70">
        <f t="shared" si="0"/>
        <v>5713.5299999999988</v>
      </c>
      <c r="I8" s="70">
        <f t="shared" si="1"/>
        <v>3495.5499999999993</v>
      </c>
    </row>
    <row r="9" spans="1:19" x14ac:dyDescent="0.25">
      <c r="A9" t="s">
        <v>224</v>
      </c>
      <c r="B9" s="3">
        <v>33000</v>
      </c>
      <c r="C9" s="3" t="s">
        <v>33</v>
      </c>
      <c r="D9" s="72">
        <v>42373</v>
      </c>
      <c r="E9">
        <v>1326576</v>
      </c>
      <c r="F9" s="3">
        <v>27101.8</v>
      </c>
      <c r="G9" s="73">
        <v>42744</v>
      </c>
      <c r="H9" s="70">
        <f t="shared" si="0"/>
        <v>5898.2000000000007</v>
      </c>
      <c r="I9" s="70">
        <f t="shared" si="1"/>
        <v>9393.75</v>
      </c>
    </row>
    <row r="10" spans="1:19" x14ac:dyDescent="0.25">
      <c r="A10" t="s">
        <v>225</v>
      </c>
      <c r="B10" s="3">
        <v>33000</v>
      </c>
      <c r="C10" s="3" t="s">
        <v>33</v>
      </c>
      <c r="D10" s="72">
        <v>42373</v>
      </c>
      <c r="E10">
        <v>1326577</v>
      </c>
      <c r="F10" s="3">
        <v>27288.69</v>
      </c>
      <c r="G10" s="73">
        <v>42745</v>
      </c>
      <c r="H10" s="70">
        <f t="shared" si="0"/>
        <v>5711.3100000000013</v>
      </c>
      <c r="I10" s="70">
        <f t="shared" si="1"/>
        <v>15105.060000000001</v>
      </c>
    </row>
    <row r="11" spans="1:19" x14ac:dyDescent="0.25">
      <c r="A11" t="s">
        <v>226</v>
      </c>
      <c r="B11" s="3">
        <v>20000</v>
      </c>
      <c r="C11" s="3" t="s">
        <v>41</v>
      </c>
      <c r="D11" s="72">
        <v>42740</v>
      </c>
      <c r="E11">
        <v>1328016</v>
      </c>
      <c r="F11" s="3">
        <v>25895.23</v>
      </c>
      <c r="G11" s="73">
        <v>42746</v>
      </c>
      <c r="H11" s="70">
        <f t="shared" si="0"/>
        <v>-5895.23</v>
      </c>
      <c r="I11" s="70">
        <f t="shared" si="1"/>
        <v>9209.8300000000017</v>
      </c>
    </row>
    <row r="12" spans="1:19" x14ac:dyDescent="0.25">
      <c r="A12" t="s">
        <v>227</v>
      </c>
      <c r="B12" s="3">
        <v>25000</v>
      </c>
      <c r="C12" s="3" t="s">
        <v>228</v>
      </c>
      <c r="D12" s="72">
        <v>42744</v>
      </c>
      <c r="E12">
        <v>1328399</v>
      </c>
      <c r="F12" s="3">
        <v>25541.63</v>
      </c>
      <c r="G12" s="73">
        <v>42748</v>
      </c>
      <c r="H12" s="70">
        <f t="shared" si="0"/>
        <v>-541.63000000000102</v>
      </c>
      <c r="I12" s="70">
        <f t="shared" si="1"/>
        <v>8668.2000000000007</v>
      </c>
    </row>
    <row r="13" spans="1:19" x14ac:dyDescent="0.25">
      <c r="A13" t="s">
        <v>229</v>
      </c>
      <c r="C13" s="3" t="s">
        <v>228</v>
      </c>
      <c r="D13" s="72">
        <v>42744</v>
      </c>
      <c r="E13" s="48" t="s">
        <v>230</v>
      </c>
      <c r="G13" s="73">
        <v>42748</v>
      </c>
      <c r="H13" s="70">
        <f t="shared" si="0"/>
        <v>0</v>
      </c>
      <c r="I13" s="70">
        <f t="shared" si="1"/>
        <v>8668.2000000000007</v>
      </c>
      <c r="J13" t="s">
        <v>231</v>
      </c>
    </row>
    <row r="14" spans="1:19" x14ac:dyDescent="0.25">
      <c r="A14" t="s">
        <v>232</v>
      </c>
      <c r="B14" s="3">
        <v>26500</v>
      </c>
      <c r="C14" s="3" t="s">
        <v>33</v>
      </c>
      <c r="D14" s="72">
        <v>42746</v>
      </c>
      <c r="E14">
        <v>1329282</v>
      </c>
      <c r="F14" s="3">
        <v>25531.99</v>
      </c>
      <c r="G14" s="73">
        <v>42752</v>
      </c>
      <c r="H14" s="70">
        <f t="shared" si="0"/>
        <v>968.0099999999984</v>
      </c>
      <c r="I14" s="70">
        <f t="shared" si="1"/>
        <v>9636.2099999999991</v>
      </c>
    </row>
    <row r="15" spans="1:19" x14ac:dyDescent="0.25">
      <c r="A15" t="s">
        <v>233</v>
      </c>
      <c r="B15" s="3">
        <v>26500</v>
      </c>
      <c r="C15" s="3" t="s">
        <v>33</v>
      </c>
      <c r="D15" s="72">
        <v>42746</v>
      </c>
      <c r="E15">
        <v>1329760</v>
      </c>
      <c r="F15" s="3">
        <v>26241.05</v>
      </c>
      <c r="G15" s="73">
        <v>42752</v>
      </c>
      <c r="H15" s="70">
        <f t="shared" si="0"/>
        <v>258.95000000000073</v>
      </c>
      <c r="I15" s="70">
        <f t="shared" si="1"/>
        <v>9895.16</v>
      </c>
    </row>
    <row r="16" spans="1:19" x14ac:dyDescent="0.25">
      <c r="A16" t="s">
        <v>234</v>
      </c>
      <c r="B16" s="3">
        <v>25000</v>
      </c>
      <c r="C16" s="3" t="s">
        <v>41</v>
      </c>
      <c r="D16" s="72">
        <v>42747</v>
      </c>
      <c r="E16">
        <v>1329840</v>
      </c>
      <c r="F16" s="3">
        <v>26279.08</v>
      </c>
      <c r="G16" s="73">
        <v>42753</v>
      </c>
      <c r="H16" s="70">
        <f t="shared" si="0"/>
        <v>-1279.0800000000017</v>
      </c>
      <c r="I16" s="70">
        <f t="shared" si="1"/>
        <v>8616.0799999999981</v>
      </c>
    </row>
    <row r="17" spans="1:9" x14ac:dyDescent="0.25">
      <c r="A17" t="s">
        <v>235</v>
      </c>
      <c r="B17" s="3">
        <v>25000</v>
      </c>
      <c r="C17" s="3" t="s">
        <v>228</v>
      </c>
      <c r="D17" s="72">
        <v>42744</v>
      </c>
      <c r="E17">
        <v>1330464</v>
      </c>
      <c r="F17" s="3">
        <v>27980.3</v>
      </c>
      <c r="G17" s="73">
        <v>42755</v>
      </c>
      <c r="H17" s="70">
        <f t="shared" si="0"/>
        <v>-2980.2999999999993</v>
      </c>
      <c r="I17" s="70">
        <f t="shared" si="1"/>
        <v>5635.7799999999988</v>
      </c>
    </row>
    <row r="18" spans="1:9" x14ac:dyDescent="0.25">
      <c r="A18" t="s">
        <v>236</v>
      </c>
      <c r="B18" s="3">
        <v>23000</v>
      </c>
      <c r="C18" s="3" t="s">
        <v>48</v>
      </c>
      <c r="D18" s="72">
        <v>42752</v>
      </c>
      <c r="E18">
        <v>1330465</v>
      </c>
      <c r="F18" s="3">
        <v>27622.76</v>
      </c>
      <c r="G18" s="73">
        <v>42755</v>
      </c>
      <c r="H18" s="70">
        <f t="shared" si="0"/>
        <v>-4622.7599999999984</v>
      </c>
      <c r="I18" s="70">
        <f t="shared" si="1"/>
        <v>1013.0200000000004</v>
      </c>
    </row>
    <row r="19" spans="1:9" x14ac:dyDescent="0.25">
      <c r="A19" t="s">
        <v>237</v>
      </c>
      <c r="B19" s="3">
        <v>28000</v>
      </c>
      <c r="C19" s="3" t="s">
        <v>33</v>
      </c>
      <c r="D19" s="72">
        <v>42753</v>
      </c>
      <c r="E19">
        <v>1331390</v>
      </c>
      <c r="F19" s="3">
        <v>27553.46</v>
      </c>
      <c r="G19" s="73">
        <v>42758</v>
      </c>
      <c r="H19" s="70">
        <f t="shared" si="0"/>
        <v>446.54000000000087</v>
      </c>
      <c r="I19" s="70">
        <f t="shared" si="1"/>
        <v>1459.5600000000013</v>
      </c>
    </row>
    <row r="20" spans="1:9" x14ac:dyDescent="0.25">
      <c r="A20" t="s">
        <v>238</v>
      </c>
      <c r="B20" s="3">
        <v>28000</v>
      </c>
      <c r="C20" s="3" t="s">
        <v>33</v>
      </c>
      <c r="D20" s="72">
        <v>42753</v>
      </c>
      <c r="E20">
        <v>1330954</v>
      </c>
      <c r="F20" s="3">
        <v>27916.91</v>
      </c>
      <c r="G20" s="73">
        <v>42759</v>
      </c>
      <c r="H20" s="70">
        <f t="shared" si="0"/>
        <v>83.090000000000146</v>
      </c>
      <c r="I20" s="70">
        <f t="shared" si="1"/>
        <v>1542.6500000000015</v>
      </c>
    </row>
    <row r="21" spans="1:9" x14ac:dyDescent="0.25">
      <c r="A21" t="s">
        <v>239</v>
      </c>
      <c r="B21" s="3">
        <v>28000</v>
      </c>
      <c r="C21" s="3" t="s">
        <v>41</v>
      </c>
      <c r="D21" s="72">
        <v>42754</v>
      </c>
      <c r="E21">
        <v>1332066</v>
      </c>
      <c r="F21" s="3">
        <v>28177.52</v>
      </c>
      <c r="G21" s="73">
        <v>42760</v>
      </c>
      <c r="H21" s="70">
        <f t="shared" si="0"/>
        <v>-177.52000000000044</v>
      </c>
      <c r="I21" s="70">
        <f t="shared" si="1"/>
        <v>1365.130000000001</v>
      </c>
    </row>
    <row r="22" spans="1:9" x14ac:dyDescent="0.25">
      <c r="A22" t="s">
        <v>240</v>
      </c>
      <c r="B22" s="3">
        <v>28000</v>
      </c>
      <c r="C22" s="3" t="s">
        <v>29</v>
      </c>
      <c r="D22" s="72">
        <v>42758</v>
      </c>
      <c r="E22">
        <v>1332357</v>
      </c>
      <c r="F22" s="3">
        <v>31343.88</v>
      </c>
      <c r="G22" s="73">
        <v>42762</v>
      </c>
      <c r="H22" s="70">
        <f t="shared" si="0"/>
        <v>-3343.880000000001</v>
      </c>
      <c r="I22" s="70">
        <f t="shared" si="1"/>
        <v>-1978.75</v>
      </c>
    </row>
    <row r="23" spans="1:9" x14ac:dyDescent="0.25">
      <c r="A23" t="s">
        <v>241</v>
      </c>
      <c r="B23" s="3">
        <v>28000</v>
      </c>
      <c r="C23" s="3" t="s">
        <v>29</v>
      </c>
      <c r="D23" s="72">
        <v>42758</v>
      </c>
      <c r="E23">
        <v>1332519</v>
      </c>
      <c r="F23" s="3">
        <v>30939.67</v>
      </c>
      <c r="G23" s="73">
        <v>42762</v>
      </c>
      <c r="H23" s="70">
        <f t="shared" si="0"/>
        <v>-2939.6699999999983</v>
      </c>
      <c r="I23" s="70">
        <f t="shared" si="1"/>
        <v>-4918.4199999999983</v>
      </c>
    </row>
    <row r="24" spans="1:9" x14ac:dyDescent="0.25">
      <c r="A24" t="s">
        <v>242</v>
      </c>
      <c r="B24" s="3">
        <v>28000</v>
      </c>
      <c r="C24" s="3" t="s">
        <v>33</v>
      </c>
      <c r="D24" s="72">
        <v>42760</v>
      </c>
      <c r="E24">
        <v>1333024</v>
      </c>
      <c r="F24" s="3">
        <v>30788.959999999999</v>
      </c>
      <c r="G24" s="73">
        <v>42765</v>
      </c>
      <c r="H24" s="70">
        <f t="shared" si="0"/>
        <v>-2788.9599999999991</v>
      </c>
      <c r="I24" s="70">
        <f t="shared" si="1"/>
        <v>-7707.3799999999974</v>
      </c>
    </row>
    <row r="25" spans="1:9" x14ac:dyDescent="0.25">
      <c r="A25" t="s">
        <v>243</v>
      </c>
      <c r="B25" s="3">
        <v>28000</v>
      </c>
      <c r="C25" s="3" t="s">
        <v>33</v>
      </c>
      <c r="D25" s="72">
        <v>42760</v>
      </c>
      <c r="E25">
        <v>1333554</v>
      </c>
      <c r="F25" s="3">
        <v>30781</v>
      </c>
      <c r="G25" s="73">
        <v>42766</v>
      </c>
      <c r="H25" s="70">
        <f t="shared" si="0"/>
        <v>-2781</v>
      </c>
      <c r="I25" s="70">
        <f t="shared" si="1"/>
        <v>-10488.379999999997</v>
      </c>
    </row>
    <row r="26" spans="1:9" x14ac:dyDescent="0.25">
      <c r="A26" t="s">
        <v>244</v>
      </c>
      <c r="B26" s="3">
        <v>28000</v>
      </c>
      <c r="C26" s="3" t="s">
        <v>41</v>
      </c>
      <c r="D26" s="72">
        <v>42761</v>
      </c>
      <c r="E26">
        <v>1334296</v>
      </c>
      <c r="F26" s="3">
        <v>30444.21</v>
      </c>
      <c r="G26" s="73">
        <v>42767</v>
      </c>
      <c r="H26" s="70">
        <f t="shared" si="0"/>
        <v>-2444.2099999999991</v>
      </c>
      <c r="I26" s="70">
        <f t="shared" si="1"/>
        <v>-12932.589999999997</v>
      </c>
    </row>
    <row r="27" spans="1:9" x14ac:dyDescent="0.25">
      <c r="A27" t="s">
        <v>245</v>
      </c>
      <c r="B27" s="3">
        <v>28000</v>
      </c>
      <c r="C27" s="3" t="s">
        <v>29</v>
      </c>
      <c r="D27" s="72">
        <v>42765</v>
      </c>
      <c r="E27">
        <v>1334425</v>
      </c>
      <c r="F27" s="3">
        <v>29560.51</v>
      </c>
      <c r="G27" s="73">
        <v>42769</v>
      </c>
      <c r="H27" s="70">
        <f t="shared" si="0"/>
        <v>-1560.5099999999984</v>
      </c>
      <c r="I27" s="70">
        <f t="shared" si="1"/>
        <v>-14493.099999999995</v>
      </c>
    </row>
    <row r="28" spans="1:9" x14ac:dyDescent="0.25">
      <c r="A28" t="s">
        <v>246</v>
      </c>
      <c r="B28" s="3">
        <v>28000</v>
      </c>
      <c r="C28" s="3" t="s">
        <v>29</v>
      </c>
      <c r="D28" s="72">
        <v>42765</v>
      </c>
      <c r="E28">
        <v>1334426</v>
      </c>
      <c r="F28" s="3">
        <v>29736.61</v>
      </c>
      <c r="G28" s="73">
        <v>42769</v>
      </c>
      <c r="H28" s="70">
        <f t="shared" si="0"/>
        <v>-1736.6100000000006</v>
      </c>
      <c r="I28" s="70">
        <f t="shared" si="1"/>
        <v>-16229.709999999995</v>
      </c>
    </row>
    <row r="29" spans="1:9" x14ac:dyDescent="0.25">
      <c r="A29" t="s">
        <v>247</v>
      </c>
      <c r="B29" s="3">
        <v>28500</v>
      </c>
      <c r="C29" s="3" t="s">
        <v>33</v>
      </c>
      <c r="D29" s="72">
        <v>42767</v>
      </c>
      <c r="E29">
        <v>1335510</v>
      </c>
      <c r="F29" s="3">
        <v>29471.11</v>
      </c>
      <c r="G29" s="73">
        <v>42773</v>
      </c>
      <c r="H29" s="70">
        <f t="shared" si="0"/>
        <v>-971.11000000000058</v>
      </c>
      <c r="I29" s="70">
        <f t="shared" si="1"/>
        <v>-17200.819999999996</v>
      </c>
    </row>
    <row r="30" spans="1:9" x14ac:dyDescent="0.25">
      <c r="A30" t="s">
        <v>248</v>
      </c>
      <c r="B30" s="3">
        <v>28500</v>
      </c>
      <c r="C30" s="3" t="s">
        <v>33</v>
      </c>
      <c r="D30" s="72">
        <v>42767</v>
      </c>
      <c r="E30">
        <v>1336468</v>
      </c>
      <c r="F30" s="3">
        <v>29447.279999999999</v>
      </c>
      <c r="G30" s="73">
        <v>42774</v>
      </c>
      <c r="H30" s="70">
        <f t="shared" si="0"/>
        <v>-947.27999999999884</v>
      </c>
      <c r="I30" s="70">
        <f t="shared" si="1"/>
        <v>-18148.099999999995</v>
      </c>
    </row>
    <row r="31" spans="1:9" x14ac:dyDescent="0.25">
      <c r="A31" t="s">
        <v>249</v>
      </c>
      <c r="B31" s="3">
        <v>40000</v>
      </c>
      <c r="C31" s="3" t="s">
        <v>45</v>
      </c>
      <c r="D31" s="72">
        <v>42769</v>
      </c>
      <c r="E31">
        <v>1336672</v>
      </c>
      <c r="F31" s="3">
        <v>30043.19</v>
      </c>
      <c r="G31" s="73">
        <v>42776</v>
      </c>
      <c r="H31" s="70">
        <f t="shared" si="0"/>
        <v>9956.8100000000013</v>
      </c>
      <c r="I31" s="70">
        <f t="shared" si="1"/>
        <v>-8191.2899999999936</v>
      </c>
    </row>
    <row r="32" spans="1:9" x14ac:dyDescent="0.25">
      <c r="A32" t="s">
        <v>250</v>
      </c>
      <c r="B32" s="3">
        <v>40000</v>
      </c>
      <c r="C32" s="3" t="s">
        <v>48</v>
      </c>
      <c r="D32" s="72">
        <v>42773</v>
      </c>
      <c r="E32">
        <v>1336971</v>
      </c>
      <c r="F32" s="3">
        <v>29687.16</v>
      </c>
      <c r="G32" s="73">
        <v>42776</v>
      </c>
      <c r="H32" s="70">
        <f t="shared" si="0"/>
        <v>10312.84</v>
      </c>
      <c r="I32" s="70">
        <f t="shared" si="1"/>
        <v>2121.5500000000065</v>
      </c>
    </row>
    <row r="33" spans="1:9" x14ac:dyDescent="0.25">
      <c r="A33" t="s">
        <v>251</v>
      </c>
      <c r="B33" s="3">
        <v>30000</v>
      </c>
      <c r="C33" s="3" t="s">
        <v>33</v>
      </c>
      <c r="D33" s="72">
        <v>42774</v>
      </c>
      <c r="E33">
        <v>1337636</v>
      </c>
      <c r="F33" s="3">
        <v>30404.09</v>
      </c>
      <c r="G33" s="73">
        <v>42779</v>
      </c>
      <c r="H33" s="70">
        <f t="shared" si="0"/>
        <v>-404.09000000000015</v>
      </c>
      <c r="I33" s="70">
        <f t="shared" si="1"/>
        <v>1717.4600000000064</v>
      </c>
    </row>
    <row r="34" spans="1:9" x14ac:dyDescent="0.25">
      <c r="A34" t="s">
        <v>252</v>
      </c>
      <c r="B34" s="3">
        <v>30000</v>
      </c>
      <c r="C34" s="3" t="s">
        <v>41</v>
      </c>
      <c r="D34" s="72">
        <v>42775</v>
      </c>
      <c r="E34">
        <v>1338571</v>
      </c>
      <c r="F34" s="3">
        <v>31650.11</v>
      </c>
      <c r="G34" s="73">
        <v>42781</v>
      </c>
      <c r="H34" s="70">
        <f t="shared" si="0"/>
        <v>-1650.1100000000006</v>
      </c>
      <c r="I34" s="70">
        <f t="shared" si="1"/>
        <v>67.350000000005821</v>
      </c>
    </row>
    <row r="35" spans="1:9" x14ac:dyDescent="0.25">
      <c r="A35" t="s">
        <v>253</v>
      </c>
      <c r="B35" s="3">
        <v>31000</v>
      </c>
      <c r="C35" s="3" t="s">
        <v>29</v>
      </c>
      <c r="D35" s="72">
        <v>42779</v>
      </c>
      <c r="E35">
        <v>1338847</v>
      </c>
      <c r="F35" s="3">
        <v>30801.31</v>
      </c>
      <c r="G35" s="73">
        <v>42783</v>
      </c>
      <c r="H35" s="70">
        <f t="shared" si="0"/>
        <v>198.68999999999869</v>
      </c>
      <c r="I35" s="70">
        <f t="shared" si="1"/>
        <v>266.04000000000451</v>
      </c>
    </row>
    <row r="36" spans="1:9" x14ac:dyDescent="0.25">
      <c r="A36" t="s">
        <v>254</v>
      </c>
      <c r="B36" s="3">
        <v>31000</v>
      </c>
      <c r="C36" s="3" t="s">
        <v>29</v>
      </c>
      <c r="D36" s="72">
        <v>42779</v>
      </c>
      <c r="E36">
        <v>1338724</v>
      </c>
      <c r="F36" s="3">
        <v>31252.240000000002</v>
      </c>
      <c r="G36" s="73">
        <v>42783</v>
      </c>
      <c r="H36" s="70">
        <f t="shared" si="0"/>
        <v>-252.2400000000016</v>
      </c>
      <c r="I36" s="70">
        <f t="shared" si="1"/>
        <v>13.80000000000291</v>
      </c>
    </row>
    <row r="37" spans="1:9" x14ac:dyDescent="0.25">
      <c r="A37" t="s">
        <v>255</v>
      </c>
      <c r="B37" s="3">
        <v>33000</v>
      </c>
      <c r="C37" s="3" t="s">
        <v>33</v>
      </c>
      <c r="D37" s="72">
        <v>42781</v>
      </c>
      <c r="E37">
        <v>1339812</v>
      </c>
      <c r="F37" s="3">
        <v>29812.11</v>
      </c>
      <c r="G37" s="73">
        <v>42786</v>
      </c>
      <c r="H37" s="70">
        <f t="shared" si="0"/>
        <v>3187.8899999999994</v>
      </c>
      <c r="I37" s="70">
        <f t="shared" si="1"/>
        <v>3201.6900000000023</v>
      </c>
    </row>
    <row r="38" spans="1:9" x14ac:dyDescent="0.25">
      <c r="A38" t="s">
        <v>256</v>
      </c>
      <c r="B38" s="3">
        <v>33000</v>
      </c>
      <c r="C38" s="3" t="s">
        <v>41</v>
      </c>
      <c r="D38" s="72">
        <v>42782</v>
      </c>
      <c r="E38">
        <v>1340530</v>
      </c>
      <c r="F38" s="3">
        <v>29352.77</v>
      </c>
      <c r="G38" s="73">
        <v>42788</v>
      </c>
      <c r="H38" s="70">
        <f t="shared" si="0"/>
        <v>3647.2299999999996</v>
      </c>
      <c r="I38" s="70">
        <f t="shared" si="1"/>
        <v>6848.9200000000019</v>
      </c>
    </row>
    <row r="39" spans="1:9" x14ac:dyDescent="0.25">
      <c r="A39" t="s">
        <v>257</v>
      </c>
      <c r="B39" s="3">
        <v>31000</v>
      </c>
      <c r="C39" s="3" t="s">
        <v>29</v>
      </c>
      <c r="D39" s="72">
        <v>42786</v>
      </c>
      <c r="E39">
        <v>1340746</v>
      </c>
      <c r="F39" s="3">
        <v>28124.17</v>
      </c>
      <c r="G39" s="73">
        <v>42790</v>
      </c>
      <c r="H39" s="70">
        <f t="shared" si="0"/>
        <v>2875.8300000000017</v>
      </c>
      <c r="I39" s="70">
        <f t="shared" si="1"/>
        <v>9724.7500000000036</v>
      </c>
    </row>
    <row r="40" spans="1:9" x14ac:dyDescent="0.25">
      <c r="A40" t="s">
        <v>258</v>
      </c>
      <c r="B40" s="3">
        <v>31000</v>
      </c>
      <c r="C40" s="3" t="s">
        <v>29</v>
      </c>
      <c r="D40" s="72">
        <v>42786</v>
      </c>
      <c r="E40">
        <v>1341010</v>
      </c>
      <c r="F40" s="3">
        <f>42682*0.6588</f>
        <v>28118.901600000001</v>
      </c>
      <c r="G40" s="73">
        <v>42790</v>
      </c>
      <c r="H40" s="70">
        <f t="shared" si="0"/>
        <v>2881.0983999999989</v>
      </c>
      <c r="I40" s="70">
        <f t="shared" si="1"/>
        <v>12605.848400000003</v>
      </c>
    </row>
    <row r="41" spans="1:9" x14ac:dyDescent="0.25">
      <c r="A41" t="s">
        <v>259</v>
      </c>
      <c r="B41" s="3">
        <v>25000</v>
      </c>
      <c r="C41" s="3" t="s">
        <v>33</v>
      </c>
      <c r="D41" s="72">
        <v>42788</v>
      </c>
      <c r="E41">
        <v>1342267</v>
      </c>
      <c r="F41" s="3">
        <v>27272.89</v>
      </c>
      <c r="G41" s="73">
        <v>42793</v>
      </c>
      <c r="H41" s="70">
        <f t="shared" si="0"/>
        <v>-2272.8899999999994</v>
      </c>
      <c r="I41" s="70">
        <f t="shared" si="1"/>
        <v>10332.958400000003</v>
      </c>
    </row>
    <row r="42" spans="1:9" x14ac:dyDescent="0.25">
      <c r="A42" t="s">
        <v>260</v>
      </c>
      <c r="B42" s="3">
        <v>25000</v>
      </c>
      <c r="C42" s="3" t="s">
        <v>29</v>
      </c>
      <c r="D42" s="72">
        <v>42793</v>
      </c>
      <c r="E42">
        <v>1343971</v>
      </c>
      <c r="F42" s="3">
        <v>28068.35</v>
      </c>
      <c r="G42" s="73">
        <v>42797</v>
      </c>
      <c r="H42" s="70">
        <f t="shared" si="0"/>
        <v>-3068.3499999999985</v>
      </c>
      <c r="I42" s="70">
        <f t="shared" si="1"/>
        <v>7264.6084000000046</v>
      </c>
    </row>
    <row r="43" spans="1:9" x14ac:dyDescent="0.25">
      <c r="A43" t="s">
        <v>261</v>
      </c>
      <c r="B43" s="3">
        <v>25000</v>
      </c>
      <c r="C43" s="3" t="s">
        <v>29</v>
      </c>
      <c r="D43" s="72">
        <v>42793</v>
      </c>
      <c r="E43">
        <v>1343970</v>
      </c>
      <c r="F43" s="3">
        <v>28816.29</v>
      </c>
      <c r="G43" s="73">
        <v>42795</v>
      </c>
      <c r="H43" s="70">
        <f t="shared" si="0"/>
        <v>-3816.2900000000009</v>
      </c>
      <c r="I43" s="70">
        <f t="shared" si="1"/>
        <v>3448.3184000000037</v>
      </c>
    </row>
    <row r="44" spans="1:9" x14ac:dyDescent="0.25">
      <c r="A44" t="s">
        <v>262</v>
      </c>
      <c r="B44" s="3">
        <v>27000</v>
      </c>
      <c r="C44" s="3" t="s">
        <v>41</v>
      </c>
      <c r="D44" s="72">
        <v>42796</v>
      </c>
      <c r="E44">
        <v>1344956</v>
      </c>
      <c r="F44" s="3">
        <v>30196.35</v>
      </c>
      <c r="G44" s="73">
        <v>42803</v>
      </c>
      <c r="H44" s="70">
        <f t="shared" si="0"/>
        <v>-3196.3499999999985</v>
      </c>
      <c r="I44" s="70">
        <f t="shared" si="1"/>
        <v>251.9684000000052</v>
      </c>
    </row>
    <row r="45" spans="1:9" x14ac:dyDescent="0.25">
      <c r="A45" t="s">
        <v>263</v>
      </c>
      <c r="B45" s="3">
        <v>25000</v>
      </c>
      <c r="C45" s="3" t="s">
        <v>41</v>
      </c>
      <c r="D45" s="72">
        <v>42789</v>
      </c>
      <c r="E45">
        <v>1345458</v>
      </c>
      <c r="F45" s="3">
        <v>30693.360000000001</v>
      </c>
      <c r="G45" s="73">
        <v>42797</v>
      </c>
      <c r="H45" s="70">
        <f t="shared" si="0"/>
        <v>-5693.3600000000006</v>
      </c>
      <c r="I45" s="70">
        <f t="shared" si="1"/>
        <v>-5441.3915999999954</v>
      </c>
    </row>
    <row r="46" spans="1:9" x14ac:dyDescent="0.25">
      <c r="A46" t="s">
        <v>264</v>
      </c>
      <c r="B46" s="3">
        <v>30000</v>
      </c>
      <c r="C46" s="3" t="s">
        <v>29</v>
      </c>
      <c r="D46" s="72">
        <v>42800</v>
      </c>
      <c r="E46">
        <v>1345459</v>
      </c>
      <c r="F46" s="3">
        <v>30633.14</v>
      </c>
      <c r="G46" s="73">
        <v>42805</v>
      </c>
      <c r="H46" s="70">
        <f t="shared" si="0"/>
        <v>-633.13999999999942</v>
      </c>
      <c r="I46" s="70">
        <f t="shared" si="1"/>
        <v>-6074.5315999999948</v>
      </c>
    </row>
    <row r="47" spans="1:9" x14ac:dyDescent="0.25">
      <c r="A47" t="s">
        <v>265</v>
      </c>
      <c r="B47" s="3">
        <v>35000</v>
      </c>
      <c r="C47" s="3" t="s">
        <v>41</v>
      </c>
      <c r="D47" s="72">
        <v>42803</v>
      </c>
      <c r="E47">
        <v>1347193</v>
      </c>
      <c r="F47" s="3">
        <v>31291.5</v>
      </c>
      <c r="G47" s="73">
        <v>42809</v>
      </c>
      <c r="H47" s="70">
        <f t="shared" si="0"/>
        <v>3708.5</v>
      </c>
      <c r="I47" s="70">
        <f t="shared" si="1"/>
        <v>-2366.0315999999948</v>
      </c>
    </row>
    <row r="48" spans="1:9" x14ac:dyDescent="0.25">
      <c r="A48" t="s">
        <v>266</v>
      </c>
      <c r="B48" s="3">
        <v>33000</v>
      </c>
      <c r="C48" s="3" t="s">
        <v>29</v>
      </c>
      <c r="D48" s="72">
        <v>42807</v>
      </c>
      <c r="E48">
        <v>1347396</v>
      </c>
      <c r="F48" s="3">
        <v>30436.85</v>
      </c>
      <c r="G48" s="73">
        <v>42811</v>
      </c>
      <c r="H48" s="70">
        <f t="shared" si="0"/>
        <v>2563.1500000000015</v>
      </c>
      <c r="I48" s="70">
        <f t="shared" si="1"/>
        <v>197.11840000000666</v>
      </c>
    </row>
    <row r="49" spans="1:10" x14ac:dyDescent="0.25">
      <c r="A49" t="s">
        <v>267</v>
      </c>
      <c r="B49" s="3">
        <v>33000</v>
      </c>
      <c r="C49" s="3" t="s">
        <v>29</v>
      </c>
      <c r="D49" s="72">
        <v>42807</v>
      </c>
      <c r="E49">
        <v>1348458</v>
      </c>
      <c r="F49" s="3">
        <v>31248.2</v>
      </c>
      <c r="G49" s="73">
        <v>42811</v>
      </c>
      <c r="H49" s="70">
        <f t="shared" si="0"/>
        <v>1751.7999999999993</v>
      </c>
      <c r="I49" s="70">
        <f t="shared" si="1"/>
        <v>1948.9184000000059</v>
      </c>
    </row>
    <row r="50" spans="1:10" x14ac:dyDescent="0.25">
      <c r="A50" t="s">
        <v>268</v>
      </c>
      <c r="B50" s="3">
        <v>33000</v>
      </c>
      <c r="C50" s="3" t="s">
        <v>41</v>
      </c>
      <c r="D50" s="72">
        <v>42810</v>
      </c>
      <c r="E50">
        <v>1349148</v>
      </c>
      <c r="F50" s="3">
        <v>31352.44</v>
      </c>
      <c r="G50" s="73">
        <v>42816</v>
      </c>
      <c r="H50" s="70">
        <f t="shared" si="0"/>
        <v>1647.5600000000013</v>
      </c>
      <c r="I50" s="70">
        <f t="shared" si="1"/>
        <v>3596.4784000000072</v>
      </c>
    </row>
    <row r="51" spans="1:10" x14ac:dyDescent="0.25">
      <c r="A51" t="s">
        <v>269</v>
      </c>
      <c r="B51" s="3">
        <v>33000</v>
      </c>
      <c r="C51" s="3" t="s">
        <v>48</v>
      </c>
      <c r="D51" s="72">
        <v>42815</v>
      </c>
      <c r="E51">
        <v>1349537</v>
      </c>
      <c r="F51" s="3">
        <v>30793.119999999999</v>
      </c>
      <c r="G51" s="73">
        <v>42818</v>
      </c>
      <c r="H51" s="70">
        <f t="shared" si="0"/>
        <v>2206.880000000001</v>
      </c>
      <c r="I51" s="70">
        <f t="shared" si="1"/>
        <v>5803.3584000000083</v>
      </c>
    </row>
    <row r="52" spans="1:10" x14ac:dyDescent="0.25">
      <c r="A52" t="s">
        <v>270</v>
      </c>
      <c r="B52" s="3">
        <v>30000</v>
      </c>
      <c r="C52" s="3" t="s">
        <v>41</v>
      </c>
      <c r="D52" s="72">
        <v>42817</v>
      </c>
      <c r="E52">
        <v>1351611</v>
      </c>
      <c r="F52" s="3">
        <v>30935.64</v>
      </c>
      <c r="G52" s="73">
        <v>42823</v>
      </c>
      <c r="H52" s="70">
        <f t="shared" si="0"/>
        <v>-935.63999999999942</v>
      </c>
      <c r="I52" s="70">
        <f t="shared" si="1"/>
        <v>4867.7184000000088</v>
      </c>
    </row>
    <row r="53" spans="1:10" x14ac:dyDescent="0.25">
      <c r="A53" t="s">
        <v>271</v>
      </c>
      <c r="B53" s="3">
        <v>30000</v>
      </c>
      <c r="C53" s="3" t="s">
        <v>29</v>
      </c>
      <c r="D53" s="72">
        <v>42821</v>
      </c>
      <c r="E53">
        <v>1351904</v>
      </c>
      <c r="F53" s="3">
        <v>29140.44</v>
      </c>
      <c r="G53" s="73">
        <v>42825</v>
      </c>
      <c r="H53" s="70">
        <f t="shared" si="0"/>
        <v>859.56000000000131</v>
      </c>
      <c r="I53" s="70">
        <f t="shared" si="1"/>
        <v>5727.2784000000102</v>
      </c>
    </row>
    <row r="54" spans="1:10" x14ac:dyDescent="0.25">
      <c r="A54" t="s">
        <v>272</v>
      </c>
      <c r="B54" s="3">
        <v>30000</v>
      </c>
      <c r="C54" s="3" t="s">
        <v>29</v>
      </c>
      <c r="D54" s="72">
        <v>42821</v>
      </c>
      <c r="E54">
        <v>1351905</v>
      </c>
      <c r="F54" s="3">
        <v>29015.58</v>
      </c>
      <c r="G54" s="73">
        <v>42825</v>
      </c>
      <c r="H54" s="70">
        <f t="shared" si="0"/>
        <v>984.41999999999825</v>
      </c>
      <c r="I54" s="70">
        <f t="shared" si="1"/>
        <v>6711.6984000000084</v>
      </c>
    </row>
    <row r="55" spans="1:10" x14ac:dyDescent="0.25">
      <c r="A55" t="s">
        <v>273</v>
      </c>
      <c r="B55" s="3">
        <v>25500</v>
      </c>
      <c r="C55" s="3" t="s">
        <v>29</v>
      </c>
      <c r="D55" s="72">
        <v>42828</v>
      </c>
      <c r="E55">
        <v>1353861</v>
      </c>
      <c r="F55" s="3">
        <v>28119.11</v>
      </c>
      <c r="G55" s="73">
        <v>42830</v>
      </c>
      <c r="H55" s="70">
        <f t="shared" si="0"/>
        <v>-2619.1100000000006</v>
      </c>
      <c r="I55" s="70">
        <f t="shared" si="1"/>
        <v>4092.5884000000078</v>
      </c>
    </row>
    <row r="56" spans="1:10" x14ac:dyDescent="0.25">
      <c r="A56" t="s">
        <v>274</v>
      </c>
      <c r="B56" s="3">
        <v>114.92</v>
      </c>
      <c r="C56" s="3" t="s">
        <v>275</v>
      </c>
      <c r="D56" s="72">
        <v>42831</v>
      </c>
      <c r="E56">
        <v>55752</v>
      </c>
      <c r="G56" s="73">
        <v>42830</v>
      </c>
      <c r="H56" s="70">
        <f t="shared" si="0"/>
        <v>114.92</v>
      </c>
      <c r="I56" s="70">
        <f t="shared" si="1"/>
        <v>4207.5084000000079</v>
      </c>
      <c r="J56" t="s">
        <v>276</v>
      </c>
    </row>
    <row r="57" spans="1:10" x14ac:dyDescent="0.25">
      <c r="A57" t="s">
        <v>277</v>
      </c>
      <c r="B57" s="3">
        <v>25500</v>
      </c>
      <c r="C57" s="3" t="s">
        <v>29</v>
      </c>
      <c r="D57" s="72">
        <v>42828</v>
      </c>
      <c r="E57">
        <v>1353862</v>
      </c>
      <c r="F57" s="3">
        <v>27902.28</v>
      </c>
      <c r="G57" s="73">
        <v>42831</v>
      </c>
      <c r="H57" s="70">
        <f t="shared" si="0"/>
        <v>-2402.2799999999988</v>
      </c>
      <c r="I57" s="70">
        <f t="shared" si="1"/>
        <v>1805.2284000000091</v>
      </c>
    </row>
    <row r="58" spans="1:10" x14ac:dyDescent="0.25">
      <c r="A58" t="s">
        <v>278</v>
      </c>
      <c r="B58" s="3">
        <v>28000</v>
      </c>
      <c r="C58" s="3" t="s">
        <v>33</v>
      </c>
      <c r="D58" s="72">
        <v>42830</v>
      </c>
      <c r="E58">
        <v>1355283</v>
      </c>
      <c r="F58" s="3">
        <v>28913</v>
      </c>
      <c r="G58" s="73">
        <v>42836</v>
      </c>
      <c r="H58" s="70">
        <f t="shared" si="0"/>
        <v>-913</v>
      </c>
      <c r="I58" s="70">
        <f t="shared" si="1"/>
        <v>892.22840000000906</v>
      </c>
    </row>
    <row r="59" spans="1:10" x14ac:dyDescent="0.25">
      <c r="A59" t="s">
        <v>279</v>
      </c>
      <c r="B59" s="3">
        <v>28000</v>
      </c>
      <c r="C59" s="3" t="s">
        <v>41</v>
      </c>
      <c r="D59" s="72">
        <v>42831</v>
      </c>
      <c r="E59">
        <v>1355978</v>
      </c>
      <c r="F59" s="3">
        <v>28533.119999999999</v>
      </c>
      <c r="G59" s="73">
        <v>42837</v>
      </c>
      <c r="H59" s="70">
        <f t="shared" si="0"/>
        <v>-533.11999999999898</v>
      </c>
      <c r="I59" s="70">
        <f t="shared" si="1"/>
        <v>359.10840000001008</v>
      </c>
    </row>
    <row r="60" spans="1:10" x14ac:dyDescent="0.25">
      <c r="A60" t="s">
        <v>280</v>
      </c>
      <c r="B60" s="3">
        <v>29000</v>
      </c>
      <c r="C60" s="3" t="s">
        <v>281</v>
      </c>
      <c r="D60" s="72">
        <v>42837</v>
      </c>
      <c r="E60">
        <v>1358162</v>
      </c>
      <c r="F60" s="3">
        <v>30014.74</v>
      </c>
      <c r="G60" s="73">
        <v>42844</v>
      </c>
      <c r="H60" s="70">
        <f t="shared" si="0"/>
        <v>-1014.7400000000016</v>
      </c>
      <c r="I60" s="70">
        <f t="shared" si="1"/>
        <v>-655.63159999999152</v>
      </c>
    </row>
    <row r="61" spans="1:10" x14ac:dyDescent="0.25">
      <c r="A61" t="s">
        <v>282</v>
      </c>
      <c r="B61" s="3">
        <v>29000</v>
      </c>
      <c r="C61" s="3" t="s">
        <v>29</v>
      </c>
      <c r="D61" s="72">
        <v>42842</v>
      </c>
      <c r="E61">
        <v>1358739</v>
      </c>
      <c r="F61" s="3">
        <v>30026.400000000001</v>
      </c>
      <c r="G61" s="73">
        <v>42846</v>
      </c>
      <c r="H61" s="70">
        <f t="shared" si="0"/>
        <v>-1026.4000000000015</v>
      </c>
      <c r="I61" s="70">
        <f t="shared" si="1"/>
        <v>-1682.031599999993</v>
      </c>
    </row>
    <row r="62" spans="1:10" x14ac:dyDescent="0.25">
      <c r="A62" t="s">
        <v>283</v>
      </c>
      <c r="B62" s="3">
        <v>31000</v>
      </c>
      <c r="C62" s="3" t="s">
        <v>41</v>
      </c>
      <c r="D62" s="72">
        <v>42845</v>
      </c>
      <c r="E62">
        <v>1360298</v>
      </c>
      <c r="F62" s="3">
        <v>30654.45</v>
      </c>
      <c r="G62" s="73">
        <v>42851</v>
      </c>
      <c r="H62" s="70">
        <f t="shared" si="0"/>
        <v>345.54999999999927</v>
      </c>
      <c r="I62" s="70">
        <f t="shared" si="1"/>
        <v>-1336.4815999999937</v>
      </c>
    </row>
    <row r="63" spans="1:10" x14ac:dyDescent="0.25">
      <c r="A63" t="s">
        <v>284</v>
      </c>
      <c r="B63" s="3">
        <v>32000</v>
      </c>
      <c r="C63" s="3" t="s">
        <v>29</v>
      </c>
      <c r="D63" s="72">
        <v>42849</v>
      </c>
      <c r="E63">
        <v>1360940</v>
      </c>
      <c r="F63" s="3">
        <v>29954.67</v>
      </c>
      <c r="G63" s="73">
        <v>42853</v>
      </c>
      <c r="H63" s="70">
        <f t="shared" si="0"/>
        <v>2045.3300000000017</v>
      </c>
      <c r="I63" s="70">
        <f t="shared" si="1"/>
        <v>708.84840000000804</v>
      </c>
    </row>
    <row r="64" spans="1:10" x14ac:dyDescent="0.25">
      <c r="A64" t="s">
        <v>285</v>
      </c>
      <c r="B64" s="3">
        <v>32000</v>
      </c>
      <c r="C64" s="3" t="s">
        <v>41</v>
      </c>
      <c r="D64" s="72">
        <v>42852</v>
      </c>
      <c r="E64">
        <v>1362441</v>
      </c>
      <c r="F64" s="3">
        <v>31185.67</v>
      </c>
      <c r="G64" s="73">
        <v>42858</v>
      </c>
      <c r="H64" s="70">
        <f t="shared" si="0"/>
        <v>814.33000000000175</v>
      </c>
      <c r="I64" s="70">
        <f t="shared" si="1"/>
        <v>1523.1784000000098</v>
      </c>
    </row>
    <row r="65" spans="1:9" x14ac:dyDescent="0.25">
      <c r="A65" t="s">
        <v>286</v>
      </c>
      <c r="B65" s="3">
        <v>32000</v>
      </c>
      <c r="C65" s="3" t="s">
        <v>45</v>
      </c>
      <c r="D65" s="72">
        <v>42853</v>
      </c>
      <c r="E65">
        <v>1362909</v>
      </c>
      <c r="F65" s="3">
        <v>32404.51</v>
      </c>
      <c r="G65" s="73">
        <v>42860</v>
      </c>
      <c r="H65" s="70">
        <f t="shared" si="0"/>
        <v>-404.5099999999984</v>
      </c>
      <c r="I65" s="70">
        <f t="shared" si="1"/>
        <v>1118.6684000000114</v>
      </c>
    </row>
    <row r="66" spans="1:9" x14ac:dyDescent="0.25">
      <c r="A66" t="s">
        <v>287</v>
      </c>
      <c r="B66" s="3">
        <v>32000</v>
      </c>
      <c r="C66" s="3" t="s">
        <v>48</v>
      </c>
      <c r="D66" s="72">
        <v>42857</v>
      </c>
      <c r="E66">
        <v>1362910</v>
      </c>
      <c r="F66" s="3">
        <v>31593.65</v>
      </c>
      <c r="G66" s="73">
        <v>42860</v>
      </c>
      <c r="H66" s="70">
        <f t="shared" si="0"/>
        <v>406.34999999999854</v>
      </c>
      <c r="I66" s="70">
        <f t="shared" si="1"/>
        <v>1525.0184000000099</v>
      </c>
    </row>
    <row r="67" spans="1:9" x14ac:dyDescent="0.25">
      <c r="A67" t="s">
        <v>288</v>
      </c>
      <c r="B67" s="3">
        <v>31000</v>
      </c>
      <c r="C67" s="3" t="s">
        <v>41</v>
      </c>
      <c r="D67" s="72">
        <v>42859</v>
      </c>
      <c r="E67">
        <v>1364734</v>
      </c>
      <c r="F67" s="3">
        <v>33507.129999999997</v>
      </c>
      <c r="G67" s="73">
        <v>42865</v>
      </c>
      <c r="H67" s="70">
        <f t="shared" si="0"/>
        <v>-2507.1299999999974</v>
      </c>
      <c r="I67" s="70">
        <f t="shared" si="1"/>
        <v>-982.11159999998745</v>
      </c>
    </row>
    <row r="68" spans="1:9" x14ac:dyDescent="0.25">
      <c r="A68" t="s">
        <v>289</v>
      </c>
      <c r="B68" s="3">
        <v>32000</v>
      </c>
      <c r="C68" s="3" t="s">
        <v>45</v>
      </c>
      <c r="D68" s="72">
        <v>42860</v>
      </c>
      <c r="E68">
        <v>1364822</v>
      </c>
      <c r="F68" s="3">
        <v>32821.589999999997</v>
      </c>
      <c r="G68" s="73">
        <v>42866</v>
      </c>
      <c r="H68" s="70">
        <f t="shared" si="0"/>
        <v>-821.58999999999651</v>
      </c>
      <c r="I68" s="70">
        <f t="shared" si="1"/>
        <v>-1803.701599999984</v>
      </c>
    </row>
    <row r="69" spans="1:9" x14ac:dyDescent="0.25">
      <c r="A69" t="s">
        <v>290</v>
      </c>
      <c r="B69" s="3">
        <v>31500</v>
      </c>
      <c r="C69" s="3" t="s">
        <v>29</v>
      </c>
      <c r="D69" s="72">
        <v>42863</v>
      </c>
      <c r="E69">
        <v>1364953</v>
      </c>
      <c r="F69" s="3">
        <v>33023.64</v>
      </c>
      <c r="G69" s="73">
        <v>42867</v>
      </c>
      <c r="H69" s="70">
        <f t="shared" ref="H69:H132" si="2">B69-F69</f>
        <v>-1523.6399999999994</v>
      </c>
      <c r="I69" s="70">
        <f t="shared" si="1"/>
        <v>-3327.3415999999834</v>
      </c>
    </row>
    <row r="70" spans="1:9" x14ac:dyDescent="0.25">
      <c r="A70" t="s">
        <v>291</v>
      </c>
      <c r="B70" s="3">
        <v>33000</v>
      </c>
      <c r="C70" s="3" t="s">
        <v>41</v>
      </c>
      <c r="D70" s="72">
        <v>42866</v>
      </c>
      <c r="E70">
        <v>1366993</v>
      </c>
      <c r="F70" s="3">
        <v>32664.44</v>
      </c>
      <c r="G70" s="73">
        <v>42872</v>
      </c>
      <c r="H70" s="70">
        <f t="shared" si="2"/>
        <v>335.56000000000131</v>
      </c>
      <c r="I70" s="70">
        <f t="shared" si="1"/>
        <v>-2991.7815999999821</v>
      </c>
    </row>
    <row r="71" spans="1:9" x14ac:dyDescent="0.25">
      <c r="A71" t="s">
        <v>292</v>
      </c>
      <c r="B71" s="3">
        <v>33000</v>
      </c>
      <c r="C71" s="3" t="s">
        <v>45</v>
      </c>
      <c r="D71" s="72">
        <v>42867</v>
      </c>
      <c r="E71">
        <v>1367124</v>
      </c>
      <c r="F71" s="3">
        <v>33435.769999999997</v>
      </c>
      <c r="G71" s="73">
        <v>42873</v>
      </c>
      <c r="H71" s="70">
        <f t="shared" si="2"/>
        <v>-435.7699999999968</v>
      </c>
      <c r="I71" s="70">
        <f t="shared" ref="I71:I134" si="3">I70+H71</f>
        <v>-3427.5515999999789</v>
      </c>
    </row>
    <row r="72" spans="1:9" x14ac:dyDescent="0.25">
      <c r="A72" t="s">
        <v>293</v>
      </c>
      <c r="B72" s="3">
        <v>35000</v>
      </c>
      <c r="C72" s="3" t="s">
        <v>29</v>
      </c>
      <c r="D72" s="72">
        <v>42870</v>
      </c>
      <c r="E72">
        <v>1367512</v>
      </c>
      <c r="F72" s="3">
        <v>33070.49</v>
      </c>
      <c r="G72" s="73">
        <v>42874</v>
      </c>
      <c r="H72" s="70">
        <f t="shared" si="2"/>
        <v>1929.510000000002</v>
      </c>
      <c r="I72" s="70">
        <f t="shared" si="3"/>
        <v>-1498.0415999999768</v>
      </c>
    </row>
    <row r="73" spans="1:9" x14ac:dyDescent="0.25">
      <c r="A73" t="s">
        <v>294</v>
      </c>
      <c r="B73" s="3">
        <v>35000</v>
      </c>
      <c r="C73" s="3" t="s">
        <v>41</v>
      </c>
      <c r="D73" s="72">
        <v>42873</v>
      </c>
      <c r="E73">
        <v>1369258</v>
      </c>
      <c r="F73" s="3">
        <v>33303.910000000003</v>
      </c>
      <c r="G73" s="73">
        <v>42879</v>
      </c>
      <c r="H73" s="70">
        <f t="shared" si="2"/>
        <v>1696.0899999999965</v>
      </c>
      <c r="I73" s="70">
        <f t="shared" si="3"/>
        <v>198.04840000001968</v>
      </c>
    </row>
    <row r="74" spans="1:9" x14ac:dyDescent="0.25">
      <c r="A74" t="s">
        <v>295</v>
      </c>
      <c r="B74" s="3">
        <v>34000</v>
      </c>
      <c r="C74" s="3" t="s">
        <v>45</v>
      </c>
      <c r="D74" s="72">
        <v>42874</v>
      </c>
      <c r="E74">
        <v>1369442</v>
      </c>
      <c r="F74" s="3">
        <v>33132.26</v>
      </c>
      <c r="G74" s="73">
        <v>42880</v>
      </c>
      <c r="H74" s="70">
        <f t="shared" si="2"/>
        <v>867.73999999999796</v>
      </c>
      <c r="I74" s="70">
        <f t="shared" si="3"/>
        <v>1065.7884000000176</v>
      </c>
    </row>
    <row r="75" spans="1:9" x14ac:dyDescent="0.25">
      <c r="A75" t="s">
        <v>296</v>
      </c>
      <c r="B75" s="3">
        <v>33000</v>
      </c>
      <c r="C75" s="3" t="s">
        <v>29</v>
      </c>
      <c r="D75" s="72">
        <v>42877</v>
      </c>
      <c r="E75">
        <v>1369860</v>
      </c>
      <c r="F75" s="3">
        <v>34041.629999999997</v>
      </c>
      <c r="G75" s="73">
        <v>42881</v>
      </c>
      <c r="H75" s="70">
        <f t="shared" si="2"/>
        <v>-1041.6299999999974</v>
      </c>
      <c r="I75" s="70">
        <f t="shared" si="3"/>
        <v>24.158400000020265</v>
      </c>
    </row>
    <row r="76" spans="1:9" x14ac:dyDescent="0.25">
      <c r="A76" t="s">
        <v>297</v>
      </c>
      <c r="B76" s="3">
        <v>52000</v>
      </c>
      <c r="C76" s="3" t="s">
        <v>48</v>
      </c>
      <c r="D76" s="72">
        <v>42878</v>
      </c>
      <c r="E76">
        <v>1369766</v>
      </c>
      <c r="F76" s="3">
        <v>50081.94</v>
      </c>
      <c r="G76" s="73">
        <v>42884</v>
      </c>
      <c r="H76" s="70">
        <f t="shared" si="2"/>
        <v>1918.0599999999977</v>
      </c>
      <c r="I76" s="70">
        <f t="shared" si="3"/>
        <v>1942.2184000000179</v>
      </c>
    </row>
    <row r="77" spans="1:9" x14ac:dyDescent="0.25">
      <c r="A77" t="s">
        <v>298</v>
      </c>
      <c r="B77" s="3">
        <v>33000</v>
      </c>
      <c r="C77" s="3" t="s">
        <v>41</v>
      </c>
      <c r="D77" s="72">
        <v>42880</v>
      </c>
      <c r="E77">
        <v>1371521</v>
      </c>
      <c r="F77" s="3">
        <v>32216.43</v>
      </c>
      <c r="G77" s="73">
        <v>42886</v>
      </c>
      <c r="H77" s="70">
        <f t="shared" si="2"/>
        <v>783.56999999999971</v>
      </c>
      <c r="I77" s="70">
        <f t="shared" si="3"/>
        <v>2725.7884000000176</v>
      </c>
    </row>
    <row r="78" spans="1:9" x14ac:dyDescent="0.25">
      <c r="A78" t="s">
        <v>299</v>
      </c>
      <c r="B78" s="3">
        <v>33500</v>
      </c>
      <c r="C78" s="3" t="s">
        <v>45</v>
      </c>
      <c r="D78" s="72">
        <v>42881</v>
      </c>
      <c r="E78">
        <v>1371522</v>
      </c>
      <c r="F78" s="3">
        <v>32204.94</v>
      </c>
      <c r="G78" s="73">
        <v>42887</v>
      </c>
      <c r="H78" s="70">
        <f t="shared" si="2"/>
        <v>1295.0600000000013</v>
      </c>
      <c r="I78" s="70">
        <f t="shared" si="3"/>
        <v>4020.848400000019</v>
      </c>
    </row>
    <row r="79" spans="1:9" x14ac:dyDescent="0.25">
      <c r="A79" t="s">
        <v>300</v>
      </c>
      <c r="B79" s="3">
        <v>34000</v>
      </c>
      <c r="C79" s="3" t="s">
        <v>48</v>
      </c>
      <c r="D79" s="72">
        <v>42885</v>
      </c>
      <c r="E79">
        <v>1371960</v>
      </c>
      <c r="F79" s="3">
        <v>32469.86</v>
      </c>
      <c r="G79" s="73">
        <v>42888</v>
      </c>
      <c r="H79" s="70">
        <f t="shared" si="2"/>
        <v>1530.1399999999994</v>
      </c>
      <c r="I79" s="70">
        <f t="shared" si="3"/>
        <v>5550.9884000000184</v>
      </c>
    </row>
    <row r="80" spans="1:9" x14ac:dyDescent="0.25">
      <c r="A80" t="s">
        <v>301</v>
      </c>
      <c r="B80" s="75">
        <v>34000</v>
      </c>
      <c r="C80" s="3" t="s">
        <v>41</v>
      </c>
      <c r="D80" s="72">
        <v>42887</v>
      </c>
      <c r="E80">
        <v>1373428</v>
      </c>
      <c r="F80" s="3">
        <v>31234.99</v>
      </c>
      <c r="G80" s="73">
        <v>42893</v>
      </c>
      <c r="H80" s="70">
        <f t="shared" si="2"/>
        <v>2765.0099999999984</v>
      </c>
      <c r="I80" s="70">
        <f t="shared" si="3"/>
        <v>8315.9984000000168</v>
      </c>
    </row>
    <row r="81" spans="1:9" x14ac:dyDescent="0.25">
      <c r="A81" t="s">
        <v>302</v>
      </c>
      <c r="B81" s="3">
        <v>31000</v>
      </c>
      <c r="C81" s="3" t="s">
        <v>45</v>
      </c>
      <c r="D81" s="72">
        <v>42888</v>
      </c>
      <c r="E81">
        <v>1373690</v>
      </c>
      <c r="F81" s="3">
        <v>32142.83</v>
      </c>
      <c r="G81" s="73">
        <v>42894</v>
      </c>
      <c r="H81" s="70">
        <f t="shared" si="2"/>
        <v>-1142.8300000000017</v>
      </c>
      <c r="I81" s="70">
        <f t="shared" si="3"/>
        <v>7173.168400000015</v>
      </c>
    </row>
    <row r="82" spans="1:9" x14ac:dyDescent="0.25">
      <c r="A82" t="s">
        <v>303</v>
      </c>
      <c r="B82" s="3">
        <v>28000</v>
      </c>
      <c r="C82" s="3" t="s">
        <v>29</v>
      </c>
      <c r="D82" s="72">
        <v>42891</v>
      </c>
      <c r="E82">
        <v>1374001</v>
      </c>
      <c r="F82" s="3">
        <v>29746.74</v>
      </c>
      <c r="G82" s="73">
        <v>42895</v>
      </c>
      <c r="H82" s="70">
        <f t="shared" si="2"/>
        <v>-1746.7400000000016</v>
      </c>
      <c r="I82" s="70">
        <f t="shared" si="3"/>
        <v>5426.4284000000134</v>
      </c>
    </row>
    <row r="83" spans="1:9" x14ac:dyDescent="0.25">
      <c r="A83" t="s">
        <v>304</v>
      </c>
      <c r="B83" s="3">
        <v>31000</v>
      </c>
      <c r="C83" s="3" t="s">
        <v>41</v>
      </c>
      <c r="D83" s="72">
        <v>42894</v>
      </c>
      <c r="E83">
        <v>1375620</v>
      </c>
      <c r="F83" s="3">
        <v>32712.57</v>
      </c>
      <c r="G83" s="73">
        <v>42900</v>
      </c>
      <c r="H83" s="70">
        <f t="shared" si="2"/>
        <v>-1712.5699999999997</v>
      </c>
      <c r="I83" s="70">
        <f t="shared" si="3"/>
        <v>3713.8584000000137</v>
      </c>
    </row>
    <row r="84" spans="1:9" x14ac:dyDescent="0.25">
      <c r="A84" t="s">
        <v>305</v>
      </c>
      <c r="B84" s="3">
        <v>31000</v>
      </c>
      <c r="C84" s="3" t="s">
        <v>45</v>
      </c>
      <c r="D84" s="72">
        <v>42895</v>
      </c>
      <c r="E84">
        <v>1375824</v>
      </c>
      <c r="F84" s="3">
        <v>33291.17</v>
      </c>
      <c r="G84" s="73">
        <v>42901</v>
      </c>
      <c r="H84" s="70">
        <f t="shared" si="2"/>
        <v>-2291.1699999999983</v>
      </c>
      <c r="I84" s="70">
        <f t="shared" si="3"/>
        <v>1422.6884000000155</v>
      </c>
    </row>
    <row r="85" spans="1:9" x14ac:dyDescent="0.25">
      <c r="A85" t="s">
        <v>306</v>
      </c>
      <c r="B85" s="3">
        <v>31000</v>
      </c>
      <c r="C85" s="3" t="s">
        <v>29</v>
      </c>
      <c r="D85" s="72">
        <v>42898</v>
      </c>
      <c r="E85">
        <v>1375910</v>
      </c>
      <c r="F85" s="3">
        <v>33666.480000000003</v>
      </c>
      <c r="G85" s="73">
        <v>42902</v>
      </c>
      <c r="H85" s="70">
        <f t="shared" si="2"/>
        <v>-2666.4800000000032</v>
      </c>
      <c r="I85" s="70">
        <f t="shared" si="3"/>
        <v>-1243.7915999999877</v>
      </c>
    </row>
    <row r="86" spans="1:9" x14ac:dyDescent="0.25">
      <c r="A86" t="s">
        <v>307</v>
      </c>
      <c r="B86" s="3">
        <v>33500</v>
      </c>
      <c r="C86" s="3" t="s">
        <v>41</v>
      </c>
      <c r="D86" s="72">
        <v>42901</v>
      </c>
      <c r="E86">
        <v>1377755</v>
      </c>
      <c r="F86" s="3">
        <v>34318.559999999998</v>
      </c>
      <c r="G86" s="73">
        <v>42907</v>
      </c>
      <c r="H86" s="70">
        <f t="shared" si="2"/>
        <v>-818.55999999999767</v>
      </c>
      <c r="I86" s="70">
        <f t="shared" si="3"/>
        <v>-2062.3515999999854</v>
      </c>
    </row>
    <row r="87" spans="1:9" x14ac:dyDescent="0.25">
      <c r="A87" t="s">
        <v>308</v>
      </c>
      <c r="B87" s="3">
        <v>33500</v>
      </c>
      <c r="C87" s="3" t="s">
        <v>45</v>
      </c>
      <c r="D87" s="72">
        <v>42902</v>
      </c>
      <c r="E87">
        <v>1377984</v>
      </c>
      <c r="F87" s="3">
        <v>33955.42</v>
      </c>
      <c r="G87" s="73">
        <v>42908</v>
      </c>
      <c r="H87" s="70">
        <f t="shared" si="2"/>
        <v>-455.41999999999825</v>
      </c>
      <c r="I87" s="70">
        <f t="shared" si="3"/>
        <v>-2517.7715999999837</v>
      </c>
    </row>
    <row r="88" spans="1:9" x14ac:dyDescent="0.25">
      <c r="A88" t="s">
        <v>309</v>
      </c>
      <c r="B88" s="3">
        <v>36000</v>
      </c>
      <c r="C88" s="3" t="s">
        <v>29</v>
      </c>
      <c r="D88" s="72">
        <v>42905</v>
      </c>
      <c r="E88">
        <v>1378234</v>
      </c>
      <c r="F88" s="3">
        <v>33585.78</v>
      </c>
      <c r="G88" s="73">
        <v>42909</v>
      </c>
      <c r="H88" s="70">
        <f t="shared" si="2"/>
        <v>2414.2200000000012</v>
      </c>
      <c r="I88" s="70">
        <f t="shared" si="3"/>
        <v>-103.5515999999825</v>
      </c>
    </row>
    <row r="89" spans="1:9" x14ac:dyDescent="0.25">
      <c r="A89" t="s">
        <v>310</v>
      </c>
      <c r="B89" s="3">
        <v>36000</v>
      </c>
      <c r="C89" s="3" t="s">
        <v>41</v>
      </c>
      <c r="D89" s="72">
        <v>42908</v>
      </c>
      <c r="E89">
        <v>1379912</v>
      </c>
      <c r="F89" s="3">
        <v>34500.53</v>
      </c>
      <c r="G89" s="73">
        <v>42914</v>
      </c>
      <c r="H89" s="70">
        <f t="shared" si="2"/>
        <v>1499.4700000000012</v>
      </c>
      <c r="I89" s="70">
        <f t="shared" si="3"/>
        <v>1395.9184000000187</v>
      </c>
    </row>
    <row r="90" spans="1:9" x14ac:dyDescent="0.25">
      <c r="A90" t="s">
        <v>311</v>
      </c>
      <c r="B90" s="3">
        <v>36000</v>
      </c>
      <c r="C90" s="3" t="s">
        <v>45</v>
      </c>
      <c r="D90" s="72">
        <v>42909</v>
      </c>
      <c r="E90">
        <v>1380721</v>
      </c>
      <c r="F90" s="3">
        <v>36409.78</v>
      </c>
      <c r="G90" s="73">
        <v>42915</v>
      </c>
      <c r="H90" s="70">
        <f t="shared" si="2"/>
        <v>-409.77999999999884</v>
      </c>
      <c r="I90" s="70">
        <f t="shared" si="3"/>
        <v>986.13840000001983</v>
      </c>
    </row>
    <row r="91" spans="1:9" x14ac:dyDescent="0.25">
      <c r="A91" t="s">
        <v>312</v>
      </c>
      <c r="B91" s="3">
        <v>36000</v>
      </c>
      <c r="C91" s="3" t="s">
        <v>29</v>
      </c>
      <c r="D91" s="72">
        <v>42912</v>
      </c>
      <c r="E91">
        <v>1380722</v>
      </c>
      <c r="F91" s="3">
        <v>36343.629999999997</v>
      </c>
      <c r="G91" s="73">
        <v>42916</v>
      </c>
      <c r="H91" s="70">
        <f t="shared" si="2"/>
        <v>-343.62999999999738</v>
      </c>
      <c r="I91" s="70">
        <f t="shared" si="3"/>
        <v>642.50840000002245</v>
      </c>
    </row>
    <row r="92" spans="1:9" x14ac:dyDescent="0.25">
      <c r="A92" t="s">
        <v>313</v>
      </c>
      <c r="B92" s="3">
        <v>37500</v>
      </c>
      <c r="C92" s="3" t="s">
        <v>41</v>
      </c>
      <c r="D92" s="72">
        <v>42915</v>
      </c>
      <c r="E92">
        <v>1381802</v>
      </c>
      <c r="F92" s="3">
        <v>36917.800000000003</v>
      </c>
      <c r="G92" s="73">
        <v>42921</v>
      </c>
      <c r="H92" s="70">
        <f t="shared" si="2"/>
        <v>582.19999999999709</v>
      </c>
      <c r="I92" s="70">
        <f t="shared" si="3"/>
        <v>1224.7084000000195</v>
      </c>
    </row>
    <row r="93" spans="1:9" x14ac:dyDescent="0.25">
      <c r="A93" t="s">
        <v>314</v>
      </c>
      <c r="B93" s="3">
        <v>37500</v>
      </c>
      <c r="C93" s="3" t="s">
        <v>29</v>
      </c>
      <c r="D93" s="72">
        <v>42919</v>
      </c>
      <c r="E93">
        <v>1382078</v>
      </c>
      <c r="F93" s="3">
        <v>31453.599999999999</v>
      </c>
      <c r="G93" s="73">
        <v>42923</v>
      </c>
      <c r="H93" s="70">
        <f t="shared" si="2"/>
        <v>6046.4000000000015</v>
      </c>
      <c r="I93" s="70">
        <f t="shared" si="3"/>
        <v>7271.108400000021</v>
      </c>
    </row>
    <row r="94" spans="1:9" x14ac:dyDescent="0.25">
      <c r="A94" t="s">
        <v>315</v>
      </c>
      <c r="B94" s="3">
        <v>38500</v>
      </c>
      <c r="C94" s="3" t="s">
        <v>41</v>
      </c>
      <c r="D94" s="72">
        <v>42922</v>
      </c>
      <c r="E94">
        <v>1383627</v>
      </c>
      <c r="F94" s="3">
        <v>37553.050000000003</v>
      </c>
      <c r="G94" s="73">
        <v>42928</v>
      </c>
      <c r="H94" s="70">
        <f t="shared" si="2"/>
        <v>946.94999999999709</v>
      </c>
      <c r="I94" s="70">
        <f t="shared" si="3"/>
        <v>8218.0584000000181</v>
      </c>
    </row>
    <row r="95" spans="1:9" x14ac:dyDescent="0.25">
      <c r="A95" t="s">
        <v>316</v>
      </c>
      <c r="B95" s="3">
        <v>35000</v>
      </c>
      <c r="C95" s="3" t="s">
        <v>29</v>
      </c>
      <c r="D95" s="72">
        <v>42926</v>
      </c>
      <c r="E95">
        <v>1384051</v>
      </c>
      <c r="F95" s="3">
        <v>39342.06</v>
      </c>
      <c r="G95" s="73">
        <v>42930</v>
      </c>
      <c r="H95" s="70">
        <f t="shared" si="2"/>
        <v>-4342.0599999999977</v>
      </c>
      <c r="I95" s="70">
        <f t="shared" si="3"/>
        <v>3875.9984000000204</v>
      </c>
    </row>
    <row r="96" spans="1:9" x14ac:dyDescent="0.25">
      <c r="A96" t="s">
        <v>317</v>
      </c>
      <c r="B96" s="3">
        <v>36000</v>
      </c>
      <c r="C96" s="3" t="s">
        <v>41</v>
      </c>
      <c r="D96" s="72">
        <v>42929</v>
      </c>
      <c r="E96">
        <v>1385754</v>
      </c>
      <c r="F96" s="3">
        <v>37941.300000000003</v>
      </c>
      <c r="G96" s="73">
        <v>42935</v>
      </c>
      <c r="H96" s="70">
        <f t="shared" si="2"/>
        <v>-1941.3000000000029</v>
      </c>
      <c r="I96" s="70">
        <f t="shared" si="3"/>
        <v>1934.6984000000175</v>
      </c>
    </row>
    <row r="97" spans="1:9" x14ac:dyDescent="0.25">
      <c r="A97" t="s">
        <v>318</v>
      </c>
      <c r="B97" s="3">
        <v>41000</v>
      </c>
      <c r="C97" s="3" t="s">
        <v>29</v>
      </c>
      <c r="D97" s="72">
        <v>42933</v>
      </c>
      <c r="E97">
        <v>1386216</v>
      </c>
      <c r="F97" s="3">
        <v>38161.760000000002</v>
      </c>
      <c r="G97" s="73">
        <v>42937</v>
      </c>
      <c r="H97" s="70">
        <f t="shared" si="2"/>
        <v>2838.239999999998</v>
      </c>
      <c r="I97" s="70">
        <f t="shared" si="3"/>
        <v>4772.9384000000155</v>
      </c>
    </row>
    <row r="98" spans="1:9" x14ac:dyDescent="0.25">
      <c r="A98" t="s">
        <v>319</v>
      </c>
      <c r="B98" s="3">
        <v>40500</v>
      </c>
      <c r="C98" s="3" t="s">
        <v>41</v>
      </c>
      <c r="D98" s="72">
        <v>42936</v>
      </c>
      <c r="E98">
        <v>1387510</v>
      </c>
      <c r="F98" s="3">
        <v>33590.54</v>
      </c>
      <c r="G98" s="73">
        <v>42942</v>
      </c>
      <c r="H98" s="70">
        <f t="shared" si="2"/>
        <v>6909.4599999999991</v>
      </c>
      <c r="I98" s="70">
        <f t="shared" si="3"/>
        <v>11682.398400000015</v>
      </c>
    </row>
    <row r="99" spans="1:9" x14ac:dyDescent="0.25">
      <c r="A99" t="s">
        <v>320</v>
      </c>
      <c r="B99" s="3">
        <v>39000</v>
      </c>
      <c r="C99" s="3" t="s">
        <v>29</v>
      </c>
      <c r="D99" s="72">
        <v>42940</v>
      </c>
      <c r="E99">
        <v>1388142</v>
      </c>
      <c r="F99" s="3">
        <v>36502.080000000002</v>
      </c>
      <c r="G99" s="73">
        <v>42944</v>
      </c>
      <c r="H99" s="70">
        <f t="shared" si="2"/>
        <v>2497.9199999999983</v>
      </c>
      <c r="I99" s="70">
        <f t="shared" si="3"/>
        <v>14180.318400000013</v>
      </c>
    </row>
    <row r="100" spans="1:9" x14ac:dyDescent="0.25">
      <c r="A100" t="s">
        <v>321</v>
      </c>
      <c r="B100" s="3">
        <v>38000</v>
      </c>
      <c r="C100" s="3" t="s">
        <v>41</v>
      </c>
      <c r="D100" s="72">
        <v>42974</v>
      </c>
      <c r="E100">
        <v>1389915</v>
      </c>
      <c r="F100" s="3">
        <v>34020.46</v>
      </c>
      <c r="G100" s="73">
        <v>42949</v>
      </c>
      <c r="H100" s="70">
        <f t="shared" si="2"/>
        <v>3979.5400000000009</v>
      </c>
      <c r="I100" s="70">
        <f t="shared" si="3"/>
        <v>18159.858400000012</v>
      </c>
    </row>
    <row r="101" spans="1:9" x14ac:dyDescent="0.25">
      <c r="A101" t="s">
        <v>322</v>
      </c>
      <c r="B101" s="3">
        <v>38000</v>
      </c>
      <c r="C101" s="3" t="s">
        <v>29</v>
      </c>
      <c r="D101" s="72">
        <v>42947</v>
      </c>
      <c r="E101">
        <v>1389916</v>
      </c>
      <c r="F101" s="3">
        <v>33951.360000000001</v>
      </c>
      <c r="G101" s="73">
        <v>42951</v>
      </c>
      <c r="H101" s="70">
        <f t="shared" si="2"/>
        <v>4048.6399999999994</v>
      </c>
      <c r="I101" s="70">
        <f t="shared" si="3"/>
        <v>22208.498400000011</v>
      </c>
    </row>
    <row r="102" spans="1:9" x14ac:dyDescent="0.25">
      <c r="A102" t="s">
        <v>323</v>
      </c>
      <c r="B102" s="3">
        <v>38000</v>
      </c>
      <c r="C102" s="3" t="s">
        <v>41</v>
      </c>
      <c r="D102" s="72">
        <v>42950</v>
      </c>
      <c r="E102">
        <v>1391888</v>
      </c>
      <c r="F102" s="3">
        <v>32811.160000000003</v>
      </c>
      <c r="G102" s="73">
        <v>42956</v>
      </c>
      <c r="H102" s="70">
        <f t="shared" si="2"/>
        <v>5188.8399999999965</v>
      </c>
      <c r="I102" s="70">
        <f t="shared" si="3"/>
        <v>27397.338400000008</v>
      </c>
    </row>
    <row r="103" spans="1:9" x14ac:dyDescent="0.25">
      <c r="A103" t="s">
        <v>324</v>
      </c>
      <c r="B103" s="3">
        <v>10000</v>
      </c>
      <c r="C103" s="3" t="s">
        <v>29</v>
      </c>
      <c r="D103" s="72">
        <v>42954</v>
      </c>
      <c r="E103">
        <v>1392092</v>
      </c>
      <c r="F103" s="3">
        <v>32835.629999999997</v>
      </c>
      <c r="G103" s="73">
        <v>42958</v>
      </c>
      <c r="H103" s="70">
        <f t="shared" si="2"/>
        <v>-22835.629999999997</v>
      </c>
      <c r="I103" s="70">
        <f t="shared" si="3"/>
        <v>4561.7084000000104</v>
      </c>
    </row>
    <row r="104" spans="1:9" x14ac:dyDescent="0.25">
      <c r="A104" t="s">
        <v>325</v>
      </c>
      <c r="B104" s="3">
        <v>30000</v>
      </c>
      <c r="C104" s="3" t="s">
        <v>41</v>
      </c>
      <c r="D104" s="72">
        <v>42957</v>
      </c>
      <c r="E104">
        <v>1393699</v>
      </c>
      <c r="F104" s="3">
        <v>31667.41</v>
      </c>
      <c r="G104" s="73">
        <v>42963</v>
      </c>
      <c r="H104" s="70">
        <f t="shared" si="2"/>
        <v>-1667.4099999999999</v>
      </c>
      <c r="I104" s="70">
        <f t="shared" si="3"/>
        <v>2894.2984000000106</v>
      </c>
    </row>
    <row r="105" spans="1:9" x14ac:dyDescent="0.25">
      <c r="A105" t="s">
        <v>326</v>
      </c>
      <c r="B105" s="3">
        <v>33000</v>
      </c>
      <c r="C105" s="3" t="s">
        <v>29</v>
      </c>
      <c r="D105" s="72">
        <v>42961</v>
      </c>
      <c r="E105">
        <v>1394492</v>
      </c>
      <c r="F105" s="3">
        <v>31848.9</v>
      </c>
      <c r="G105" s="73">
        <v>42965</v>
      </c>
      <c r="H105" s="70">
        <f t="shared" si="2"/>
        <v>1151.0999999999985</v>
      </c>
      <c r="I105" s="70">
        <f t="shared" si="3"/>
        <v>4045.3984000000091</v>
      </c>
    </row>
    <row r="106" spans="1:9" x14ac:dyDescent="0.25">
      <c r="A106" t="s">
        <v>327</v>
      </c>
      <c r="B106" s="3">
        <v>32000</v>
      </c>
      <c r="C106" s="3" t="s">
        <v>41</v>
      </c>
      <c r="D106" s="72">
        <v>42964</v>
      </c>
      <c r="E106">
        <v>1396056</v>
      </c>
      <c r="F106" s="3">
        <v>33243.1</v>
      </c>
      <c r="G106" s="73">
        <v>42970</v>
      </c>
      <c r="H106" s="70">
        <f t="shared" si="2"/>
        <v>-1243.0999999999985</v>
      </c>
      <c r="I106" s="70">
        <f t="shared" si="3"/>
        <v>2802.2984000000106</v>
      </c>
    </row>
    <row r="107" spans="1:9" x14ac:dyDescent="0.25">
      <c r="A107" t="s">
        <v>328</v>
      </c>
      <c r="B107" s="3">
        <v>30000</v>
      </c>
      <c r="C107" s="3" t="s">
        <v>29</v>
      </c>
      <c r="D107" s="72">
        <v>42968</v>
      </c>
      <c r="E107">
        <v>1396474</v>
      </c>
      <c r="F107" s="3">
        <v>33580.39</v>
      </c>
      <c r="G107" s="73">
        <v>42972</v>
      </c>
      <c r="H107" s="70">
        <f t="shared" si="2"/>
        <v>-3580.3899999999994</v>
      </c>
      <c r="I107" s="70">
        <f t="shared" si="3"/>
        <v>-778.09159999998883</v>
      </c>
    </row>
    <row r="108" spans="1:9" x14ac:dyDescent="0.25">
      <c r="A108" t="s">
        <v>329</v>
      </c>
      <c r="B108" s="3">
        <v>31500</v>
      </c>
      <c r="C108" s="3" t="s">
        <v>41</v>
      </c>
      <c r="D108" s="72">
        <v>42971</v>
      </c>
      <c r="E108">
        <v>1398075</v>
      </c>
      <c r="F108" s="3">
        <v>34243.46</v>
      </c>
      <c r="G108" s="73">
        <v>42977</v>
      </c>
      <c r="H108" s="70">
        <f t="shared" si="2"/>
        <v>-2743.4599999999991</v>
      </c>
      <c r="I108" s="70">
        <f t="shared" si="3"/>
        <v>-3521.551599999988</v>
      </c>
    </row>
    <row r="109" spans="1:9" x14ac:dyDescent="0.25">
      <c r="A109" t="s">
        <v>330</v>
      </c>
      <c r="B109" s="3">
        <v>37000</v>
      </c>
      <c r="C109" s="3" t="s">
        <v>29</v>
      </c>
      <c r="D109" s="72">
        <v>42975</v>
      </c>
      <c r="E109">
        <v>1398533</v>
      </c>
      <c r="F109" s="3">
        <v>34679.699999999997</v>
      </c>
      <c r="G109" s="73">
        <v>42979</v>
      </c>
      <c r="H109" s="70">
        <f t="shared" si="2"/>
        <v>2320.3000000000029</v>
      </c>
      <c r="I109" s="70">
        <f t="shared" si="3"/>
        <v>-1201.251599999985</v>
      </c>
    </row>
    <row r="110" spans="1:9" x14ac:dyDescent="0.25">
      <c r="A110" t="s">
        <v>331</v>
      </c>
      <c r="B110" s="3">
        <v>35000</v>
      </c>
      <c r="C110" s="3" t="s">
        <v>41</v>
      </c>
      <c r="D110" s="72">
        <v>42978</v>
      </c>
      <c r="E110">
        <v>1400181</v>
      </c>
      <c r="F110" s="3">
        <v>35168.32</v>
      </c>
      <c r="G110" s="73">
        <v>42985</v>
      </c>
      <c r="H110" s="70">
        <f t="shared" si="2"/>
        <v>-168.31999999999971</v>
      </c>
      <c r="I110" s="70">
        <f t="shared" si="3"/>
        <v>-1369.5715999999848</v>
      </c>
    </row>
    <row r="111" spans="1:9" x14ac:dyDescent="0.25">
      <c r="A111" t="s">
        <v>332</v>
      </c>
      <c r="B111" s="3">
        <v>35000</v>
      </c>
      <c r="C111" s="3" t="s">
        <v>41</v>
      </c>
      <c r="D111" s="72">
        <v>42978</v>
      </c>
      <c r="E111">
        <v>1400375</v>
      </c>
      <c r="F111" s="3">
        <v>34630.25</v>
      </c>
      <c r="G111" s="73">
        <v>42985</v>
      </c>
      <c r="H111" s="70">
        <f t="shared" si="2"/>
        <v>369.75</v>
      </c>
      <c r="I111" s="70">
        <f t="shared" si="3"/>
        <v>-999.82159999998476</v>
      </c>
    </row>
    <row r="112" spans="1:9" x14ac:dyDescent="0.25">
      <c r="A112" t="s">
        <v>333</v>
      </c>
      <c r="B112" s="3">
        <v>37000</v>
      </c>
      <c r="C112" s="3" t="s">
        <v>48</v>
      </c>
      <c r="D112" s="72">
        <v>42983</v>
      </c>
      <c r="E112">
        <v>1400784</v>
      </c>
      <c r="F112" s="3">
        <v>34858.6</v>
      </c>
      <c r="G112" s="73">
        <v>42989</v>
      </c>
      <c r="H112" s="70">
        <f t="shared" si="2"/>
        <v>2141.4000000000015</v>
      </c>
      <c r="I112" s="70">
        <f t="shared" si="3"/>
        <v>1141.5784000000167</v>
      </c>
    </row>
    <row r="113" spans="1:9" x14ac:dyDescent="0.25">
      <c r="A113" t="s">
        <v>334</v>
      </c>
      <c r="B113" s="3">
        <v>36000</v>
      </c>
      <c r="C113" s="3" t="s">
        <v>41</v>
      </c>
      <c r="D113" s="72">
        <v>42985</v>
      </c>
      <c r="E113">
        <v>1402008</v>
      </c>
      <c r="F113" s="3">
        <v>35312.26</v>
      </c>
      <c r="G113" s="73">
        <v>42991</v>
      </c>
      <c r="H113" s="70">
        <f t="shared" si="2"/>
        <v>687.73999999999796</v>
      </c>
      <c r="I113" s="70">
        <f t="shared" si="3"/>
        <v>1829.3184000000147</v>
      </c>
    </row>
    <row r="114" spans="1:9" x14ac:dyDescent="0.25">
      <c r="A114" t="s">
        <v>335</v>
      </c>
      <c r="B114" s="3">
        <v>36000</v>
      </c>
      <c r="C114" s="3" t="s">
        <v>45</v>
      </c>
      <c r="D114" s="72">
        <v>42986</v>
      </c>
      <c r="E114">
        <v>1402290</v>
      </c>
      <c r="F114" s="3">
        <v>32895.94</v>
      </c>
      <c r="G114" s="73">
        <v>42992</v>
      </c>
      <c r="H114" s="70">
        <f t="shared" si="2"/>
        <v>3104.0599999999977</v>
      </c>
      <c r="I114" s="70">
        <f t="shared" si="3"/>
        <v>4933.3784000000123</v>
      </c>
    </row>
    <row r="115" spans="1:9" x14ac:dyDescent="0.25">
      <c r="A115" t="s">
        <v>336</v>
      </c>
      <c r="B115" s="3">
        <v>35000</v>
      </c>
      <c r="C115" s="3" t="s">
        <v>41</v>
      </c>
      <c r="D115" s="72">
        <v>42992</v>
      </c>
      <c r="E115">
        <v>1404689</v>
      </c>
      <c r="F115" s="3">
        <v>32097.25</v>
      </c>
      <c r="G115" s="73">
        <v>42998</v>
      </c>
      <c r="H115" s="70">
        <f t="shared" si="2"/>
        <v>2902.75</v>
      </c>
      <c r="I115" s="70">
        <f t="shared" si="3"/>
        <v>7836.1284000000123</v>
      </c>
    </row>
    <row r="116" spans="1:9" x14ac:dyDescent="0.25">
      <c r="A116" t="s">
        <v>337</v>
      </c>
      <c r="B116" s="3">
        <v>36000</v>
      </c>
      <c r="C116" s="3" t="s">
        <v>45</v>
      </c>
      <c r="D116" s="72">
        <v>42993</v>
      </c>
      <c r="E116">
        <v>1404420</v>
      </c>
      <c r="F116" s="3">
        <v>32371.919999999998</v>
      </c>
      <c r="G116" s="73">
        <v>42999</v>
      </c>
      <c r="H116" s="70">
        <f t="shared" si="2"/>
        <v>3628.0800000000017</v>
      </c>
      <c r="I116" s="70">
        <f t="shared" si="3"/>
        <v>11464.208400000014</v>
      </c>
    </row>
    <row r="117" spans="1:9" x14ac:dyDescent="0.25">
      <c r="A117" t="s">
        <v>338</v>
      </c>
      <c r="B117" s="3">
        <v>29000</v>
      </c>
      <c r="C117" s="3" t="s">
        <v>275</v>
      </c>
      <c r="D117" s="72">
        <v>42999</v>
      </c>
      <c r="E117">
        <v>1406398</v>
      </c>
      <c r="F117" s="3">
        <v>27306.99</v>
      </c>
      <c r="G117" s="73">
        <v>43005</v>
      </c>
      <c r="H117" s="70">
        <f t="shared" si="2"/>
        <v>1693.0099999999984</v>
      </c>
      <c r="I117" s="70">
        <f t="shared" si="3"/>
        <v>13157.218400000012</v>
      </c>
    </row>
    <row r="118" spans="1:9" x14ac:dyDescent="0.25">
      <c r="A118" t="s">
        <v>339</v>
      </c>
      <c r="B118" s="3">
        <v>29000</v>
      </c>
      <c r="C118" s="3" t="s">
        <v>45</v>
      </c>
      <c r="D118" s="72">
        <v>43000</v>
      </c>
      <c r="E118">
        <v>1406667</v>
      </c>
      <c r="F118" s="3">
        <v>28364.81</v>
      </c>
      <c r="G118" s="73">
        <v>43006</v>
      </c>
      <c r="H118" s="70">
        <f t="shared" si="2"/>
        <v>635.18999999999869</v>
      </c>
      <c r="I118" s="70">
        <f t="shared" si="3"/>
        <v>13792.408400000011</v>
      </c>
    </row>
    <row r="119" spans="1:9" x14ac:dyDescent="0.25">
      <c r="A119" t="s">
        <v>340</v>
      </c>
      <c r="B119" s="3">
        <v>25000</v>
      </c>
      <c r="C119" s="3" t="s">
        <v>41</v>
      </c>
      <c r="D119" s="72">
        <v>43006</v>
      </c>
      <c r="E119">
        <v>1408729</v>
      </c>
      <c r="F119" s="3">
        <v>29116.85</v>
      </c>
      <c r="G119" s="73">
        <v>43012</v>
      </c>
      <c r="H119" s="70">
        <f t="shared" si="2"/>
        <v>-4116.8499999999985</v>
      </c>
      <c r="I119" s="70">
        <f t="shared" si="3"/>
        <v>9675.5584000000126</v>
      </c>
    </row>
    <row r="120" spans="1:9" x14ac:dyDescent="0.25">
      <c r="A120" t="s">
        <v>341</v>
      </c>
      <c r="B120" s="3">
        <v>25000</v>
      </c>
      <c r="C120" s="3" t="s">
        <v>45</v>
      </c>
      <c r="D120" s="72">
        <v>43007</v>
      </c>
      <c r="E120">
        <v>1408730</v>
      </c>
      <c r="F120" s="3">
        <v>29428.880000000001</v>
      </c>
      <c r="G120" s="73">
        <v>43013</v>
      </c>
      <c r="H120" s="70">
        <f t="shared" si="2"/>
        <v>-4428.880000000001</v>
      </c>
      <c r="I120" s="70">
        <f t="shared" si="3"/>
        <v>5246.6784000000116</v>
      </c>
    </row>
    <row r="121" spans="1:9" x14ac:dyDescent="0.25">
      <c r="A121" t="s">
        <v>342</v>
      </c>
      <c r="B121" s="3">
        <v>25000</v>
      </c>
      <c r="C121" s="3" t="s">
        <v>29</v>
      </c>
      <c r="D121" s="72">
        <v>43010</v>
      </c>
      <c r="E121">
        <v>1408971</v>
      </c>
      <c r="F121" s="3">
        <v>29444.68</v>
      </c>
      <c r="G121" s="73">
        <v>43014</v>
      </c>
      <c r="H121" s="70">
        <f t="shared" si="2"/>
        <v>-4444.68</v>
      </c>
      <c r="I121" s="70">
        <f t="shared" si="3"/>
        <v>801.99840000001132</v>
      </c>
    </row>
    <row r="122" spans="1:9" x14ac:dyDescent="0.25">
      <c r="A122" t="s">
        <v>343</v>
      </c>
      <c r="B122" s="3">
        <v>30000</v>
      </c>
      <c r="C122" s="3" t="s">
        <v>41</v>
      </c>
      <c r="D122" s="72">
        <v>43013</v>
      </c>
      <c r="E122">
        <v>1410829</v>
      </c>
      <c r="F122" s="3">
        <v>30160.2</v>
      </c>
      <c r="G122" s="73">
        <v>43019</v>
      </c>
      <c r="H122" s="70">
        <f t="shared" si="2"/>
        <v>-160.20000000000073</v>
      </c>
      <c r="I122" s="70">
        <f t="shared" si="3"/>
        <v>641.79840000001059</v>
      </c>
    </row>
    <row r="123" spans="1:9" x14ac:dyDescent="0.25">
      <c r="A123" t="s">
        <v>344</v>
      </c>
      <c r="B123" s="3">
        <v>31000</v>
      </c>
      <c r="C123" s="3" t="s">
        <v>29</v>
      </c>
      <c r="D123" s="72">
        <v>43017</v>
      </c>
      <c r="E123">
        <v>1411397</v>
      </c>
      <c r="F123" s="3">
        <v>31023.7</v>
      </c>
      <c r="G123" s="73">
        <v>43021</v>
      </c>
      <c r="H123" s="70">
        <f t="shared" si="2"/>
        <v>-23.700000000000728</v>
      </c>
      <c r="I123" s="70">
        <f t="shared" si="3"/>
        <v>618.09840000000986</v>
      </c>
    </row>
    <row r="124" spans="1:9" x14ac:dyDescent="0.25">
      <c r="A124" t="s">
        <v>345</v>
      </c>
      <c r="B124" s="3">
        <v>32000</v>
      </c>
      <c r="C124" s="3" t="s">
        <v>41</v>
      </c>
      <c r="D124" s="72">
        <v>43020</v>
      </c>
      <c r="E124">
        <v>1413041</v>
      </c>
      <c r="F124" s="3">
        <v>32355.759999999998</v>
      </c>
      <c r="G124" s="73">
        <v>43026</v>
      </c>
      <c r="H124" s="70">
        <f t="shared" si="2"/>
        <v>-355.7599999999984</v>
      </c>
      <c r="I124" s="70">
        <f t="shared" si="3"/>
        <v>262.33840000001146</v>
      </c>
    </row>
    <row r="125" spans="1:9" x14ac:dyDescent="0.25">
      <c r="A125" t="s">
        <v>346</v>
      </c>
      <c r="B125" s="3">
        <v>33000</v>
      </c>
      <c r="C125" s="3" t="s">
        <v>29</v>
      </c>
      <c r="D125" s="72">
        <v>43024</v>
      </c>
      <c r="E125">
        <v>1414652</v>
      </c>
      <c r="F125" s="3">
        <v>33658.51</v>
      </c>
      <c r="G125" s="73">
        <v>43032</v>
      </c>
      <c r="H125" s="70">
        <f t="shared" si="2"/>
        <v>-658.51000000000204</v>
      </c>
      <c r="I125" s="70">
        <f t="shared" si="3"/>
        <v>-396.17159999999058</v>
      </c>
    </row>
    <row r="126" spans="1:9" x14ac:dyDescent="0.25">
      <c r="A126" t="s">
        <v>347</v>
      </c>
      <c r="B126" s="3">
        <v>33500</v>
      </c>
      <c r="C126" s="3" t="s">
        <v>41</v>
      </c>
      <c r="D126" s="72">
        <v>43027</v>
      </c>
      <c r="E126">
        <v>1415656</v>
      </c>
      <c r="F126" s="3">
        <v>34205.51</v>
      </c>
      <c r="G126" s="73">
        <v>43033</v>
      </c>
      <c r="H126" s="70">
        <f t="shared" si="2"/>
        <v>-705.51000000000204</v>
      </c>
      <c r="I126" s="70">
        <f t="shared" si="3"/>
        <v>-1101.6815999999926</v>
      </c>
    </row>
    <row r="127" spans="1:9" x14ac:dyDescent="0.25">
      <c r="A127" t="s">
        <v>348</v>
      </c>
      <c r="B127" s="3">
        <v>36000</v>
      </c>
      <c r="C127" s="3" t="s">
        <v>29</v>
      </c>
      <c r="D127" s="72">
        <v>43031</v>
      </c>
      <c r="E127">
        <v>1415901</v>
      </c>
      <c r="F127" s="3">
        <v>34726.42</v>
      </c>
      <c r="G127" s="73">
        <v>43035</v>
      </c>
      <c r="H127" s="70">
        <f t="shared" si="2"/>
        <v>1273.5800000000017</v>
      </c>
      <c r="I127" s="70">
        <f t="shared" si="3"/>
        <v>171.89840000000913</v>
      </c>
    </row>
    <row r="128" spans="1:9" x14ac:dyDescent="0.25">
      <c r="A128" t="s">
        <v>349</v>
      </c>
      <c r="B128" s="3">
        <v>35000</v>
      </c>
      <c r="C128" s="3" t="s">
        <v>41</v>
      </c>
      <c r="D128" s="72">
        <v>43034</v>
      </c>
      <c r="E128">
        <v>1417778</v>
      </c>
      <c r="F128" s="3">
        <v>35289.61</v>
      </c>
      <c r="G128" s="73">
        <v>43040</v>
      </c>
      <c r="H128" s="70">
        <f t="shared" si="2"/>
        <v>-289.61000000000058</v>
      </c>
      <c r="I128" s="70">
        <f t="shared" si="3"/>
        <v>-117.71159999999145</v>
      </c>
    </row>
    <row r="129" spans="1:10" x14ac:dyDescent="0.25">
      <c r="A129" t="s">
        <v>350</v>
      </c>
      <c r="B129" s="3">
        <v>36000</v>
      </c>
      <c r="C129" s="3" t="s">
        <v>29</v>
      </c>
      <c r="D129" s="72">
        <v>43038</v>
      </c>
      <c r="E129">
        <v>1445661</v>
      </c>
      <c r="F129" s="3">
        <v>34423.42</v>
      </c>
      <c r="G129" s="73">
        <v>43042</v>
      </c>
      <c r="H129" s="70">
        <f t="shared" si="2"/>
        <v>1576.5800000000017</v>
      </c>
      <c r="I129" s="70">
        <f t="shared" si="3"/>
        <v>1458.8684000000103</v>
      </c>
    </row>
    <row r="130" spans="1:10" x14ac:dyDescent="0.25">
      <c r="A130" t="s">
        <v>351</v>
      </c>
      <c r="B130" s="3">
        <v>34000</v>
      </c>
      <c r="C130" s="3" t="s">
        <v>48</v>
      </c>
      <c r="D130" s="72">
        <v>43039</v>
      </c>
      <c r="E130">
        <v>1418303</v>
      </c>
      <c r="F130" s="3">
        <v>35531.589999999997</v>
      </c>
      <c r="G130" s="73">
        <v>43042</v>
      </c>
      <c r="H130" s="70">
        <f t="shared" si="2"/>
        <v>-1531.5899999999965</v>
      </c>
      <c r="I130" s="70">
        <f t="shared" si="3"/>
        <v>-72.721599999986211</v>
      </c>
    </row>
    <row r="131" spans="1:10" x14ac:dyDescent="0.25">
      <c r="A131" t="s">
        <v>352</v>
      </c>
      <c r="B131" s="3">
        <v>36500</v>
      </c>
      <c r="C131" s="3" t="s">
        <v>41</v>
      </c>
      <c r="D131" s="72">
        <v>43042</v>
      </c>
      <c r="E131">
        <v>1420116</v>
      </c>
      <c r="F131" s="3">
        <v>34810.26</v>
      </c>
      <c r="G131" s="73">
        <v>43047</v>
      </c>
      <c r="H131" s="70">
        <f t="shared" si="2"/>
        <v>1689.739999999998</v>
      </c>
      <c r="I131" s="70">
        <f t="shared" si="3"/>
        <v>1617.0184000000118</v>
      </c>
    </row>
    <row r="132" spans="1:10" x14ac:dyDescent="0.25">
      <c r="A132" t="s">
        <v>353</v>
      </c>
      <c r="B132" s="3">
        <v>36000</v>
      </c>
      <c r="C132" s="3" t="s">
        <v>29</v>
      </c>
      <c r="D132" s="72">
        <v>43045</v>
      </c>
      <c r="E132">
        <v>1420733</v>
      </c>
      <c r="F132" s="3">
        <v>35089.82</v>
      </c>
      <c r="G132" s="73">
        <v>43049</v>
      </c>
      <c r="H132" s="70">
        <f t="shared" si="2"/>
        <v>910.18000000000029</v>
      </c>
      <c r="I132" s="70">
        <f t="shared" si="3"/>
        <v>2527.198400000012</v>
      </c>
    </row>
    <row r="133" spans="1:10" x14ac:dyDescent="0.25">
      <c r="A133" t="s">
        <v>354</v>
      </c>
      <c r="B133" s="3">
        <v>35000</v>
      </c>
      <c r="C133" s="3" t="s">
        <v>41</v>
      </c>
      <c r="D133" s="72">
        <v>43048</v>
      </c>
      <c r="E133">
        <v>1422464</v>
      </c>
      <c r="F133" s="3">
        <v>34826.300000000003</v>
      </c>
      <c r="G133" s="73">
        <v>43054</v>
      </c>
      <c r="H133" s="70">
        <f t="shared" ref="H133:H168" si="4">B133-F133</f>
        <v>173.69999999999709</v>
      </c>
      <c r="I133" s="70">
        <f t="shared" si="3"/>
        <v>2700.8984000000091</v>
      </c>
    </row>
    <row r="134" spans="1:10" x14ac:dyDescent="0.25">
      <c r="A134" t="s">
        <v>355</v>
      </c>
      <c r="B134" s="3">
        <v>35000</v>
      </c>
      <c r="C134" s="3" t="s">
        <v>29</v>
      </c>
      <c r="D134" s="72">
        <v>43052</v>
      </c>
      <c r="E134">
        <v>1423004</v>
      </c>
      <c r="F134" s="3">
        <v>33705.49</v>
      </c>
      <c r="G134" s="73">
        <v>43056</v>
      </c>
      <c r="H134" s="70">
        <f t="shared" si="4"/>
        <v>1294.510000000002</v>
      </c>
      <c r="I134" s="70">
        <f t="shared" si="3"/>
        <v>3995.4084000000112</v>
      </c>
      <c r="J134" s="61"/>
    </row>
    <row r="135" spans="1:10" x14ac:dyDescent="0.25">
      <c r="A135" t="s">
        <v>356</v>
      </c>
      <c r="B135" s="3">
        <v>423.17</v>
      </c>
      <c r="C135" s="3" t="s">
        <v>228</v>
      </c>
      <c r="D135" s="72">
        <v>43059</v>
      </c>
      <c r="G135" s="73"/>
      <c r="H135" s="70">
        <f t="shared" si="4"/>
        <v>423.17</v>
      </c>
      <c r="I135" s="70">
        <f t="shared" ref="I135:I168" si="5">I134+H135</f>
        <v>4418.5784000000112</v>
      </c>
      <c r="J135" s="61" t="s">
        <v>357</v>
      </c>
    </row>
    <row r="136" spans="1:10" x14ac:dyDescent="0.25">
      <c r="A136" t="s">
        <v>358</v>
      </c>
      <c r="B136" s="3">
        <v>33000</v>
      </c>
      <c r="C136" s="3" t="s">
        <v>41</v>
      </c>
      <c r="D136" s="72">
        <v>43055</v>
      </c>
      <c r="E136">
        <v>1424468</v>
      </c>
      <c r="F136" s="3">
        <v>30965.13</v>
      </c>
      <c r="G136" s="73">
        <v>43061</v>
      </c>
      <c r="H136" s="70">
        <f t="shared" si="4"/>
        <v>2034.869999999999</v>
      </c>
      <c r="I136" s="70">
        <f t="shared" si="5"/>
        <v>6453.4484000000102</v>
      </c>
    </row>
    <row r="137" spans="1:10" x14ac:dyDescent="0.25">
      <c r="A137" t="s">
        <v>359</v>
      </c>
      <c r="B137" s="3">
        <v>30000</v>
      </c>
      <c r="C137" s="3" t="s">
        <v>29</v>
      </c>
      <c r="D137" s="72">
        <v>43056</v>
      </c>
      <c r="E137">
        <v>1424987</v>
      </c>
      <c r="F137" s="3">
        <v>29890.41</v>
      </c>
      <c r="G137" s="73">
        <v>43063</v>
      </c>
      <c r="H137" s="70">
        <f t="shared" si="4"/>
        <v>109.59000000000015</v>
      </c>
      <c r="I137" s="70">
        <f t="shared" si="5"/>
        <v>6563.0384000000104</v>
      </c>
    </row>
    <row r="138" spans="1:10" x14ac:dyDescent="0.25">
      <c r="A138" t="s">
        <v>360</v>
      </c>
      <c r="B138" s="3">
        <v>28000</v>
      </c>
      <c r="C138" s="3" t="s">
        <v>41</v>
      </c>
      <c r="D138" s="72">
        <v>43061</v>
      </c>
      <c r="E138">
        <v>1426748</v>
      </c>
      <c r="F138" s="3">
        <v>30685.85</v>
      </c>
      <c r="G138" s="73">
        <v>43068</v>
      </c>
      <c r="H138" s="70">
        <f t="shared" si="4"/>
        <v>-2685.8499999999985</v>
      </c>
      <c r="I138" s="70">
        <f t="shared" si="5"/>
        <v>3877.1884000000118</v>
      </c>
    </row>
    <row r="139" spans="1:10" x14ac:dyDescent="0.25">
      <c r="A139" t="s">
        <v>361</v>
      </c>
      <c r="B139" s="3">
        <v>25000</v>
      </c>
      <c r="C139" s="3" t="s">
        <v>41</v>
      </c>
      <c r="D139" s="72">
        <v>43069</v>
      </c>
      <c r="E139">
        <v>1428939</v>
      </c>
      <c r="F139" s="3">
        <v>32426.5</v>
      </c>
      <c r="G139" s="73">
        <v>43075</v>
      </c>
      <c r="H139" s="70">
        <f t="shared" si="4"/>
        <v>-7426.5</v>
      </c>
      <c r="I139" s="70">
        <f t="shared" si="5"/>
        <v>-3549.3115999999882</v>
      </c>
    </row>
    <row r="140" spans="1:10" x14ac:dyDescent="0.25">
      <c r="A140" t="s">
        <v>362</v>
      </c>
      <c r="B140" s="3">
        <v>33000</v>
      </c>
      <c r="C140" s="3" t="s">
        <v>45</v>
      </c>
      <c r="D140" s="72">
        <v>43070</v>
      </c>
      <c r="E140">
        <v>1429248</v>
      </c>
      <c r="F140" s="3">
        <v>33511.54</v>
      </c>
      <c r="G140" s="73">
        <v>43076</v>
      </c>
      <c r="H140" s="70">
        <f t="shared" si="4"/>
        <v>-511.54000000000087</v>
      </c>
      <c r="I140" s="70">
        <f t="shared" si="5"/>
        <v>-4060.851599999989</v>
      </c>
    </row>
    <row r="141" spans="1:10" x14ac:dyDescent="0.25">
      <c r="A141" t="s">
        <v>363</v>
      </c>
      <c r="B141" s="3">
        <v>30000</v>
      </c>
      <c r="C141" s="3" t="s">
        <v>29</v>
      </c>
      <c r="D141" s="72">
        <v>43066</v>
      </c>
      <c r="E141">
        <v>1429438</v>
      </c>
      <c r="F141" s="3">
        <v>32335.24</v>
      </c>
      <c r="G141" s="73">
        <v>43070</v>
      </c>
      <c r="H141" s="70">
        <f t="shared" si="4"/>
        <v>-2335.2400000000016</v>
      </c>
      <c r="I141" s="70">
        <f t="shared" si="5"/>
        <v>-6396.0915999999906</v>
      </c>
    </row>
    <row r="142" spans="1:10" x14ac:dyDescent="0.25">
      <c r="A142" t="s">
        <v>364</v>
      </c>
      <c r="B142" s="3">
        <v>40000</v>
      </c>
      <c r="C142" s="3" t="s">
        <v>29</v>
      </c>
      <c r="D142" s="72">
        <v>43073</v>
      </c>
      <c r="E142">
        <v>1429575</v>
      </c>
      <c r="F142" s="3">
        <v>33352.879999999997</v>
      </c>
      <c r="G142" s="73">
        <v>43077</v>
      </c>
      <c r="H142" s="70">
        <f t="shared" si="4"/>
        <v>6647.1200000000026</v>
      </c>
      <c r="I142" s="70">
        <f t="shared" si="5"/>
        <v>251.02840000001197</v>
      </c>
    </row>
    <row r="143" spans="1:10" x14ac:dyDescent="0.25">
      <c r="A143" t="s">
        <v>365</v>
      </c>
      <c r="B143" s="3">
        <v>35000</v>
      </c>
      <c r="C143" s="3" t="s">
        <v>41</v>
      </c>
      <c r="D143" s="72">
        <v>43076</v>
      </c>
      <c r="E143">
        <v>1431011</v>
      </c>
      <c r="F143" s="3">
        <v>34108.68</v>
      </c>
      <c r="G143" s="73">
        <v>43082</v>
      </c>
      <c r="H143" s="70">
        <f t="shared" si="4"/>
        <v>891.31999999999971</v>
      </c>
      <c r="I143" s="70">
        <f t="shared" si="5"/>
        <v>1142.3484000000117</v>
      </c>
    </row>
    <row r="144" spans="1:10" x14ac:dyDescent="0.25">
      <c r="A144" t="s">
        <v>366</v>
      </c>
      <c r="B144" s="3">
        <v>35000</v>
      </c>
      <c r="C144" s="3" t="s">
        <v>41</v>
      </c>
      <c r="D144" s="72">
        <v>43076</v>
      </c>
      <c r="E144">
        <v>1431012</v>
      </c>
      <c r="F144" s="3">
        <v>34778</v>
      </c>
      <c r="G144" s="73">
        <v>43082</v>
      </c>
      <c r="H144" s="70">
        <f t="shared" si="4"/>
        <v>222</v>
      </c>
      <c r="I144" s="70">
        <f t="shared" si="5"/>
        <v>1364.3484000000117</v>
      </c>
    </row>
    <row r="145" spans="1:10" x14ac:dyDescent="0.25">
      <c r="A145" t="s">
        <v>367</v>
      </c>
      <c r="B145" s="3">
        <v>35000</v>
      </c>
      <c r="C145" s="3" t="s">
        <v>45</v>
      </c>
      <c r="D145" s="72">
        <v>43077</v>
      </c>
      <c r="E145">
        <v>1431603</v>
      </c>
      <c r="F145" s="3">
        <v>32484.880000000001</v>
      </c>
      <c r="G145" s="73">
        <v>43083</v>
      </c>
      <c r="H145" s="70">
        <f t="shared" si="4"/>
        <v>2515.119999999999</v>
      </c>
      <c r="I145" s="70">
        <f t="shared" si="5"/>
        <v>3879.4684000000107</v>
      </c>
    </row>
    <row r="146" spans="1:10" x14ac:dyDescent="0.25">
      <c r="A146" t="s">
        <v>368</v>
      </c>
      <c r="B146" s="3">
        <v>35000</v>
      </c>
      <c r="C146" s="3" t="s">
        <v>29</v>
      </c>
      <c r="D146" s="72">
        <v>43080</v>
      </c>
      <c r="E146">
        <v>1431604</v>
      </c>
      <c r="F146" s="3">
        <v>32335.22</v>
      </c>
      <c r="G146" s="73">
        <v>43084</v>
      </c>
      <c r="H146" s="70">
        <f t="shared" si="4"/>
        <v>2664.7799999999988</v>
      </c>
      <c r="I146" s="70">
        <f t="shared" si="5"/>
        <v>6544.2484000000095</v>
      </c>
    </row>
    <row r="147" spans="1:10" x14ac:dyDescent="0.25">
      <c r="A147" t="s">
        <v>369</v>
      </c>
      <c r="B147" s="3">
        <v>35000</v>
      </c>
      <c r="C147" s="3" t="s">
        <v>29</v>
      </c>
      <c r="D147" s="72">
        <v>43080</v>
      </c>
      <c r="E147">
        <v>1431963</v>
      </c>
      <c r="F147" s="3">
        <v>32503.79</v>
      </c>
      <c r="G147" s="73">
        <v>43084</v>
      </c>
      <c r="H147" s="70">
        <f t="shared" si="4"/>
        <v>2496.2099999999991</v>
      </c>
      <c r="I147" s="70">
        <f t="shared" si="5"/>
        <v>9040.4584000000086</v>
      </c>
    </row>
    <row r="148" spans="1:10" x14ac:dyDescent="0.25">
      <c r="A148" t="s">
        <v>370</v>
      </c>
      <c r="B148" s="3">
        <v>32000</v>
      </c>
      <c r="C148" s="3" t="s">
        <v>41</v>
      </c>
      <c r="D148" s="72">
        <v>43083</v>
      </c>
      <c r="E148">
        <v>1433790</v>
      </c>
      <c r="F148" s="3">
        <v>28609.85</v>
      </c>
      <c r="G148" s="73">
        <v>43089</v>
      </c>
      <c r="H148" s="70">
        <f t="shared" si="4"/>
        <v>3390.1500000000015</v>
      </c>
      <c r="I148" s="70">
        <f t="shared" si="5"/>
        <v>12430.60840000001</v>
      </c>
    </row>
    <row r="149" spans="1:10" x14ac:dyDescent="0.25">
      <c r="A149" t="s">
        <v>371</v>
      </c>
      <c r="B149" s="3">
        <v>32000</v>
      </c>
      <c r="C149" s="3" t="s">
        <v>41</v>
      </c>
      <c r="D149" s="72">
        <v>43083</v>
      </c>
      <c r="E149">
        <v>1433791</v>
      </c>
      <c r="F149" s="3">
        <v>28125.360000000001</v>
      </c>
      <c r="G149" s="73">
        <v>43089</v>
      </c>
      <c r="H149" s="70">
        <f t="shared" si="4"/>
        <v>3874.6399999999994</v>
      </c>
      <c r="I149" s="70">
        <f t="shared" si="5"/>
        <v>16305.248400000009</v>
      </c>
    </row>
    <row r="150" spans="1:10" x14ac:dyDescent="0.25">
      <c r="A150" t="s">
        <v>372</v>
      </c>
      <c r="B150" s="3">
        <v>32000</v>
      </c>
      <c r="C150" s="3" t="s">
        <v>45</v>
      </c>
      <c r="D150" s="72">
        <v>43084</v>
      </c>
      <c r="E150">
        <v>1434096</v>
      </c>
      <c r="F150" s="3">
        <v>27961.200000000001</v>
      </c>
      <c r="G150" s="73">
        <v>43090</v>
      </c>
      <c r="H150" s="70">
        <f t="shared" si="4"/>
        <v>4038.7999999999993</v>
      </c>
      <c r="I150" s="70">
        <f t="shared" si="5"/>
        <v>20344.048400000007</v>
      </c>
    </row>
    <row r="151" spans="1:10" x14ac:dyDescent="0.25">
      <c r="A151" t="s">
        <v>373</v>
      </c>
      <c r="B151" s="3">
        <v>25000</v>
      </c>
      <c r="C151" s="3" t="s">
        <v>29</v>
      </c>
      <c r="D151" s="72">
        <v>43087</v>
      </c>
      <c r="E151">
        <v>1434428</v>
      </c>
      <c r="F151" s="3">
        <v>26990.55</v>
      </c>
      <c r="G151" s="73">
        <v>43091</v>
      </c>
      <c r="H151" s="70">
        <f t="shared" si="4"/>
        <v>-1990.5499999999993</v>
      </c>
      <c r="I151" s="70">
        <f t="shared" si="5"/>
        <v>18353.498400000008</v>
      </c>
    </row>
    <row r="152" spans="1:10" x14ac:dyDescent="0.25">
      <c r="A152" t="s">
        <v>374</v>
      </c>
      <c r="B152" s="3">
        <v>25000</v>
      </c>
      <c r="C152" s="3" t="s">
        <v>29</v>
      </c>
      <c r="D152" s="72">
        <v>43087</v>
      </c>
      <c r="E152">
        <v>1434429</v>
      </c>
      <c r="F152" s="3">
        <v>26924.65</v>
      </c>
      <c r="G152" s="73">
        <v>43091</v>
      </c>
      <c r="H152" s="70">
        <f t="shared" si="4"/>
        <v>-1924.6500000000015</v>
      </c>
      <c r="I152" s="70">
        <f t="shared" si="5"/>
        <v>16428.848400000006</v>
      </c>
    </row>
    <row r="153" spans="1:10" x14ac:dyDescent="0.25">
      <c r="A153" t="s">
        <v>375</v>
      </c>
      <c r="B153" s="3">
        <v>25000</v>
      </c>
      <c r="C153" s="3" t="s">
        <v>41</v>
      </c>
      <c r="D153" s="72">
        <v>43090</v>
      </c>
      <c r="E153">
        <v>1435446</v>
      </c>
      <c r="F153" s="3">
        <v>27480.6</v>
      </c>
      <c r="G153" s="73">
        <v>43096</v>
      </c>
      <c r="H153" s="70">
        <f t="shared" si="4"/>
        <v>-2480.5999999999985</v>
      </c>
      <c r="I153" s="70">
        <f t="shared" si="5"/>
        <v>13948.248400000008</v>
      </c>
    </row>
    <row r="154" spans="1:10" x14ac:dyDescent="0.25">
      <c r="A154" t="s">
        <v>376</v>
      </c>
      <c r="B154" s="3">
        <v>694.14</v>
      </c>
      <c r="C154" s="3" t="s">
        <v>377</v>
      </c>
      <c r="D154" s="72"/>
      <c r="G154" s="73"/>
      <c r="H154" s="70">
        <f t="shared" si="4"/>
        <v>694.14</v>
      </c>
      <c r="I154" s="70">
        <f t="shared" si="5"/>
        <v>14642.388400000007</v>
      </c>
      <c r="J154" t="s">
        <v>378</v>
      </c>
    </row>
    <row r="155" spans="1:10" x14ac:dyDescent="0.25">
      <c r="A155" t="s">
        <v>379</v>
      </c>
      <c r="B155" s="3">
        <v>25000</v>
      </c>
      <c r="C155" s="3" t="s">
        <v>45</v>
      </c>
      <c r="D155" s="72">
        <v>43091</v>
      </c>
      <c r="E155">
        <v>1435965</v>
      </c>
      <c r="F155" s="3">
        <v>27874.3</v>
      </c>
      <c r="G155" s="73">
        <v>43097</v>
      </c>
      <c r="H155" s="70">
        <f t="shared" si="4"/>
        <v>-2874.2999999999993</v>
      </c>
      <c r="I155" s="70">
        <f t="shared" si="5"/>
        <v>11768.088400000008</v>
      </c>
    </row>
    <row r="156" spans="1:10" x14ac:dyDescent="0.25">
      <c r="A156" t="s">
        <v>380</v>
      </c>
      <c r="C156" s="3" t="s">
        <v>48</v>
      </c>
      <c r="D156" s="72">
        <v>43095</v>
      </c>
      <c r="G156" s="76" t="s">
        <v>230</v>
      </c>
      <c r="H156" s="70">
        <f t="shared" si="4"/>
        <v>0</v>
      </c>
      <c r="I156" s="70">
        <f t="shared" si="5"/>
        <v>11768.088400000008</v>
      </c>
      <c r="J156" t="s">
        <v>381</v>
      </c>
    </row>
    <row r="157" spans="1:10" x14ac:dyDescent="0.25">
      <c r="A157" t="s">
        <v>382</v>
      </c>
      <c r="B157" s="3">
        <v>20000</v>
      </c>
      <c r="C157" s="3" t="s">
        <v>48</v>
      </c>
      <c r="D157" s="72">
        <v>43095</v>
      </c>
      <c r="E157">
        <v>1438178</v>
      </c>
      <c r="F157" s="3">
        <v>28759.41</v>
      </c>
      <c r="G157" s="73">
        <v>43105</v>
      </c>
      <c r="H157" s="70">
        <f t="shared" si="4"/>
        <v>-8759.41</v>
      </c>
      <c r="I157" s="70">
        <f t="shared" si="5"/>
        <v>3008.678400000008</v>
      </c>
    </row>
    <row r="158" spans="1:10" x14ac:dyDescent="0.25">
      <c r="A158" t="s">
        <v>383</v>
      </c>
      <c r="B158" s="3">
        <v>25000</v>
      </c>
      <c r="C158" s="3" t="s">
        <v>45</v>
      </c>
      <c r="D158" s="72">
        <v>43098</v>
      </c>
      <c r="E158">
        <v>1439735</v>
      </c>
      <c r="F158" s="3">
        <v>28354.98</v>
      </c>
      <c r="G158" s="73">
        <v>43109</v>
      </c>
      <c r="H158" s="70">
        <f t="shared" si="4"/>
        <v>-3354.9799999999996</v>
      </c>
      <c r="I158" s="70">
        <f t="shared" si="5"/>
        <v>-346.30159999999159</v>
      </c>
    </row>
    <row r="159" spans="1:10" x14ac:dyDescent="0.25">
      <c r="A159" t="s">
        <v>384</v>
      </c>
      <c r="B159" s="3">
        <v>28000</v>
      </c>
      <c r="C159" s="3" t="s">
        <v>41</v>
      </c>
      <c r="D159" s="72">
        <v>43104</v>
      </c>
      <c r="E159">
        <v>1440209</v>
      </c>
      <c r="F159" s="3">
        <v>28121.61</v>
      </c>
      <c r="G159" s="73">
        <v>43110</v>
      </c>
      <c r="H159" s="70">
        <f t="shared" si="4"/>
        <v>-121.61000000000058</v>
      </c>
      <c r="I159" s="70">
        <f t="shared" si="5"/>
        <v>-467.91159999999218</v>
      </c>
    </row>
    <row r="160" spans="1:10" x14ac:dyDescent="0.25">
      <c r="A160" t="s">
        <v>385</v>
      </c>
      <c r="B160" s="3">
        <v>29500</v>
      </c>
      <c r="C160" s="3" t="s">
        <v>29</v>
      </c>
      <c r="D160" s="72">
        <v>43108</v>
      </c>
      <c r="E160">
        <v>1440472</v>
      </c>
      <c r="F160" s="3">
        <v>29250.39</v>
      </c>
      <c r="G160" s="73">
        <v>43112</v>
      </c>
      <c r="H160" s="70">
        <f t="shared" si="4"/>
        <v>249.61000000000058</v>
      </c>
      <c r="I160" s="70">
        <f t="shared" si="5"/>
        <v>-218.30159999999159</v>
      </c>
    </row>
    <row r="161" spans="1:10" x14ac:dyDescent="0.25">
      <c r="A161" t="s">
        <v>386</v>
      </c>
      <c r="B161" s="3">
        <v>30000</v>
      </c>
      <c r="C161" s="3" t="s">
        <v>41</v>
      </c>
      <c r="D161" s="72">
        <v>43111</v>
      </c>
      <c r="E161">
        <v>1442682</v>
      </c>
      <c r="F161" s="3">
        <v>33025.07</v>
      </c>
      <c r="G161" s="73">
        <v>43117</v>
      </c>
      <c r="H161" s="70">
        <f t="shared" si="4"/>
        <v>-3025.0699999999997</v>
      </c>
      <c r="I161" s="70">
        <f t="shared" si="5"/>
        <v>-3243.3715999999913</v>
      </c>
    </row>
    <row r="162" spans="1:10" x14ac:dyDescent="0.25">
      <c r="A162" t="s">
        <v>387</v>
      </c>
      <c r="B162" s="3">
        <v>30000</v>
      </c>
      <c r="C162" s="3" t="s">
        <v>48</v>
      </c>
      <c r="D162" s="72">
        <v>43116</v>
      </c>
      <c r="E162">
        <v>1444147</v>
      </c>
      <c r="F162" s="3">
        <v>32771.06</v>
      </c>
      <c r="G162" s="73">
        <v>43119</v>
      </c>
      <c r="H162" s="70">
        <f t="shared" si="4"/>
        <v>-2771.0599999999977</v>
      </c>
      <c r="I162" s="70">
        <f t="shared" si="5"/>
        <v>-6014.431599999989</v>
      </c>
    </row>
    <row r="163" spans="1:10" x14ac:dyDescent="0.25">
      <c r="A163" t="s">
        <v>388</v>
      </c>
      <c r="B163" s="3">
        <v>40000</v>
      </c>
      <c r="C163" s="3" t="s">
        <v>41</v>
      </c>
      <c r="D163" s="72">
        <v>43118</v>
      </c>
      <c r="E163">
        <v>1444623</v>
      </c>
      <c r="F163" s="3">
        <v>33279.72</v>
      </c>
      <c r="G163" s="73">
        <v>43124</v>
      </c>
      <c r="H163" s="70">
        <f t="shared" si="4"/>
        <v>6720.2799999999988</v>
      </c>
      <c r="I163" s="70">
        <f t="shared" si="5"/>
        <v>705.84840000000986</v>
      </c>
    </row>
    <row r="164" spans="1:10" x14ac:dyDescent="0.25">
      <c r="A164" t="s">
        <v>389</v>
      </c>
      <c r="B164" s="3">
        <v>33000</v>
      </c>
      <c r="C164" s="3" t="s">
        <v>29</v>
      </c>
      <c r="D164" s="72">
        <v>43122</v>
      </c>
      <c r="E164">
        <v>1444974</v>
      </c>
      <c r="F164" s="3">
        <v>34548.32</v>
      </c>
      <c r="G164" s="73">
        <v>43126</v>
      </c>
      <c r="H164" s="70">
        <f t="shared" si="4"/>
        <v>-1548.3199999999997</v>
      </c>
      <c r="I164" s="70">
        <f t="shared" si="5"/>
        <v>-842.47159999998985</v>
      </c>
    </row>
    <row r="165" spans="1:10" x14ac:dyDescent="0.25">
      <c r="A165" t="s">
        <v>390</v>
      </c>
      <c r="B165" s="3">
        <v>33000</v>
      </c>
      <c r="C165" s="3" t="s">
        <v>41</v>
      </c>
      <c r="D165" s="72">
        <v>43125</v>
      </c>
      <c r="E165">
        <v>1447141</v>
      </c>
      <c r="F165" s="3">
        <v>33721.379999999997</v>
      </c>
      <c r="G165" s="73">
        <v>43132</v>
      </c>
      <c r="H165" s="70">
        <f t="shared" si="4"/>
        <v>-721.37999999999738</v>
      </c>
      <c r="I165" s="70">
        <f t="shared" si="5"/>
        <v>-1563.8515999999872</v>
      </c>
    </row>
    <row r="166" spans="1:10" x14ac:dyDescent="0.25">
      <c r="A166" t="s">
        <v>391</v>
      </c>
      <c r="B166" s="3">
        <v>34000</v>
      </c>
      <c r="C166" s="3" t="s">
        <v>29</v>
      </c>
      <c r="D166" s="72">
        <v>43129</v>
      </c>
      <c r="E166">
        <v>1447785</v>
      </c>
      <c r="F166" s="3">
        <v>31917.99</v>
      </c>
      <c r="G166" s="73">
        <v>43133</v>
      </c>
      <c r="H166" s="70">
        <f t="shared" si="4"/>
        <v>2082.0099999999984</v>
      </c>
      <c r="I166" s="70">
        <f t="shared" si="5"/>
        <v>518.15840000001117</v>
      </c>
    </row>
    <row r="167" spans="1:10" x14ac:dyDescent="0.25">
      <c r="A167" t="s">
        <v>392</v>
      </c>
      <c r="B167" s="3">
        <v>37000</v>
      </c>
      <c r="C167" s="3" t="s">
        <v>41</v>
      </c>
      <c r="D167" s="72">
        <v>43132</v>
      </c>
      <c r="E167">
        <v>1449573</v>
      </c>
      <c r="F167" s="3">
        <v>31206.18</v>
      </c>
      <c r="G167" s="73">
        <v>43138</v>
      </c>
      <c r="H167" s="70">
        <f t="shared" si="4"/>
        <v>5793.82</v>
      </c>
      <c r="I167" s="70">
        <f t="shared" si="5"/>
        <v>6311.9784000000109</v>
      </c>
    </row>
    <row r="168" spans="1:10" x14ac:dyDescent="0.25">
      <c r="A168" t="s">
        <v>393</v>
      </c>
      <c r="B168" s="3">
        <v>31000</v>
      </c>
      <c r="C168" s="3" t="s">
        <v>48</v>
      </c>
      <c r="D168" s="72">
        <v>43137</v>
      </c>
      <c r="E168">
        <v>1450207</v>
      </c>
      <c r="F168" s="3">
        <v>28857.51</v>
      </c>
      <c r="G168" s="73">
        <v>43140</v>
      </c>
      <c r="H168" s="70">
        <f t="shared" si="4"/>
        <v>2142.4900000000016</v>
      </c>
      <c r="I168" s="70">
        <f t="shared" si="5"/>
        <v>8454.4684000000125</v>
      </c>
    </row>
    <row r="169" spans="1:10" x14ac:dyDescent="0.25">
      <c r="A169" t="s">
        <v>394</v>
      </c>
      <c r="B169" s="3">
        <v>30000</v>
      </c>
      <c r="C169" s="3" t="s">
        <v>33</v>
      </c>
      <c r="D169" s="72">
        <v>43138</v>
      </c>
      <c r="E169">
        <v>1450756</v>
      </c>
      <c r="F169" s="3">
        <v>27037.759999999998</v>
      </c>
      <c r="G169" s="73">
        <v>43143</v>
      </c>
      <c r="H169" s="70">
        <f>B169-F169</f>
        <v>2962.2400000000016</v>
      </c>
      <c r="I169" s="70">
        <f>I168+H169</f>
        <v>11416.708400000014</v>
      </c>
    </row>
    <row r="170" spans="1:10" x14ac:dyDescent="0.25">
      <c r="A170" t="s">
        <v>395</v>
      </c>
      <c r="B170" s="3">
        <v>30000</v>
      </c>
      <c r="C170" s="3" t="s">
        <v>33</v>
      </c>
      <c r="D170" s="72">
        <v>43138</v>
      </c>
      <c r="E170">
        <v>1451581</v>
      </c>
      <c r="F170" s="3">
        <v>26921.06</v>
      </c>
      <c r="G170" s="73">
        <v>43144</v>
      </c>
      <c r="H170" s="70">
        <f>B170-F170</f>
        <v>3078.9399999999987</v>
      </c>
      <c r="I170" s="70">
        <f>I169+H170</f>
        <v>14495.648400000013</v>
      </c>
    </row>
    <row r="171" spans="1:10" x14ac:dyDescent="0.25">
      <c r="A171" t="s">
        <v>396</v>
      </c>
      <c r="B171" s="3">
        <v>30000</v>
      </c>
      <c r="C171" s="3" t="s">
        <v>41</v>
      </c>
      <c r="D171" s="72">
        <v>43139</v>
      </c>
      <c r="E171">
        <v>1452038</v>
      </c>
      <c r="F171" s="3">
        <v>27590.59</v>
      </c>
      <c r="G171" s="73">
        <v>43145</v>
      </c>
      <c r="H171" s="70">
        <f>B171-F171</f>
        <v>2409.41</v>
      </c>
      <c r="I171" s="70">
        <f>I170+H171</f>
        <v>16905.058400000013</v>
      </c>
    </row>
    <row r="172" spans="1:10" x14ac:dyDescent="0.25">
      <c r="A172" t="s">
        <v>397</v>
      </c>
      <c r="B172" s="3">
        <v>25000</v>
      </c>
      <c r="C172" s="3" t="s">
        <v>45</v>
      </c>
      <c r="D172" s="72">
        <v>43140</v>
      </c>
      <c r="E172">
        <v>1452634</v>
      </c>
      <c r="F172" s="3">
        <v>28173</v>
      </c>
      <c r="G172" s="73">
        <v>43146</v>
      </c>
      <c r="H172" s="70">
        <f>B172-F172</f>
        <v>-3173</v>
      </c>
      <c r="I172" s="70">
        <f>I171+H172</f>
        <v>13732.058400000013</v>
      </c>
    </row>
    <row r="173" spans="1:10" x14ac:dyDescent="0.25">
      <c r="A173" t="s">
        <v>398</v>
      </c>
      <c r="B173" s="3">
        <v>25000</v>
      </c>
      <c r="C173" s="3" t="s">
        <v>29</v>
      </c>
      <c r="D173" s="72">
        <v>43143</v>
      </c>
      <c r="E173">
        <v>1452353</v>
      </c>
      <c r="F173" s="3">
        <v>29477.25</v>
      </c>
      <c r="G173" s="73">
        <v>43147</v>
      </c>
      <c r="H173" s="70">
        <f t="shared" ref="H173:H236" si="6">B173-F173</f>
        <v>-4477.25</v>
      </c>
      <c r="I173" s="70">
        <f t="shared" ref="I173:I236" si="7">I172+H173</f>
        <v>9254.8084000000126</v>
      </c>
    </row>
    <row r="174" spans="1:10" x14ac:dyDescent="0.25">
      <c r="A174" t="s">
        <v>399</v>
      </c>
      <c r="B174" s="3">
        <v>25000</v>
      </c>
      <c r="C174" s="3" t="s">
        <v>33</v>
      </c>
      <c r="D174" s="72">
        <v>43145</v>
      </c>
      <c r="E174">
        <v>1453253</v>
      </c>
      <c r="F174" s="3">
        <v>29881.09</v>
      </c>
      <c r="G174" s="73">
        <v>43151</v>
      </c>
      <c r="H174" s="70">
        <f>B174-F174</f>
        <v>-4881.09</v>
      </c>
      <c r="I174" s="70">
        <f>I173+H174</f>
        <v>4373.7184000000125</v>
      </c>
    </row>
    <row r="175" spans="1:10" x14ac:dyDescent="0.25">
      <c r="A175" t="s">
        <v>400</v>
      </c>
      <c r="B175" s="3">
        <v>25000</v>
      </c>
      <c r="C175" s="3" t="s">
        <v>41</v>
      </c>
      <c r="D175" s="72">
        <v>43146</v>
      </c>
      <c r="E175">
        <v>1454480</v>
      </c>
      <c r="F175" s="3">
        <v>30211.919999999998</v>
      </c>
      <c r="G175" s="73">
        <v>43152</v>
      </c>
      <c r="H175" s="70">
        <f>B175-F175</f>
        <v>-5211.9199999999983</v>
      </c>
      <c r="I175" s="70">
        <f>I174+H175</f>
        <v>-838.20159999998577</v>
      </c>
    </row>
    <row r="176" spans="1:10" x14ac:dyDescent="0.25">
      <c r="A176" t="s">
        <v>401</v>
      </c>
      <c r="C176" s="3" t="s">
        <v>45</v>
      </c>
      <c r="D176" s="77" t="s">
        <v>230</v>
      </c>
      <c r="G176" s="73">
        <v>43153</v>
      </c>
      <c r="H176" s="70">
        <f>B176-F176</f>
        <v>0</v>
      </c>
      <c r="I176" s="70">
        <f>I175+H176</f>
        <v>-838.20159999998577</v>
      </c>
      <c r="J176" s="77" t="s">
        <v>230</v>
      </c>
    </row>
    <row r="177" spans="1:9" x14ac:dyDescent="0.25">
      <c r="A177" t="s">
        <v>402</v>
      </c>
      <c r="B177" s="3">
        <v>25000</v>
      </c>
      <c r="C177" s="3" t="s">
        <v>41</v>
      </c>
      <c r="D177" s="72">
        <v>43147</v>
      </c>
      <c r="E177">
        <v>1456892</v>
      </c>
      <c r="F177" s="3">
        <v>31889.9</v>
      </c>
      <c r="G177" s="73">
        <v>43159</v>
      </c>
      <c r="H177" s="70">
        <f t="shared" si="6"/>
        <v>-6889.9000000000015</v>
      </c>
      <c r="I177" s="70">
        <f t="shared" si="7"/>
        <v>-7728.1015999999872</v>
      </c>
    </row>
    <row r="178" spans="1:9" x14ac:dyDescent="0.25">
      <c r="A178" t="s">
        <v>403</v>
      </c>
      <c r="B178" s="3">
        <v>35000</v>
      </c>
      <c r="C178" s="3" t="s">
        <v>29</v>
      </c>
      <c r="D178" s="72">
        <v>43157</v>
      </c>
      <c r="E178">
        <v>1457141</v>
      </c>
      <c r="F178" s="3">
        <v>32230.89</v>
      </c>
      <c r="G178" s="73">
        <v>43161</v>
      </c>
      <c r="H178" s="70">
        <f t="shared" si="6"/>
        <v>2769.1100000000006</v>
      </c>
      <c r="I178" s="70">
        <f t="shared" si="7"/>
        <v>-4958.9915999999866</v>
      </c>
    </row>
    <row r="179" spans="1:9" x14ac:dyDescent="0.25">
      <c r="A179" t="s">
        <v>404</v>
      </c>
      <c r="B179" s="3">
        <v>44000</v>
      </c>
      <c r="C179" s="3" t="s">
        <v>29</v>
      </c>
      <c r="D179" s="72">
        <v>43157</v>
      </c>
      <c r="E179">
        <v>1457248</v>
      </c>
      <c r="F179" s="3">
        <v>43212.160000000003</v>
      </c>
      <c r="G179" s="73">
        <v>43161</v>
      </c>
      <c r="H179" s="70">
        <f>B179-F179</f>
        <v>787.83999999999651</v>
      </c>
      <c r="I179" s="70">
        <f>I178+H179</f>
        <v>-4171.1515999999901</v>
      </c>
    </row>
    <row r="180" spans="1:9" x14ac:dyDescent="0.25">
      <c r="A180" t="s">
        <v>405</v>
      </c>
      <c r="B180" s="3">
        <v>38000</v>
      </c>
      <c r="C180" s="3" t="s">
        <v>41</v>
      </c>
      <c r="D180" s="72">
        <v>43160</v>
      </c>
      <c r="E180">
        <v>1459314</v>
      </c>
      <c r="F180" s="3">
        <v>32081.5</v>
      </c>
      <c r="G180" s="73">
        <v>43166</v>
      </c>
      <c r="H180" s="70">
        <f>B180-F180</f>
        <v>5918.5</v>
      </c>
      <c r="I180" s="70">
        <f>I179+H180</f>
        <v>1747.3484000000099</v>
      </c>
    </row>
    <row r="181" spans="1:9" x14ac:dyDescent="0.25">
      <c r="A181" t="s">
        <v>406</v>
      </c>
      <c r="B181" s="3">
        <v>33500</v>
      </c>
      <c r="C181" s="3" t="s">
        <v>29</v>
      </c>
      <c r="D181" s="72">
        <v>43164</v>
      </c>
      <c r="E181">
        <v>1459800</v>
      </c>
      <c r="F181" s="3">
        <v>31928.54</v>
      </c>
      <c r="G181" s="73">
        <v>43168</v>
      </c>
      <c r="H181" s="70">
        <f t="shared" si="6"/>
        <v>1571.4599999999991</v>
      </c>
      <c r="I181" s="70">
        <f t="shared" si="7"/>
        <v>3318.808400000009</v>
      </c>
    </row>
    <row r="182" spans="1:9" x14ac:dyDescent="0.25">
      <c r="A182" t="s">
        <v>407</v>
      </c>
      <c r="B182" s="3">
        <v>32500</v>
      </c>
      <c r="C182" s="3" t="s">
        <v>41</v>
      </c>
      <c r="D182" s="72">
        <v>43259</v>
      </c>
      <c r="E182">
        <v>1461449</v>
      </c>
      <c r="F182" s="3">
        <v>29152.91</v>
      </c>
      <c r="G182" s="73">
        <v>43173</v>
      </c>
      <c r="H182" s="70">
        <f t="shared" si="6"/>
        <v>3347.09</v>
      </c>
      <c r="I182" s="70">
        <f t="shared" si="7"/>
        <v>6665.8984000000091</v>
      </c>
    </row>
    <row r="183" spans="1:9" x14ac:dyDescent="0.25">
      <c r="A183" t="s">
        <v>408</v>
      </c>
      <c r="B183" s="3">
        <v>33000</v>
      </c>
      <c r="C183" s="3" t="s">
        <v>29</v>
      </c>
      <c r="D183" s="72">
        <v>43171</v>
      </c>
      <c r="E183">
        <v>1462432</v>
      </c>
      <c r="F183" s="3">
        <v>27120.04</v>
      </c>
      <c r="G183" s="73">
        <v>43175</v>
      </c>
      <c r="H183" s="70">
        <f t="shared" si="6"/>
        <v>5879.9599999999991</v>
      </c>
      <c r="I183" s="70">
        <f t="shared" si="7"/>
        <v>12545.858400000008</v>
      </c>
    </row>
    <row r="184" spans="1:9" x14ac:dyDescent="0.25">
      <c r="A184" t="s">
        <v>409</v>
      </c>
      <c r="B184" s="3">
        <v>25000</v>
      </c>
      <c r="C184" s="3" t="s">
        <v>41</v>
      </c>
      <c r="D184" s="72">
        <v>43174</v>
      </c>
      <c r="E184">
        <v>1464397</v>
      </c>
      <c r="F184" s="3">
        <v>26819.55</v>
      </c>
      <c r="G184" s="73">
        <v>43180</v>
      </c>
      <c r="H184" s="70">
        <f t="shared" si="6"/>
        <v>-1819.5499999999993</v>
      </c>
      <c r="I184" s="70">
        <f t="shared" si="7"/>
        <v>10726.308400000009</v>
      </c>
    </row>
    <row r="185" spans="1:9" x14ac:dyDescent="0.25">
      <c r="A185" t="s">
        <v>410</v>
      </c>
      <c r="B185" s="3">
        <v>20000</v>
      </c>
      <c r="C185" s="3" t="s">
        <v>48</v>
      </c>
      <c r="D185" s="72">
        <v>43179</v>
      </c>
      <c r="E185">
        <v>1464693</v>
      </c>
      <c r="F185" s="3">
        <v>26082.42</v>
      </c>
      <c r="G185" s="73">
        <v>43182</v>
      </c>
      <c r="H185" s="70">
        <f t="shared" si="6"/>
        <v>-6082.4199999999983</v>
      </c>
      <c r="I185" s="70">
        <f t="shared" si="7"/>
        <v>4643.8884000000107</v>
      </c>
    </row>
    <row r="186" spans="1:9" x14ac:dyDescent="0.25">
      <c r="A186" t="s">
        <v>411</v>
      </c>
      <c r="B186" s="3">
        <v>20000</v>
      </c>
      <c r="C186" s="3" t="s">
        <v>41</v>
      </c>
      <c r="D186" s="72">
        <v>43181</v>
      </c>
      <c r="E186">
        <v>1466469</v>
      </c>
      <c r="F186" s="3">
        <v>26576.55</v>
      </c>
      <c r="G186" s="73">
        <v>43187</v>
      </c>
      <c r="H186" s="70">
        <f t="shared" si="6"/>
        <v>-6576.5499999999993</v>
      </c>
      <c r="I186" s="70">
        <f t="shared" si="7"/>
        <v>-1932.6615999999885</v>
      </c>
    </row>
    <row r="187" spans="1:9" x14ac:dyDescent="0.25">
      <c r="A187" t="s">
        <v>412</v>
      </c>
      <c r="B187" s="3">
        <v>20000</v>
      </c>
      <c r="C187" s="3" t="s">
        <v>41</v>
      </c>
      <c r="D187" s="72">
        <v>43181</v>
      </c>
      <c r="E187">
        <v>1466470</v>
      </c>
      <c r="F187" s="3">
        <v>26481.14</v>
      </c>
      <c r="G187" s="73">
        <v>43187</v>
      </c>
      <c r="H187" s="70">
        <f t="shared" si="6"/>
        <v>-6481.1399999999994</v>
      </c>
      <c r="I187" s="70">
        <f t="shared" si="7"/>
        <v>-8413.801599999988</v>
      </c>
    </row>
    <row r="188" spans="1:9" x14ac:dyDescent="0.25">
      <c r="A188" t="s">
        <v>413</v>
      </c>
      <c r="B188" s="3">
        <v>26000</v>
      </c>
      <c r="C188" s="3" t="s">
        <v>33</v>
      </c>
      <c r="D188" s="72">
        <v>43187</v>
      </c>
      <c r="E188">
        <v>1468880</v>
      </c>
      <c r="F188" s="3">
        <v>26900.57</v>
      </c>
      <c r="G188" s="73">
        <v>43194</v>
      </c>
      <c r="H188" s="70">
        <f t="shared" si="6"/>
        <v>-900.56999999999971</v>
      </c>
      <c r="I188" s="70">
        <f t="shared" si="7"/>
        <v>-9314.3715999999877</v>
      </c>
    </row>
    <row r="189" spans="1:9" x14ac:dyDescent="0.25">
      <c r="A189" t="s">
        <v>414</v>
      </c>
      <c r="B189" s="3">
        <v>26000</v>
      </c>
      <c r="C189" s="3" t="s">
        <v>33</v>
      </c>
      <c r="D189" s="72">
        <v>43187</v>
      </c>
      <c r="E189">
        <v>1469167</v>
      </c>
      <c r="F189" s="3">
        <v>26505.24</v>
      </c>
      <c r="G189" s="73">
        <v>43195</v>
      </c>
      <c r="H189" s="70">
        <f t="shared" si="6"/>
        <v>-505.2400000000016</v>
      </c>
      <c r="I189" s="70">
        <f t="shared" si="7"/>
        <v>-9819.6115999999893</v>
      </c>
    </row>
    <row r="190" spans="1:9" x14ac:dyDescent="0.25">
      <c r="A190" t="s">
        <v>415</v>
      </c>
      <c r="B190" s="3">
        <v>28000</v>
      </c>
      <c r="C190" s="3" t="s">
        <v>41</v>
      </c>
      <c r="D190" s="72">
        <v>43195</v>
      </c>
      <c r="E190">
        <v>1471409</v>
      </c>
      <c r="F190" s="3">
        <v>27677.46</v>
      </c>
      <c r="G190" s="73">
        <v>43201</v>
      </c>
      <c r="H190" s="70">
        <f t="shared" si="6"/>
        <v>322.54000000000087</v>
      </c>
      <c r="I190" s="70">
        <f t="shared" si="7"/>
        <v>-9497.0715999999884</v>
      </c>
    </row>
    <row r="191" spans="1:9" x14ac:dyDescent="0.25">
      <c r="A191" t="s">
        <v>416</v>
      </c>
      <c r="B191" s="3">
        <v>28000</v>
      </c>
      <c r="C191" s="3" t="s">
        <v>29</v>
      </c>
      <c r="D191" s="72">
        <v>43199</v>
      </c>
      <c r="E191">
        <v>1472031</v>
      </c>
      <c r="F191" s="3">
        <v>27220.16</v>
      </c>
      <c r="G191" s="73">
        <v>43203</v>
      </c>
      <c r="H191" s="70">
        <f t="shared" si="6"/>
        <v>779.84000000000015</v>
      </c>
      <c r="I191" s="70">
        <f t="shared" si="7"/>
        <v>-8717.2315999999882</v>
      </c>
    </row>
    <row r="192" spans="1:9" x14ac:dyDescent="0.25">
      <c r="A192" t="s">
        <v>417</v>
      </c>
      <c r="B192" s="3">
        <v>28000</v>
      </c>
      <c r="C192" s="3" t="s">
        <v>41</v>
      </c>
      <c r="D192" s="72">
        <v>43202</v>
      </c>
      <c r="E192">
        <v>1473841</v>
      </c>
      <c r="F192" s="3">
        <v>28247.38</v>
      </c>
      <c r="G192" s="73">
        <v>43208</v>
      </c>
      <c r="H192" s="70">
        <f t="shared" si="6"/>
        <v>-247.38000000000102</v>
      </c>
      <c r="I192" s="70">
        <f t="shared" si="7"/>
        <v>-8964.6115999999893</v>
      </c>
    </row>
    <row r="193" spans="1:9" x14ac:dyDescent="0.25">
      <c r="A193" t="s">
        <v>418</v>
      </c>
      <c r="B193" s="3">
        <v>27500</v>
      </c>
      <c r="C193" s="3" t="s">
        <v>29</v>
      </c>
      <c r="D193" s="72">
        <v>43206</v>
      </c>
      <c r="E193">
        <v>1475578</v>
      </c>
      <c r="F193" s="3">
        <v>28167.200000000001</v>
      </c>
      <c r="G193" s="73">
        <v>43210</v>
      </c>
      <c r="H193" s="70">
        <f t="shared" si="6"/>
        <v>-667.20000000000073</v>
      </c>
      <c r="I193" s="70">
        <f t="shared" si="7"/>
        <v>-9631.81159999999</v>
      </c>
    </row>
    <row r="194" spans="1:9" x14ac:dyDescent="0.25">
      <c r="A194" t="s">
        <v>419</v>
      </c>
      <c r="B194" s="3">
        <v>29000</v>
      </c>
      <c r="C194" s="3" t="s">
        <v>41</v>
      </c>
      <c r="D194" s="72">
        <v>43209</v>
      </c>
      <c r="E194">
        <v>1476253</v>
      </c>
      <c r="F194" s="3">
        <v>28786.85</v>
      </c>
      <c r="G194" s="73">
        <v>43215</v>
      </c>
      <c r="H194" s="70">
        <f t="shared" si="6"/>
        <v>213.15000000000146</v>
      </c>
      <c r="I194" s="70">
        <f t="shared" si="7"/>
        <v>-9418.6615999999885</v>
      </c>
    </row>
    <row r="195" spans="1:9" x14ac:dyDescent="0.25">
      <c r="A195" t="s">
        <v>420</v>
      </c>
      <c r="B195" s="3">
        <v>29500</v>
      </c>
      <c r="C195" s="3" t="s">
        <v>29</v>
      </c>
      <c r="D195" s="72">
        <v>43213</v>
      </c>
      <c r="E195">
        <v>1476899</v>
      </c>
      <c r="F195" s="3">
        <v>27758.07</v>
      </c>
      <c r="G195" s="73">
        <v>43217</v>
      </c>
      <c r="H195" s="70">
        <f t="shared" si="6"/>
        <v>1741.9300000000003</v>
      </c>
      <c r="I195" s="70">
        <f t="shared" si="7"/>
        <v>-7676.7315999999882</v>
      </c>
    </row>
    <row r="196" spans="1:9" x14ac:dyDescent="0.25">
      <c r="A196" t="s">
        <v>421</v>
      </c>
      <c r="B196" s="3">
        <v>34500</v>
      </c>
      <c r="C196" s="3" t="s">
        <v>41</v>
      </c>
      <c r="D196" s="72">
        <v>43216</v>
      </c>
      <c r="E196">
        <v>1479069</v>
      </c>
      <c r="F196" s="3">
        <v>26997.439999999999</v>
      </c>
      <c r="G196" s="73">
        <v>43222</v>
      </c>
      <c r="H196" s="70">
        <f t="shared" si="6"/>
        <v>7502.5600000000013</v>
      </c>
      <c r="I196" s="70">
        <f t="shared" si="7"/>
        <v>-174.17159999998694</v>
      </c>
    </row>
    <row r="197" spans="1:9" x14ac:dyDescent="0.25">
      <c r="A197" t="s">
        <v>422</v>
      </c>
      <c r="B197" s="3">
        <v>31000</v>
      </c>
      <c r="C197" s="3" t="s">
        <v>45</v>
      </c>
      <c r="D197" s="72">
        <v>43217</v>
      </c>
      <c r="E197">
        <v>1479070</v>
      </c>
      <c r="F197" s="3">
        <v>27045.38</v>
      </c>
      <c r="G197" s="73">
        <v>43223</v>
      </c>
      <c r="H197" s="70">
        <f t="shared" si="6"/>
        <v>3954.619999999999</v>
      </c>
      <c r="I197" s="70">
        <f t="shared" si="7"/>
        <v>3780.448400000012</v>
      </c>
    </row>
    <row r="198" spans="1:9" x14ac:dyDescent="0.25">
      <c r="A198" t="s">
        <v>423</v>
      </c>
      <c r="B198" s="3">
        <v>25000</v>
      </c>
      <c r="C198" s="3" t="s">
        <v>41</v>
      </c>
      <c r="D198" s="72">
        <v>43223</v>
      </c>
      <c r="E198">
        <v>1481491</v>
      </c>
      <c r="F198" s="3">
        <v>25361.59</v>
      </c>
      <c r="G198" s="73">
        <v>43229</v>
      </c>
      <c r="H198" s="70">
        <f t="shared" si="6"/>
        <v>-361.59000000000015</v>
      </c>
      <c r="I198" s="70">
        <f t="shared" si="7"/>
        <v>3418.8584000000119</v>
      </c>
    </row>
    <row r="199" spans="1:9" x14ac:dyDescent="0.25">
      <c r="A199" t="s">
        <v>424</v>
      </c>
      <c r="B199" s="3">
        <v>25000</v>
      </c>
      <c r="C199" s="3" t="s">
        <v>29</v>
      </c>
      <c r="D199" s="72">
        <v>43227</v>
      </c>
      <c r="E199">
        <v>1482235</v>
      </c>
      <c r="F199" s="3">
        <v>25514.73</v>
      </c>
      <c r="G199" s="73">
        <v>43231</v>
      </c>
      <c r="H199" s="70">
        <f t="shared" si="6"/>
        <v>-514.72999999999956</v>
      </c>
      <c r="I199" s="70">
        <f t="shared" si="7"/>
        <v>2904.1284000000123</v>
      </c>
    </row>
    <row r="200" spans="1:9" x14ac:dyDescent="0.25">
      <c r="A200" t="s">
        <v>425</v>
      </c>
      <c r="B200" s="3">
        <v>25000</v>
      </c>
      <c r="C200" s="3" t="s">
        <v>41</v>
      </c>
      <c r="D200" s="72">
        <v>43230</v>
      </c>
      <c r="E200">
        <v>1483955</v>
      </c>
      <c r="F200" s="3">
        <v>25650.28</v>
      </c>
      <c r="G200" s="73">
        <v>43236</v>
      </c>
      <c r="H200" s="70">
        <f t="shared" si="6"/>
        <v>-650.27999999999884</v>
      </c>
      <c r="I200" s="70">
        <f t="shared" si="7"/>
        <v>2253.8484000000135</v>
      </c>
    </row>
    <row r="201" spans="1:9" x14ac:dyDescent="0.25">
      <c r="A201" t="s">
        <v>426</v>
      </c>
      <c r="B201" s="3">
        <v>25000</v>
      </c>
      <c r="C201" s="3" t="s">
        <v>29</v>
      </c>
      <c r="D201" s="72">
        <v>43234</v>
      </c>
      <c r="E201">
        <v>1484904</v>
      </c>
      <c r="F201" s="3">
        <v>25431.49</v>
      </c>
      <c r="G201" s="73">
        <v>43238</v>
      </c>
      <c r="H201" s="70">
        <f t="shared" si="6"/>
        <v>-431.4900000000016</v>
      </c>
      <c r="I201" s="70">
        <f t="shared" si="7"/>
        <v>1822.3584000000119</v>
      </c>
    </row>
    <row r="202" spans="1:9" x14ac:dyDescent="0.25">
      <c r="A202" t="s">
        <v>427</v>
      </c>
      <c r="B202" s="3">
        <v>25000</v>
      </c>
      <c r="C202" s="3" t="s">
        <v>33</v>
      </c>
      <c r="D202" s="72">
        <v>43206</v>
      </c>
      <c r="E202">
        <v>1485225</v>
      </c>
      <c r="F202" s="3">
        <v>26202.51</v>
      </c>
      <c r="G202" s="73">
        <v>43242</v>
      </c>
      <c r="H202" s="70">
        <f t="shared" si="6"/>
        <v>-1202.5099999999984</v>
      </c>
      <c r="I202" s="70">
        <f t="shared" si="7"/>
        <v>619.8484000000135</v>
      </c>
    </row>
    <row r="203" spans="1:9" x14ac:dyDescent="0.25">
      <c r="A203" t="s">
        <v>428</v>
      </c>
      <c r="B203" s="3">
        <v>26000</v>
      </c>
      <c r="C203" s="3" t="s">
        <v>41</v>
      </c>
      <c r="D203" s="72">
        <v>43237</v>
      </c>
      <c r="E203">
        <v>1486410</v>
      </c>
      <c r="F203" s="3">
        <v>27445.46</v>
      </c>
      <c r="G203" s="73">
        <v>43243</v>
      </c>
      <c r="H203" s="70">
        <f t="shared" si="6"/>
        <v>-1445.4599999999991</v>
      </c>
      <c r="I203" s="70">
        <f t="shared" si="7"/>
        <v>-825.61159999998563</v>
      </c>
    </row>
    <row r="204" spans="1:9" x14ac:dyDescent="0.25">
      <c r="A204" t="s">
        <v>429</v>
      </c>
      <c r="B204" s="3">
        <v>28000</v>
      </c>
      <c r="C204" s="3" t="s">
        <v>29</v>
      </c>
      <c r="D204" s="72">
        <v>43241</v>
      </c>
      <c r="E204">
        <v>1487469</v>
      </c>
      <c r="F204" s="3">
        <v>26529.34</v>
      </c>
      <c r="G204" s="73">
        <v>43245</v>
      </c>
      <c r="H204" s="70">
        <f t="shared" si="6"/>
        <v>1470.6599999999999</v>
      </c>
      <c r="I204" s="70">
        <f t="shared" si="7"/>
        <v>645.04840000001423</v>
      </c>
    </row>
    <row r="205" spans="1:9" x14ac:dyDescent="0.25">
      <c r="A205" t="s">
        <v>430</v>
      </c>
      <c r="B205" s="3">
        <v>28000</v>
      </c>
      <c r="C205" s="3" t="s">
        <v>41</v>
      </c>
      <c r="D205" s="72">
        <v>43244</v>
      </c>
      <c r="E205">
        <v>1489056</v>
      </c>
      <c r="F205" s="3">
        <v>29066.84</v>
      </c>
      <c r="G205" s="73">
        <v>43250</v>
      </c>
      <c r="H205" s="70">
        <f t="shared" si="6"/>
        <v>-1066.8400000000001</v>
      </c>
      <c r="I205" s="70">
        <f t="shared" si="7"/>
        <v>-421.79159999998592</v>
      </c>
    </row>
    <row r="206" spans="1:9" x14ac:dyDescent="0.25">
      <c r="A206" t="s">
        <v>431</v>
      </c>
      <c r="B206" s="3">
        <v>29500</v>
      </c>
      <c r="C206" s="3" t="s">
        <v>29</v>
      </c>
      <c r="D206" s="72">
        <v>43248</v>
      </c>
      <c r="E206">
        <v>1489294</v>
      </c>
      <c r="F206" s="3">
        <v>30169.34</v>
      </c>
      <c r="G206" s="73">
        <v>43252</v>
      </c>
      <c r="H206" s="70">
        <f t="shared" si="6"/>
        <v>-669.34000000000015</v>
      </c>
      <c r="I206" s="70">
        <f t="shared" si="7"/>
        <v>-1091.1315999999861</v>
      </c>
    </row>
    <row r="207" spans="1:9" x14ac:dyDescent="0.25">
      <c r="A207" t="s">
        <v>432</v>
      </c>
      <c r="B207" s="3">
        <v>32000</v>
      </c>
      <c r="C207" s="3" t="s">
        <v>41</v>
      </c>
      <c r="D207" s="72">
        <v>43251</v>
      </c>
      <c r="E207">
        <v>1491243</v>
      </c>
      <c r="F207" s="3">
        <v>30960.77</v>
      </c>
      <c r="G207" s="73">
        <v>43257</v>
      </c>
      <c r="H207" s="70">
        <f t="shared" si="6"/>
        <v>1039.2299999999996</v>
      </c>
      <c r="I207" s="70">
        <f t="shared" si="7"/>
        <v>-51.901599999986502</v>
      </c>
    </row>
    <row r="208" spans="1:9" x14ac:dyDescent="0.25">
      <c r="A208" t="s">
        <v>433</v>
      </c>
      <c r="B208" s="3">
        <v>32500</v>
      </c>
      <c r="C208" s="3" t="s">
        <v>29</v>
      </c>
      <c r="D208" s="72">
        <v>43255</v>
      </c>
      <c r="E208">
        <v>1492286</v>
      </c>
      <c r="F208" s="3">
        <v>31512.73</v>
      </c>
      <c r="G208" s="73">
        <v>43259</v>
      </c>
      <c r="H208" s="70">
        <f t="shared" si="6"/>
        <v>987.27000000000044</v>
      </c>
      <c r="I208" s="70">
        <f t="shared" si="7"/>
        <v>935.36840000001393</v>
      </c>
    </row>
    <row r="209" spans="1:9" x14ac:dyDescent="0.25">
      <c r="A209" t="s">
        <v>434</v>
      </c>
      <c r="B209" s="3">
        <v>32000</v>
      </c>
      <c r="C209" s="3" t="s">
        <v>41</v>
      </c>
      <c r="D209" s="72">
        <v>43258</v>
      </c>
      <c r="E209">
        <v>1493868</v>
      </c>
      <c r="F209" s="3">
        <v>30352.49</v>
      </c>
      <c r="G209" s="73">
        <v>43264</v>
      </c>
      <c r="H209" s="70">
        <f t="shared" si="6"/>
        <v>1647.5099999999984</v>
      </c>
      <c r="I209" s="70">
        <f t="shared" si="7"/>
        <v>2582.8784000000123</v>
      </c>
    </row>
    <row r="210" spans="1:9" x14ac:dyDescent="0.25">
      <c r="A210" t="s">
        <v>435</v>
      </c>
      <c r="B210" s="3">
        <v>31000</v>
      </c>
      <c r="C210" s="3" t="s">
        <v>29</v>
      </c>
      <c r="D210" s="72">
        <v>43262</v>
      </c>
      <c r="E210">
        <v>1494729</v>
      </c>
      <c r="F210" s="3">
        <v>30220.560000000001</v>
      </c>
      <c r="G210" s="73">
        <v>43266</v>
      </c>
      <c r="H210" s="70">
        <f t="shared" si="6"/>
        <v>779.43999999999869</v>
      </c>
      <c r="I210" s="70">
        <f t="shared" si="7"/>
        <v>3362.318400000011</v>
      </c>
    </row>
    <row r="211" spans="1:9" x14ac:dyDescent="0.25">
      <c r="A211" t="s">
        <v>436</v>
      </c>
      <c r="B211" s="3">
        <v>31000</v>
      </c>
      <c r="C211" s="3" t="s">
        <v>41</v>
      </c>
      <c r="D211" s="72">
        <v>43265</v>
      </c>
      <c r="E211">
        <v>1496474</v>
      </c>
      <c r="F211" s="3">
        <v>31090.6</v>
      </c>
      <c r="G211" s="73">
        <v>43271</v>
      </c>
      <c r="H211" s="70">
        <f t="shared" si="6"/>
        <v>-90.599999999998545</v>
      </c>
      <c r="I211" s="70">
        <f t="shared" si="7"/>
        <v>3271.7184000000125</v>
      </c>
    </row>
    <row r="212" spans="1:9" x14ac:dyDescent="0.25">
      <c r="A212" t="s">
        <v>437</v>
      </c>
      <c r="B212" s="3">
        <v>30000</v>
      </c>
      <c r="C212" s="3" t="s">
        <v>29</v>
      </c>
      <c r="D212" s="72">
        <v>43269</v>
      </c>
      <c r="E212">
        <v>1497230</v>
      </c>
      <c r="F212" s="3">
        <v>30720.87</v>
      </c>
      <c r="G212" s="73">
        <v>43273</v>
      </c>
      <c r="H212" s="70">
        <f t="shared" si="6"/>
        <v>-720.86999999999898</v>
      </c>
      <c r="I212" s="70">
        <f t="shared" si="7"/>
        <v>2550.8484000000135</v>
      </c>
    </row>
    <row r="213" spans="1:9" x14ac:dyDescent="0.25">
      <c r="A213" t="s">
        <v>438</v>
      </c>
      <c r="B213" s="3">
        <v>30000</v>
      </c>
      <c r="C213" s="3" t="s">
        <v>41</v>
      </c>
      <c r="D213" s="72">
        <v>43272</v>
      </c>
      <c r="E213">
        <v>1499180</v>
      </c>
      <c r="F213" s="3">
        <v>30444.74</v>
      </c>
      <c r="G213" s="73">
        <v>43278</v>
      </c>
      <c r="H213" s="70">
        <f t="shared" si="6"/>
        <v>-444.7400000000016</v>
      </c>
      <c r="I213" s="70">
        <f t="shared" si="7"/>
        <v>2106.1084000000119</v>
      </c>
    </row>
    <row r="214" spans="1:9" x14ac:dyDescent="0.25">
      <c r="A214" t="s">
        <v>439</v>
      </c>
      <c r="B214" s="3">
        <v>30000</v>
      </c>
      <c r="C214" s="3" t="s">
        <v>29</v>
      </c>
      <c r="D214" s="72">
        <v>43276</v>
      </c>
      <c r="E214">
        <v>1499859</v>
      </c>
      <c r="F214" s="3">
        <v>34469.35</v>
      </c>
      <c r="G214" s="73">
        <v>43280</v>
      </c>
      <c r="H214" s="70">
        <f t="shared" si="6"/>
        <v>-4469.3499999999985</v>
      </c>
      <c r="I214" s="70">
        <f t="shared" si="7"/>
        <v>-2363.2415999999866</v>
      </c>
    </row>
    <row r="215" spans="1:9" x14ac:dyDescent="0.25">
      <c r="A215" t="s">
        <v>440</v>
      </c>
      <c r="B215" s="3">
        <v>31000</v>
      </c>
      <c r="C215" s="3" t="s">
        <v>41</v>
      </c>
      <c r="D215" s="72">
        <v>43279</v>
      </c>
      <c r="E215">
        <v>1501198</v>
      </c>
      <c r="F215" s="3">
        <v>28542.73</v>
      </c>
      <c r="G215" s="73">
        <v>43285</v>
      </c>
      <c r="H215" s="70">
        <f t="shared" si="6"/>
        <v>2457.2700000000004</v>
      </c>
      <c r="I215" s="70">
        <f t="shared" si="7"/>
        <v>94.028400000013789</v>
      </c>
    </row>
    <row r="216" spans="1:9" x14ac:dyDescent="0.25">
      <c r="A216" t="s">
        <v>441</v>
      </c>
      <c r="B216" s="3">
        <v>34000</v>
      </c>
      <c r="C216" s="3" t="s">
        <v>29</v>
      </c>
      <c r="D216" s="72">
        <v>43283</v>
      </c>
      <c r="E216">
        <v>1502149</v>
      </c>
      <c r="F216" s="3">
        <v>27630.59</v>
      </c>
      <c r="G216" s="73">
        <v>43287</v>
      </c>
      <c r="H216" s="70">
        <f t="shared" si="6"/>
        <v>6369.41</v>
      </c>
      <c r="I216" s="70">
        <f t="shared" si="7"/>
        <v>6463.4384000000136</v>
      </c>
    </row>
    <row r="217" spans="1:9" x14ac:dyDescent="0.25">
      <c r="A217" t="s">
        <v>442</v>
      </c>
      <c r="B217" s="3">
        <v>29000</v>
      </c>
      <c r="C217" s="3" t="s">
        <v>33</v>
      </c>
      <c r="D217" s="72">
        <v>43285</v>
      </c>
      <c r="E217">
        <v>1502539</v>
      </c>
      <c r="F217" s="3">
        <v>26511.74</v>
      </c>
      <c r="G217" s="73">
        <v>43290</v>
      </c>
      <c r="H217" s="70">
        <f t="shared" si="6"/>
        <v>2488.2599999999984</v>
      </c>
      <c r="I217" s="70">
        <f t="shared" si="7"/>
        <v>8951.698400000012</v>
      </c>
    </row>
    <row r="218" spans="1:9" x14ac:dyDescent="0.25">
      <c r="A218" t="s">
        <v>443</v>
      </c>
      <c r="B218" s="3">
        <v>25000</v>
      </c>
      <c r="C218" s="3" t="s">
        <v>228</v>
      </c>
      <c r="D218" s="72">
        <v>43290</v>
      </c>
      <c r="E218">
        <v>1503927</v>
      </c>
      <c r="F218" s="3">
        <v>26812.5</v>
      </c>
      <c r="G218" s="73">
        <v>43294</v>
      </c>
      <c r="H218" s="70">
        <f t="shared" si="6"/>
        <v>-1812.5</v>
      </c>
      <c r="I218" s="70">
        <f t="shared" si="7"/>
        <v>7139.198400000012</v>
      </c>
    </row>
    <row r="219" spans="1:9" x14ac:dyDescent="0.25">
      <c r="A219" t="s">
        <v>444</v>
      </c>
      <c r="B219" s="3">
        <v>25000</v>
      </c>
      <c r="C219" s="3" t="s">
        <v>48</v>
      </c>
      <c r="D219" s="72">
        <v>43291</v>
      </c>
      <c r="E219">
        <v>1504803</v>
      </c>
      <c r="F219" s="3">
        <v>25704.7</v>
      </c>
      <c r="G219" s="73">
        <v>43297</v>
      </c>
      <c r="H219" s="70">
        <f t="shared" si="6"/>
        <v>-704.70000000000073</v>
      </c>
      <c r="I219" s="70">
        <f t="shared" si="7"/>
        <v>6434.4984000000113</v>
      </c>
    </row>
    <row r="220" spans="1:9" x14ac:dyDescent="0.25">
      <c r="A220" t="s">
        <v>445</v>
      </c>
      <c r="B220" s="3">
        <v>25000</v>
      </c>
      <c r="C220" s="3" t="s">
        <v>29</v>
      </c>
      <c r="D220" s="72">
        <v>43297</v>
      </c>
      <c r="E220">
        <v>1506120</v>
      </c>
      <c r="F220" s="3">
        <v>28071.06</v>
      </c>
      <c r="G220" s="73">
        <v>43301</v>
      </c>
      <c r="H220" s="70">
        <f t="shared" si="6"/>
        <v>-3071.0600000000013</v>
      </c>
      <c r="I220" s="70">
        <f t="shared" si="7"/>
        <v>3363.43840000001</v>
      </c>
    </row>
    <row r="221" spans="1:9" x14ac:dyDescent="0.25">
      <c r="A221" t="s">
        <v>446</v>
      </c>
      <c r="B221" s="3">
        <v>26000</v>
      </c>
      <c r="C221" s="3" t="s">
        <v>48</v>
      </c>
      <c r="D221" s="72">
        <v>43298</v>
      </c>
      <c r="E221">
        <v>1507379</v>
      </c>
      <c r="F221" s="3">
        <v>28030.9</v>
      </c>
      <c r="G221" s="73">
        <v>43304</v>
      </c>
      <c r="H221" s="70">
        <f t="shared" si="6"/>
        <v>-2030.9000000000015</v>
      </c>
      <c r="I221" s="70">
        <f t="shared" si="7"/>
        <v>1332.5384000000086</v>
      </c>
    </row>
    <row r="222" spans="1:9" x14ac:dyDescent="0.25">
      <c r="A222" t="s">
        <v>447</v>
      </c>
      <c r="B222" s="3">
        <v>30000</v>
      </c>
      <c r="C222" s="3" t="s">
        <v>29</v>
      </c>
      <c r="D222" s="72">
        <v>43304</v>
      </c>
      <c r="E222">
        <v>1508386</v>
      </c>
      <c r="F222" s="3">
        <v>27990.62</v>
      </c>
      <c r="G222" s="73">
        <v>43308</v>
      </c>
      <c r="H222" s="70">
        <f t="shared" si="6"/>
        <v>2009.380000000001</v>
      </c>
      <c r="I222" s="70">
        <f t="shared" si="7"/>
        <v>3341.9184000000096</v>
      </c>
    </row>
    <row r="223" spans="1:9" x14ac:dyDescent="0.25">
      <c r="A223" t="s">
        <v>448</v>
      </c>
      <c r="B223" s="3">
        <v>30000</v>
      </c>
      <c r="C223" s="3" t="s">
        <v>48</v>
      </c>
      <c r="D223" s="72">
        <v>43305</v>
      </c>
      <c r="E223">
        <v>1509220</v>
      </c>
      <c r="F223" s="3">
        <v>28271.42</v>
      </c>
      <c r="G223" s="73">
        <v>43311</v>
      </c>
      <c r="H223" s="70">
        <f t="shared" si="6"/>
        <v>1728.5800000000017</v>
      </c>
      <c r="I223" s="70">
        <f t="shared" si="7"/>
        <v>5070.4984000000113</v>
      </c>
    </row>
    <row r="224" spans="1:9" x14ac:dyDescent="0.25">
      <c r="A224" t="s">
        <v>449</v>
      </c>
      <c r="B224" s="3">
        <v>30000</v>
      </c>
      <c r="C224" s="3" t="s">
        <v>29</v>
      </c>
      <c r="D224" s="72">
        <v>43311</v>
      </c>
      <c r="E224">
        <v>1511036</v>
      </c>
      <c r="F224" s="3">
        <v>30924.400000000001</v>
      </c>
      <c r="G224" s="73">
        <v>43315</v>
      </c>
      <c r="H224" s="70">
        <f t="shared" si="6"/>
        <v>-924.40000000000146</v>
      </c>
      <c r="I224" s="70">
        <f t="shared" si="7"/>
        <v>4146.0984000000099</v>
      </c>
    </row>
    <row r="225" spans="1:9" x14ac:dyDescent="0.25">
      <c r="A225" t="s">
        <v>450</v>
      </c>
      <c r="B225" s="3">
        <v>33000</v>
      </c>
      <c r="C225" s="3" t="s">
        <v>48</v>
      </c>
      <c r="D225" s="72">
        <v>43312</v>
      </c>
      <c r="E225">
        <v>1512262</v>
      </c>
      <c r="F225" s="3">
        <v>29988.03</v>
      </c>
      <c r="G225" s="73">
        <v>43318</v>
      </c>
      <c r="H225" s="70">
        <f t="shared" si="6"/>
        <v>3011.9700000000012</v>
      </c>
      <c r="I225" s="70">
        <f t="shared" si="7"/>
        <v>7158.068400000011</v>
      </c>
    </row>
    <row r="226" spans="1:9" x14ac:dyDescent="0.25">
      <c r="A226" t="s">
        <v>451</v>
      </c>
      <c r="B226" s="3">
        <v>32500</v>
      </c>
      <c r="C226" s="3" t="s">
        <v>29</v>
      </c>
      <c r="D226" s="72">
        <v>43318</v>
      </c>
      <c r="E226">
        <v>1513022</v>
      </c>
      <c r="F226" s="3">
        <v>30472.78</v>
      </c>
      <c r="G226" s="73">
        <v>43322</v>
      </c>
      <c r="H226" s="70">
        <f t="shared" si="6"/>
        <v>2027.2200000000012</v>
      </c>
      <c r="I226" s="70">
        <f t="shared" si="7"/>
        <v>9185.2884000000122</v>
      </c>
    </row>
    <row r="227" spans="1:9" x14ac:dyDescent="0.25">
      <c r="A227" t="s">
        <v>452</v>
      </c>
      <c r="B227" s="3">
        <v>43000</v>
      </c>
      <c r="C227" s="3" t="s">
        <v>48</v>
      </c>
      <c r="D227" s="72">
        <v>43319</v>
      </c>
      <c r="E227">
        <v>1514048</v>
      </c>
      <c r="F227" s="3">
        <v>44416.35</v>
      </c>
      <c r="G227" s="73">
        <v>43325</v>
      </c>
      <c r="H227" s="70">
        <f t="shared" si="6"/>
        <v>-1416.3499999999985</v>
      </c>
      <c r="I227" s="70">
        <f t="shared" si="7"/>
        <v>7768.9384000000136</v>
      </c>
    </row>
    <row r="228" spans="1:9" x14ac:dyDescent="0.25">
      <c r="A228" t="s">
        <v>453</v>
      </c>
      <c r="B228" s="3">
        <v>31000</v>
      </c>
      <c r="C228" s="3" t="s">
        <v>45</v>
      </c>
      <c r="D228" s="72">
        <v>43322</v>
      </c>
      <c r="E228">
        <v>1515558</v>
      </c>
      <c r="F228" s="3">
        <v>30381.439999999999</v>
      </c>
      <c r="G228" s="73">
        <v>43328</v>
      </c>
      <c r="H228" s="70">
        <f t="shared" si="6"/>
        <v>618.56000000000131</v>
      </c>
      <c r="I228" s="70">
        <f t="shared" si="7"/>
        <v>8387.498400000015</v>
      </c>
    </row>
    <row r="229" spans="1:9" x14ac:dyDescent="0.25">
      <c r="A229" t="s">
        <v>454</v>
      </c>
      <c r="B229" s="3">
        <v>30000</v>
      </c>
      <c r="C229" s="3" t="s">
        <v>29</v>
      </c>
      <c r="D229" s="72">
        <v>43325</v>
      </c>
      <c r="E229">
        <v>1516414</v>
      </c>
      <c r="F229" s="3">
        <v>29219.51</v>
      </c>
      <c r="G229" s="73">
        <v>43329</v>
      </c>
      <c r="H229" s="70">
        <f t="shared" si="6"/>
        <v>780.4900000000016</v>
      </c>
      <c r="I229" s="70">
        <f t="shared" si="7"/>
        <v>9167.9884000000166</v>
      </c>
    </row>
    <row r="230" spans="1:9" x14ac:dyDescent="0.25">
      <c r="A230" t="s">
        <v>455</v>
      </c>
      <c r="B230" s="3">
        <v>28000</v>
      </c>
      <c r="C230" s="3" t="s">
        <v>45</v>
      </c>
      <c r="D230" s="72">
        <v>43329</v>
      </c>
      <c r="E230">
        <v>1518166</v>
      </c>
      <c r="F230" s="3">
        <v>28898.78</v>
      </c>
      <c r="G230" s="73">
        <v>43335</v>
      </c>
      <c r="H230" s="70">
        <f t="shared" si="6"/>
        <v>-898.77999999999884</v>
      </c>
      <c r="I230" s="70">
        <f t="shared" si="7"/>
        <v>8269.2084000000177</v>
      </c>
    </row>
    <row r="231" spans="1:9" x14ac:dyDescent="0.25">
      <c r="A231" t="s">
        <v>456</v>
      </c>
      <c r="B231" s="3">
        <v>27000</v>
      </c>
      <c r="C231" s="3" t="s">
        <v>228</v>
      </c>
      <c r="D231" s="72">
        <v>43332</v>
      </c>
      <c r="E231">
        <v>1518167</v>
      </c>
      <c r="F231" s="3">
        <v>28300.42</v>
      </c>
      <c r="G231" s="73">
        <v>43336</v>
      </c>
      <c r="H231" s="70">
        <f t="shared" si="6"/>
        <v>-1300.4199999999983</v>
      </c>
      <c r="I231" s="70">
        <f t="shared" si="7"/>
        <v>6968.7884000000195</v>
      </c>
    </row>
    <row r="232" spans="1:9" x14ac:dyDescent="0.25">
      <c r="A232" t="s">
        <v>457</v>
      </c>
      <c r="B232" s="3">
        <v>25000</v>
      </c>
      <c r="C232" s="3" t="s">
        <v>45</v>
      </c>
      <c r="D232" s="72">
        <v>43336</v>
      </c>
      <c r="E232">
        <v>1520277</v>
      </c>
      <c r="F232" s="3">
        <v>26319.84</v>
      </c>
      <c r="G232" s="73">
        <v>43342</v>
      </c>
      <c r="H232" s="70">
        <f t="shared" si="6"/>
        <v>-1319.8400000000001</v>
      </c>
      <c r="I232" s="70">
        <f t="shared" si="7"/>
        <v>5648.9484000000193</v>
      </c>
    </row>
    <row r="233" spans="1:9" x14ac:dyDescent="0.25">
      <c r="A233" t="s">
        <v>458</v>
      </c>
      <c r="B233" s="3">
        <v>25000</v>
      </c>
      <c r="C233" s="3" t="s">
        <v>29</v>
      </c>
      <c r="D233" s="72">
        <v>43339</v>
      </c>
      <c r="E233">
        <v>1520966</v>
      </c>
      <c r="F233" s="3">
        <v>26660.34</v>
      </c>
      <c r="G233" s="73">
        <v>43343</v>
      </c>
      <c r="H233" s="70">
        <f t="shared" si="6"/>
        <v>-1660.3400000000001</v>
      </c>
      <c r="I233" s="70">
        <f t="shared" si="7"/>
        <v>3988.6084000000192</v>
      </c>
    </row>
    <row r="234" spans="1:9" x14ac:dyDescent="0.25">
      <c r="A234" t="s">
        <v>459</v>
      </c>
      <c r="B234" s="3">
        <v>26000</v>
      </c>
      <c r="C234" s="3" t="s">
        <v>460</v>
      </c>
      <c r="D234" s="72">
        <v>43343</v>
      </c>
      <c r="E234">
        <v>1522593</v>
      </c>
      <c r="F234" s="3">
        <v>26698.58</v>
      </c>
      <c r="G234" s="73">
        <v>43349</v>
      </c>
      <c r="H234" s="70">
        <f t="shared" si="6"/>
        <v>-698.58000000000175</v>
      </c>
      <c r="I234" s="70">
        <f t="shared" si="7"/>
        <v>3290.0284000000174</v>
      </c>
    </row>
    <row r="235" spans="1:9" x14ac:dyDescent="0.25">
      <c r="A235" t="s">
        <v>461</v>
      </c>
      <c r="B235" s="3">
        <v>26000</v>
      </c>
      <c r="C235" s="3" t="s">
        <v>29</v>
      </c>
      <c r="D235" s="72">
        <v>43346</v>
      </c>
      <c r="E235">
        <v>1523172</v>
      </c>
      <c r="F235" s="3">
        <v>25798.46</v>
      </c>
      <c r="G235" s="73">
        <v>43350</v>
      </c>
      <c r="H235" s="70">
        <f t="shared" si="6"/>
        <v>201.54000000000087</v>
      </c>
      <c r="I235" s="70">
        <f t="shared" si="7"/>
        <v>3491.5684000000183</v>
      </c>
    </row>
    <row r="236" spans="1:9" x14ac:dyDescent="0.25">
      <c r="A236" t="s">
        <v>462</v>
      </c>
      <c r="B236" s="3">
        <v>25000</v>
      </c>
      <c r="C236" s="3" t="s">
        <v>45</v>
      </c>
      <c r="D236" s="72">
        <v>43350</v>
      </c>
      <c r="E236">
        <v>1524976</v>
      </c>
      <c r="F236" s="3">
        <v>25381.55</v>
      </c>
      <c r="G236" s="73">
        <v>43356</v>
      </c>
      <c r="H236" s="70">
        <f t="shared" si="6"/>
        <v>-381.54999999999927</v>
      </c>
      <c r="I236" s="70">
        <f t="shared" si="7"/>
        <v>3110.018400000019</v>
      </c>
    </row>
    <row r="237" spans="1:9" x14ac:dyDescent="0.25">
      <c r="A237" t="s">
        <v>463</v>
      </c>
      <c r="B237" s="3">
        <v>26000</v>
      </c>
      <c r="C237" s="3" t="s">
        <v>29</v>
      </c>
      <c r="D237" s="72">
        <v>43353</v>
      </c>
      <c r="E237">
        <v>1525661</v>
      </c>
      <c r="F237" s="3">
        <v>25132.75</v>
      </c>
      <c r="G237" s="73">
        <v>43357</v>
      </c>
      <c r="H237" s="70">
        <f t="shared" ref="H237:H282" si="8">B237-F237</f>
        <v>867.25</v>
      </c>
      <c r="I237" s="70">
        <f t="shared" ref="I237:I282" si="9">I236+H237</f>
        <v>3977.268400000019</v>
      </c>
    </row>
    <row r="238" spans="1:9" x14ac:dyDescent="0.25">
      <c r="A238" t="s">
        <v>464</v>
      </c>
      <c r="B238" s="3">
        <v>26000</v>
      </c>
      <c r="C238" s="3" t="s">
        <v>45</v>
      </c>
      <c r="D238" s="72">
        <v>43357</v>
      </c>
      <c r="E238">
        <v>1527373</v>
      </c>
      <c r="F238" s="3">
        <v>25569.919999999998</v>
      </c>
      <c r="G238" s="73">
        <v>43363</v>
      </c>
      <c r="H238" s="70">
        <f t="shared" si="8"/>
        <v>430.08000000000175</v>
      </c>
      <c r="I238" s="70">
        <f t="shared" si="9"/>
        <v>4407.3484000000208</v>
      </c>
    </row>
    <row r="239" spans="1:9" x14ac:dyDescent="0.25">
      <c r="A239" t="s">
        <v>465</v>
      </c>
      <c r="B239" s="3">
        <v>26000</v>
      </c>
      <c r="C239" s="3" t="s">
        <v>29</v>
      </c>
      <c r="D239" s="72">
        <v>43360</v>
      </c>
      <c r="E239">
        <v>1527945</v>
      </c>
      <c r="F239" s="3">
        <v>28627.27</v>
      </c>
      <c r="G239" s="73">
        <v>43364</v>
      </c>
      <c r="H239" s="70">
        <f t="shared" si="8"/>
        <v>-2627.2700000000004</v>
      </c>
      <c r="I239" s="70">
        <f t="shared" si="9"/>
        <v>1780.0784000000203</v>
      </c>
    </row>
    <row r="240" spans="1:9" x14ac:dyDescent="0.25">
      <c r="A240" t="s">
        <v>466</v>
      </c>
      <c r="B240" s="3">
        <v>27000</v>
      </c>
      <c r="C240" s="3" t="s">
        <v>460</v>
      </c>
      <c r="D240" s="72">
        <v>43364</v>
      </c>
      <c r="E240">
        <v>1530000</v>
      </c>
      <c r="F240" s="3">
        <v>31216.9</v>
      </c>
      <c r="G240" s="73">
        <v>43370</v>
      </c>
      <c r="H240" s="70">
        <f t="shared" si="8"/>
        <v>-4216.9000000000015</v>
      </c>
      <c r="I240" s="70">
        <f t="shared" si="9"/>
        <v>-2436.8215999999811</v>
      </c>
    </row>
    <row r="241" spans="1:9" x14ac:dyDescent="0.25">
      <c r="A241" t="s">
        <v>467</v>
      </c>
      <c r="B241" s="3">
        <v>35000</v>
      </c>
      <c r="C241" s="3" t="s">
        <v>228</v>
      </c>
      <c r="D241" s="72">
        <v>43367</v>
      </c>
      <c r="E241">
        <v>1530001</v>
      </c>
      <c r="F241" s="3">
        <v>31630.54</v>
      </c>
      <c r="G241" s="73">
        <v>43372</v>
      </c>
      <c r="H241" s="70">
        <f t="shared" si="8"/>
        <v>3369.4599999999991</v>
      </c>
      <c r="I241" s="70">
        <f t="shared" si="9"/>
        <v>932.63840000001801</v>
      </c>
    </row>
    <row r="242" spans="1:9" x14ac:dyDescent="0.25">
      <c r="A242" t="s">
        <v>468</v>
      </c>
      <c r="B242" s="3">
        <v>32000</v>
      </c>
      <c r="C242" s="3" t="s">
        <v>45</v>
      </c>
      <c r="D242" s="72">
        <v>43371</v>
      </c>
      <c r="E242">
        <v>1532365</v>
      </c>
      <c r="F242" s="3">
        <v>31852.48</v>
      </c>
      <c r="G242" s="73">
        <v>43377</v>
      </c>
      <c r="H242" s="70">
        <f t="shared" si="8"/>
        <v>147.52000000000044</v>
      </c>
      <c r="I242" s="70">
        <f t="shared" si="9"/>
        <v>1080.1584000000184</v>
      </c>
    </row>
    <row r="243" spans="1:9" x14ac:dyDescent="0.25">
      <c r="A243" t="s">
        <v>469</v>
      </c>
      <c r="B243" s="3">
        <v>32000</v>
      </c>
      <c r="C243" s="3" t="s">
        <v>29</v>
      </c>
      <c r="D243" s="72">
        <v>43374</v>
      </c>
      <c r="E243">
        <v>1532366</v>
      </c>
      <c r="F243" s="3">
        <v>31279.58</v>
      </c>
      <c r="G243" s="73">
        <v>43378</v>
      </c>
      <c r="H243" s="70">
        <f t="shared" si="8"/>
        <v>720.41999999999825</v>
      </c>
      <c r="I243" s="70">
        <f t="shared" si="9"/>
        <v>1800.5784000000167</v>
      </c>
    </row>
    <row r="244" spans="1:9" x14ac:dyDescent="0.25">
      <c r="A244" t="s">
        <v>470</v>
      </c>
      <c r="B244" s="3">
        <v>31500</v>
      </c>
      <c r="C244" s="3" t="s">
        <v>45</v>
      </c>
      <c r="D244" s="72">
        <v>43378</v>
      </c>
      <c r="E244">
        <v>1534777</v>
      </c>
      <c r="F244" s="3">
        <v>28349.759999999998</v>
      </c>
      <c r="G244" s="73">
        <v>43384</v>
      </c>
      <c r="H244" s="70">
        <f t="shared" si="8"/>
        <v>3150.2400000000016</v>
      </c>
      <c r="I244" s="70">
        <f t="shared" si="9"/>
        <v>4950.8184000000183</v>
      </c>
    </row>
    <row r="245" spans="1:9" x14ac:dyDescent="0.25">
      <c r="A245" t="s">
        <v>471</v>
      </c>
      <c r="B245" s="3">
        <v>31500</v>
      </c>
      <c r="C245" s="3" t="s">
        <v>29</v>
      </c>
      <c r="D245" s="72">
        <v>43381</v>
      </c>
      <c r="E245">
        <v>1534778</v>
      </c>
      <c r="F245" s="3">
        <v>27300.19</v>
      </c>
      <c r="G245" s="73">
        <v>43385</v>
      </c>
      <c r="H245" s="70">
        <f t="shared" si="8"/>
        <v>4199.8100000000013</v>
      </c>
      <c r="I245" s="70">
        <f t="shared" si="9"/>
        <v>9150.6284000000196</v>
      </c>
    </row>
    <row r="246" spans="1:9" x14ac:dyDescent="0.25">
      <c r="A246" t="s">
        <v>472</v>
      </c>
      <c r="B246" s="3">
        <v>23000</v>
      </c>
      <c r="C246" s="3" t="s">
        <v>45</v>
      </c>
      <c r="D246" s="72">
        <v>43385</v>
      </c>
      <c r="E246">
        <v>1536852</v>
      </c>
      <c r="F246" s="3">
        <v>26160.87</v>
      </c>
      <c r="G246" s="73">
        <v>43391</v>
      </c>
      <c r="H246" s="70">
        <f t="shared" si="8"/>
        <v>-3160.869999999999</v>
      </c>
      <c r="I246" s="70">
        <f t="shared" si="9"/>
        <v>5989.7584000000206</v>
      </c>
    </row>
    <row r="247" spans="1:9" x14ac:dyDescent="0.25">
      <c r="A247" t="s">
        <v>473</v>
      </c>
      <c r="B247" s="3">
        <v>23000</v>
      </c>
      <c r="C247" s="3" t="s">
        <v>29</v>
      </c>
      <c r="D247" s="72">
        <v>43388</v>
      </c>
      <c r="E247">
        <v>1537488</v>
      </c>
      <c r="F247" s="3">
        <v>25918.66</v>
      </c>
      <c r="G247" s="73">
        <v>43392</v>
      </c>
      <c r="H247" s="70">
        <f t="shared" si="8"/>
        <v>-2918.66</v>
      </c>
      <c r="I247" s="70">
        <f t="shared" si="9"/>
        <v>3071.0984000000208</v>
      </c>
    </row>
    <row r="248" spans="1:9" x14ac:dyDescent="0.25">
      <c r="A248" t="s">
        <v>474</v>
      </c>
      <c r="B248" s="3">
        <v>24000</v>
      </c>
      <c r="C248" s="3" t="s">
        <v>45</v>
      </c>
      <c r="D248" s="72">
        <v>43392</v>
      </c>
      <c r="E248">
        <v>1539317</v>
      </c>
      <c r="F248" s="3">
        <v>25830.69</v>
      </c>
      <c r="G248" s="73">
        <v>43398</v>
      </c>
      <c r="H248" s="70">
        <f t="shared" si="8"/>
        <v>-1830.6899999999987</v>
      </c>
      <c r="I248" s="70">
        <f t="shared" si="9"/>
        <v>1240.4084000000221</v>
      </c>
    </row>
    <row r="249" spans="1:9" x14ac:dyDescent="0.25">
      <c r="A249" t="s">
        <v>475</v>
      </c>
      <c r="B249" s="3">
        <v>25000</v>
      </c>
      <c r="C249" s="3" t="s">
        <v>29</v>
      </c>
      <c r="D249" s="72">
        <v>43395</v>
      </c>
      <c r="E249">
        <v>1539676</v>
      </c>
      <c r="F249" s="3">
        <v>26935.15</v>
      </c>
      <c r="G249" s="73">
        <v>43399</v>
      </c>
      <c r="H249" s="70">
        <f t="shared" si="8"/>
        <v>-1935.1500000000015</v>
      </c>
      <c r="I249" s="70">
        <f t="shared" si="9"/>
        <v>-694.74159999997937</v>
      </c>
    </row>
    <row r="250" spans="1:9" x14ac:dyDescent="0.25">
      <c r="A250" t="s">
        <v>476</v>
      </c>
      <c r="B250" s="3">
        <v>28000</v>
      </c>
      <c r="C250" s="3" t="s">
        <v>45</v>
      </c>
      <c r="D250" s="72">
        <v>43399</v>
      </c>
      <c r="E250">
        <v>1542010</v>
      </c>
      <c r="F250" s="3">
        <v>26377.81</v>
      </c>
      <c r="G250" s="73">
        <v>43405</v>
      </c>
      <c r="H250" s="70">
        <f t="shared" si="8"/>
        <v>1622.1899999999987</v>
      </c>
      <c r="I250" s="70">
        <f t="shared" si="9"/>
        <v>927.44840000001932</v>
      </c>
    </row>
    <row r="251" spans="1:9" x14ac:dyDescent="0.25">
      <c r="A251" t="s">
        <v>477</v>
      </c>
      <c r="B251" s="3">
        <v>28500</v>
      </c>
      <c r="C251" s="3" t="s">
        <v>29</v>
      </c>
      <c r="D251" s="72">
        <v>43402</v>
      </c>
      <c r="E251">
        <v>1543269</v>
      </c>
      <c r="F251" s="3">
        <v>26634.97</v>
      </c>
      <c r="G251" s="73">
        <v>43406</v>
      </c>
      <c r="H251" s="70">
        <f t="shared" si="8"/>
        <v>1865.0299999999988</v>
      </c>
      <c r="I251" s="70">
        <f t="shared" si="9"/>
        <v>2792.4784000000182</v>
      </c>
    </row>
    <row r="252" spans="1:9" x14ac:dyDescent="0.25">
      <c r="A252" t="s">
        <v>478</v>
      </c>
      <c r="B252" s="3">
        <v>27500</v>
      </c>
      <c r="C252" s="3" t="s">
        <v>41</v>
      </c>
      <c r="D252" s="72">
        <v>43405</v>
      </c>
      <c r="E252">
        <v>1544622</v>
      </c>
      <c r="F252" s="3">
        <v>25944.62</v>
      </c>
      <c r="G252" s="73">
        <v>43412</v>
      </c>
      <c r="H252" s="70">
        <f t="shared" si="8"/>
        <v>1555.380000000001</v>
      </c>
      <c r="I252" s="70">
        <f t="shared" si="9"/>
        <v>4347.8584000000192</v>
      </c>
    </row>
    <row r="253" spans="1:9" x14ac:dyDescent="0.25">
      <c r="A253" t="s">
        <v>479</v>
      </c>
      <c r="B253" s="3">
        <v>27000</v>
      </c>
      <c r="C253" s="3" t="s">
        <v>29</v>
      </c>
      <c r="D253" s="72">
        <v>43409</v>
      </c>
      <c r="E253">
        <v>1544959</v>
      </c>
      <c r="F253" s="3">
        <v>26270.36</v>
      </c>
      <c r="G253" s="73">
        <v>43413</v>
      </c>
      <c r="H253" s="70">
        <f t="shared" si="8"/>
        <v>729.63999999999942</v>
      </c>
      <c r="I253" s="70">
        <f t="shared" si="9"/>
        <v>5077.4984000000186</v>
      </c>
    </row>
    <row r="254" spans="1:9" x14ac:dyDescent="0.25">
      <c r="A254" t="s">
        <v>480</v>
      </c>
      <c r="B254" s="3">
        <v>24000</v>
      </c>
      <c r="C254" s="3" t="s">
        <v>45</v>
      </c>
      <c r="D254" s="72">
        <v>43413</v>
      </c>
      <c r="E254">
        <v>1547196</v>
      </c>
      <c r="F254" s="3">
        <v>25901</v>
      </c>
      <c r="G254" s="73">
        <v>43419</v>
      </c>
      <c r="H254" s="70">
        <f t="shared" si="8"/>
        <v>-1901</v>
      </c>
      <c r="I254" s="70">
        <f t="shared" si="9"/>
        <v>3176.4984000000186</v>
      </c>
    </row>
    <row r="255" spans="1:9" x14ac:dyDescent="0.25">
      <c r="A255" t="s">
        <v>481</v>
      </c>
      <c r="B255" s="3">
        <v>25000</v>
      </c>
      <c r="C255" s="3" t="s">
        <v>29</v>
      </c>
      <c r="D255" s="72">
        <v>43416</v>
      </c>
      <c r="E255">
        <v>1547788</v>
      </c>
      <c r="F255" s="3">
        <v>25379.119999999999</v>
      </c>
      <c r="G255" s="73">
        <v>43420</v>
      </c>
      <c r="H255" s="70">
        <f t="shared" si="8"/>
        <v>-379.11999999999898</v>
      </c>
      <c r="I255" s="70">
        <f t="shared" si="9"/>
        <v>2797.3784000000196</v>
      </c>
    </row>
    <row r="256" spans="1:9" x14ac:dyDescent="0.25">
      <c r="A256" t="s">
        <v>482</v>
      </c>
      <c r="B256" s="3">
        <v>26000</v>
      </c>
      <c r="C256" s="3" t="s">
        <v>41</v>
      </c>
      <c r="D256" s="72">
        <v>43419</v>
      </c>
      <c r="E256">
        <v>1548808</v>
      </c>
      <c r="F256" s="3">
        <v>25310.240000000002</v>
      </c>
      <c r="G256" s="73">
        <v>43424</v>
      </c>
      <c r="H256" s="70">
        <f t="shared" si="8"/>
        <v>689.7599999999984</v>
      </c>
      <c r="I256" s="70">
        <f t="shared" si="9"/>
        <v>3487.138400000018</v>
      </c>
    </row>
    <row r="257" spans="1:9" x14ac:dyDescent="0.25">
      <c r="A257" t="s">
        <v>483</v>
      </c>
      <c r="B257" s="3">
        <v>26000</v>
      </c>
      <c r="C257" s="3" t="s">
        <v>45</v>
      </c>
      <c r="D257" s="72">
        <v>43420</v>
      </c>
      <c r="E257">
        <v>1550311</v>
      </c>
      <c r="F257" s="3">
        <v>25591.119999999999</v>
      </c>
      <c r="G257" s="73">
        <v>43426</v>
      </c>
      <c r="H257" s="70">
        <f t="shared" si="8"/>
        <v>408.88000000000102</v>
      </c>
      <c r="I257" s="70">
        <f t="shared" si="9"/>
        <v>3896.018400000019</v>
      </c>
    </row>
    <row r="258" spans="1:9" x14ac:dyDescent="0.25">
      <c r="A258" t="s">
        <v>484</v>
      </c>
      <c r="B258" s="3">
        <v>26000</v>
      </c>
      <c r="C258" s="3" t="s">
        <v>48</v>
      </c>
      <c r="D258" s="72">
        <v>43424</v>
      </c>
      <c r="E258">
        <v>1550828</v>
      </c>
      <c r="F258" s="3">
        <v>25691.279999999999</v>
      </c>
      <c r="G258" s="73">
        <v>43427</v>
      </c>
      <c r="H258" s="70">
        <f t="shared" si="8"/>
        <v>308.72000000000116</v>
      </c>
      <c r="I258" s="70">
        <f t="shared" si="9"/>
        <v>4204.7384000000202</v>
      </c>
    </row>
    <row r="259" spans="1:9" x14ac:dyDescent="0.25">
      <c r="A259" t="s">
        <v>485</v>
      </c>
      <c r="B259" s="3">
        <v>25000</v>
      </c>
      <c r="C259" s="3" t="s">
        <v>41</v>
      </c>
      <c r="D259" s="72">
        <v>43426</v>
      </c>
      <c r="E259">
        <v>1552197</v>
      </c>
      <c r="F259" s="3">
        <v>26493.599999999999</v>
      </c>
      <c r="G259" s="73">
        <v>43432</v>
      </c>
      <c r="H259" s="70">
        <f t="shared" si="8"/>
        <v>-1493.5999999999985</v>
      </c>
      <c r="I259" s="70">
        <f t="shared" si="9"/>
        <v>2711.1384000000216</v>
      </c>
    </row>
    <row r="260" spans="1:9" x14ac:dyDescent="0.25">
      <c r="A260" t="s">
        <v>486</v>
      </c>
      <c r="B260" s="3">
        <v>25500</v>
      </c>
      <c r="C260" s="3" t="s">
        <v>45</v>
      </c>
      <c r="D260" s="72">
        <v>43427</v>
      </c>
      <c r="E260">
        <v>1552196</v>
      </c>
      <c r="F260" s="3">
        <v>25753.200000000001</v>
      </c>
      <c r="G260" s="73">
        <v>43433</v>
      </c>
      <c r="H260" s="70">
        <f t="shared" si="8"/>
        <v>-253.20000000000073</v>
      </c>
      <c r="I260" s="70">
        <f t="shared" si="9"/>
        <v>2457.9384000000209</v>
      </c>
    </row>
    <row r="261" spans="1:9" x14ac:dyDescent="0.25">
      <c r="A261" t="s">
        <v>487</v>
      </c>
      <c r="B261" s="3">
        <v>27000</v>
      </c>
      <c r="C261" s="3" t="s">
        <v>29</v>
      </c>
      <c r="D261" s="72">
        <v>43430</v>
      </c>
      <c r="E261">
        <v>1552854</v>
      </c>
      <c r="F261" s="3">
        <v>25708.83</v>
      </c>
      <c r="G261" s="73">
        <v>43434</v>
      </c>
      <c r="H261" s="70">
        <f t="shared" si="8"/>
        <v>1291.1699999999983</v>
      </c>
      <c r="I261" s="70">
        <f t="shared" si="9"/>
        <v>3749.1084000000192</v>
      </c>
    </row>
    <row r="262" spans="1:9" x14ac:dyDescent="0.25">
      <c r="A262" t="s">
        <v>488</v>
      </c>
      <c r="B262" s="3">
        <v>27000</v>
      </c>
      <c r="C262" s="3" t="s">
        <v>29</v>
      </c>
      <c r="D262" s="72">
        <v>43430</v>
      </c>
      <c r="E262">
        <v>1552687</v>
      </c>
      <c r="F262" s="3">
        <v>25291.61</v>
      </c>
      <c r="G262" s="73">
        <v>43434</v>
      </c>
      <c r="H262" s="70">
        <f t="shared" si="8"/>
        <v>1708.3899999999994</v>
      </c>
      <c r="I262" s="70">
        <f t="shared" si="9"/>
        <v>5457.4984000000186</v>
      </c>
    </row>
    <row r="263" spans="1:9" x14ac:dyDescent="0.25">
      <c r="A263" t="s">
        <v>489</v>
      </c>
      <c r="B263" s="3">
        <v>26000</v>
      </c>
      <c r="C263" s="3" t="s">
        <v>41</v>
      </c>
      <c r="D263" s="72">
        <v>43433</v>
      </c>
      <c r="E263">
        <v>1554865</v>
      </c>
      <c r="F263" s="3">
        <v>26659.65</v>
      </c>
      <c r="G263" s="73">
        <v>43439</v>
      </c>
      <c r="H263" s="70">
        <f t="shared" si="8"/>
        <v>-659.65000000000146</v>
      </c>
      <c r="I263" s="70">
        <f t="shared" si="9"/>
        <v>4797.8484000000171</v>
      </c>
    </row>
    <row r="264" spans="1:9" x14ac:dyDescent="0.25">
      <c r="A264" t="s">
        <v>490</v>
      </c>
      <c r="B264" s="3">
        <v>26000</v>
      </c>
      <c r="C264" s="3" t="s">
        <v>45</v>
      </c>
      <c r="D264" s="72">
        <v>43434</v>
      </c>
      <c r="E264">
        <v>1554864</v>
      </c>
      <c r="F264" s="3">
        <v>27024.48</v>
      </c>
      <c r="G264" s="73">
        <v>43440</v>
      </c>
      <c r="H264" s="70">
        <f t="shared" si="8"/>
        <v>-1024.4799999999996</v>
      </c>
      <c r="I264" s="70">
        <f t="shared" si="9"/>
        <v>3773.3684000000176</v>
      </c>
    </row>
    <row r="265" spans="1:9" x14ac:dyDescent="0.25">
      <c r="A265" t="s">
        <v>491</v>
      </c>
      <c r="B265" s="3">
        <v>26000</v>
      </c>
      <c r="C265" s="3" t="s">
        <v>29</v>
      </c>
      <c r="D265" s="72">
        <v>43437</v>
      </c>
      <c r="E265">
        <v>1555582</v>
      </c>
      <c r="F265" s="3">
        <v>27659.53</v>
      </c>
      <c r="G265" s="73">
        <v>43441</v>
      </c>
      <c r="H265" s="70">
        <f t="shared" si="8"/>
        <v>-1659.5299999999988</v>
      </c>
      <c r="I265" s="70">
        <f t="shared" si="9"/>
        <v>2113.8384000000187</v>
      </c>
    </row>
    <row r="266" spans="1:9" x14ac:dyDescent="0.25">
      <c r="A266" t="s">
        <v>492</v>
      </c>
      <c r="B266" s="3">
        <v>26000</v>
      </c>
      <c r="C266" s="3" t="s">
        <v>29</v>
      </c>
      <c r="D266" s="72">
        <v>43437</v>
      </c>
      <c r="E266">
        <v>1555583</v>
      </c>
      <c r="F266" s="3">
        <v>27605.56</v>
      </c>
      <c r="G266" s="73">
        <v>43441</v>
      </c>
      <c r="H266" s="70">
        <f t="shared" si="8"/>
        <v>-1605.5600000000013</v>
      </c>
      <c r="I266" s="70">
        <f t="shared" si="9"/>
        <v>508.27840000001743</v>
      </c>
    </row>
    <row r="267" spans="1:9" x14ac:dyDescent="0.25">
      <c r="A267" t="s">
        <v>493</v>
      </c>
      <c r="B267" s="3">
        <v>27000</v>
      </c>
      <c r="C267" s="3" t="s">
        <v>41</v>
      </c>
      <c r="D267" s="72">
        <v>43440</v>
      </c>
      <c r="E267">
        <v>1557191</v>
      </c>
      <c r="F267" s="3">
        <v>29238.240000000002</v>
      </c>
      <c r="G267" s="73">
        <v>43446</v>
      </c>
      <c r="H267" s="70">
        <f t="shared" si="8"/>
        <v>-2238.2400000000016</v>
      </c>
      <c r="I267" s="70">
        <f t="shared" si="9"/>
        <v>-1729.9615999999842</v>
      </c>
    </row>
    <row r="268" spans="1:9" x14ac:dyDescent="0.25">
      <c r="A268" t="s">
        <v>494</v>
      </c>
      <c r="B268" s="3">
        <v>27500</v>
      </c>
      <c r="C268" s="3" t="s">
        <v>45</v>
      </c>
      <c r="D268" s="72">
        <v>43441</v>
      </c>
      <c r="E268">
        <v>1558443</v>
      </c>
      <c r="F268" s="3">
        <v>25643.98</v>
      </c>
      <c r="G268" s="73">
        <v>43447</v>
      </c>
      <c r="H268" s="70">
        <f t="shared" si="8"/>
        <v>1856.0200000000004</v>
      </c>
      <c r="I268" s="70">
        <f t="shared" si="9"/>
        <v>126.05840000001626</v>
      </c>
    </row>
    <row r="269" spans="1:9" x14ac:dyDescent="0.25">
      <c r="A269" t="s">
        <v>495</v>
      </c>
      <c r="B269" s="3">
        <v>33000</v>
      </c>
      <c r="C269" s="3" t="s">
        <v>29</v>
      </c>
      <c r="D269" s="72">
        <v>43444</v>
      </c>
      <c r="E269">
        <v>1558444</v>
      </c>
      <c r="F269" s="3">
        <v>28659.279999999999</v>
      </c>
      <c r="G269" s="73">
        <v>43448</v>
      </c>
      <c r="H269" s="70">
        <f t="shared" si="8"/>
        <v>4340.7200000000012</v>
      </c>
      <c r="I269" s="70">
        <f t="shared" si="9"/>
        <v>4466.7784000000174</v>
      </c>
    </row>
    <row r="270" spans="1:9" x14ac:dyDescent="0.25">
      <c r="A270" t="s">
        <v>496</v>
      </c>
      <c r="B270" s="3">
        <v>33000</v>
      </c>
      <c r="C270" s="3" t="s">
        <v>29</v>
      </c>
      <c r="D270" s="72">
        <v>43444</v>
      </c>
      <c r="E270">
        <v>1558445</v>
      </c>
      <c r="F270" s="3">
        <v>28736.36</v>
      </c>
      <c r="G270" s="73">
        <v>43448</v>
      </c>
      <c r="H270" s="70">
        <f t="shared" si="8"/>
        <v>4263.6399999999994</v>
      </c>
      <c r="I270" s="70">
        <f t="shared" si="9"/>
        <v>8730.4184000000168</v>
      </c>
    </row>
    <row r="271" spans="1:9" x14ac:dyDescent="0.25">
      <c r="A271" t="s">
        <v>497</v>
      </c>
      <c r="B271" s="3">
        <v>30000</v>
      </c>
      <c r="C271" s="3" t="s">
        <v>48</v>
      </c>
      <c r="D271" s="72">
        <v>43446</v>
      </c>
      <c r="E271">
        <v>1559160</v>
      </c>
      <c r="F271" s="3">
        <v>29581.35</v>
      </c>
      <c r="G271" s="73">
        <v>43452</v>
      </c>
      <c r="H271" s="70">
        <f t="shared" si="8"/>
        <v>418.65000000000146</v>
      </c>
      <c r="I271" s="70">
        <f t="shared" si="9"/>
        <v>9149.0684000000183</v>
      </c>
    </row>
    <row r="272" spans="1:9" x14ac:dyDescent="0.25">
      <c r="A272" t="s">
        <v>498</v>
      </c>
      <c r="B272" s="3">
        <v>30000</v>
      </c>
      <c r="C272" s="3" t="s">
        <v>41</v>
      </c>
      <c r="D272" s="72">
        <v>43447</v>
      </c>
      <c r="E272">
        <v>1560174</v>
      </c>
      <c r="F272" s="3">
        <v>25700.799999999999</v>
      </c>
      <c r="G272" s="73">
        <v>43453</v>
      </c>
      <c r="H272" s="70">
        <f t="shared" si="8"/>
        <v>4299.2000000000007</v>
      </c>
      <c r="I272" s="70">
        <f t="shared" si="9"/>
        <v>13448.268400000019</v>
      </c>
    </row>
    <row r="273" spans="1:9" x14ac:dyDescent="0.25">
      <c r="A273" t="s">
        <v>499</v>
      </c>
      <c r="B273" s="3">
        <v>30000</v>
      </c>
      <c r="C273" s="3" t="s">
        <v>41</v>
      </c>
      <c r="D273" s="72">
        <v>43447</v>
      </c>
      <c r="E273">
        <v>1560175</v>
      </c>
      <c r="F273" s="3">
        <v>26304.41</v>
      </c>
      <c r="G273" s="73">
        <v>43453</v>
      </c>
      <c r="H273" s="70">
        <f t="shared" si="8"/>
        <v>3695.59</v>
      </c>
      <c r="I273" s="70">
        <f t="shared" si="9"/>
        <v>17143.858400000019</v>
      </c>
    </row>
    <row r="274" spans="1:9" x14ac:dyDescent="0.25">
      <c r="A274" t="s">
        <v>500</v>
      </c>
      <c r="B274" s="3">
        <v>25000</v>
      </c>
      <c r="C274" s="3" t="s">
        <v>45</v>
      </c>
      <c r="D274" s="72">
        <v>43448</v>
      </c>
      <c r="E274">
        <v>1560176</v>
      </c>
      <c r="F274" s="3">
        <v>23961.13</v>
      </c>
      <c r="G274" s="73">
        <v>43454</v>
      </c>
      <c r="H274" s="70">
        <f t="shared" si="8"/>
        <v>1038.869999999999</v>
      </c>
      <c r="I274" s="70">
        <f t="shared" si="9"/>
        <v>18182.728400000018</v>
      </c>
    </row>
    <row r="275" spans="1:9" x14ac:dyDescent="0.25">
      <c r="A275" t="s">
        <v>501</v>
      </c>
      <c r="B275" s="3">
        <v>26000</v>
      </c>
      <c r="C275" s="3" t="s">
        <v>29</v>
      </c>
      <c r="D275" s="72">
        <v>43451</v>
      </c>
      <c r="E275">
        <v>1560924</v>
      </c>
      <c r="F275" s="3">
        <v>24974.54</v>
      </c>
      <c r="G275" s="73">
        <v>43455</v>
      </c>
      <c r="H275" s="70">
        <f t="shared" si="8"/>
        <v>1025.4599999999991</v>
      </c>
      <c r="I275" s="70">
        <f t="shared" si="9"/>
        <v>19208.188400000017</v>
      </c>
    </row>
    <row r="276" spans="1:9" x14ac:dyDescent="0.25">
      <c r="A276" t="s">
        <v>502</v>
      </c>
      <c r="B276" s="3">
        <v>26000</v>
      </c>
      <c r="C276" s="3" t="s">
        <v>29</v>
      </c>
      <c r="D276" s="72">
        <v>43451</v>
      </c>
      <c r="E276">
        <v>1560925</v>
      </c>
      <c r="F276" s="3">
        <v>24540.01</v>
      </c>
      <c r="G276" s="73">
        <v>43455</v>
      </c>
      <c r="H276" s="70">
        <f t="shared" si="8"/>
        <v>1459.9900000000016</v>
      </c>
      <c r="I276" s="70">
        <f t="shared" si="9"/>
        <v>20668.178400000019</v>
      </c>
    </row>
    <row r="277" spans="1:9" x14ac:dyDescent="0.25">
      <c r="A277" t="s">
        <v>503</v>
      </c>
      <c r="B277" s="3">
        <v>20000</v>
      </c>
      <c r="C277" s="3" t="s">
        <v>48</v>
      </c>
      <c r="D277" s="72">
        <v>43452</v>
      </c>
      <c r="E277">
        <v>1561948</v>
      </c>
      <c r="F277" s="3">
        <v>23890.799999999999</v>
      </c>
      <c r="G277" s="73">
        <v>43458</v>
      </c>
      <c r="H277" s="70">
        <f t="shared" si="8"/>
        <v>-3890.7999999999993</v>
      </c>
      <c r="I277" s="70">
        <f t="shared" si="9"/>
        <v>16777.37840000002</v>
      </c>
    </row>
    <row r="278" spans="1:9" x14ac:dyDescent="0.25">
      <c r="A278" t="s">
        <v>504</v>
      </c>
      <c r="B278" s="3">
        <v>20000</v>
      </c>
      <c r="C278" s="3" t="s">
        <v>41</v>
      </c>
      <c r="D278" s="72">
        <v>43454</v>
      </c>
      <c r="E278">
        <v>1562727</v>
      </c>
      <c r="F278" s="3">
        <v>23943.84</v>
      </c>
      <c r="G278" s="73">
        <v>43460</v>
      </c>
      <c r="H278" s="70">
        <f t="shared" si="8"/>
        <v>-3943.84</v>
      </c>
      <c r="I278" s="70">
        <f t="shared" si="9"/>
        <v>12833.538400000019</v>
      </c>
    </row>
    <row r="279" spans="1:9" x14ac:dyDescent="0.25">
      <c r="A279" t="s">
        <v>505</v>
      </c>
      <c r="B279" s="3">
        <v>20000</v>
      </c>
      <c r="C279" s="3" t="s">
        <v>29</v>
      </c>
      <c r="D279" s="72">
        <v>43458</v>
      </c>
      <c r="E279">
        <v>1562907</v>
      </c>
      <c r="F279" s="3">
        <v>23959.200000000001</v>
      </c>
      <c r="G279" s="73">
        <v>43462</v>
      </c>
      <c r="H279" s="70">
        <f t="shared" si="8"/>
        <v>-3959.2000000000007</v>
      </c>
      <c r="I279" s="70">
        <f t="shared" si="9"/>
        <v>8874.3384000000187</v>
      </c>
    </row>
    <row r="280" spans="1:9" x14ac:dyDescent="0.25">
      <c r="A280" t="s">
        <v>506</v>
      </c>
      <c r="B280" s="3">
        <v>20000</v>
      </c>
      <c r="C280" s="3" t="s">
        <v>29</v>
      </c>
      <c r="D280" s="72">
        <v>43458</v>
      </c>
      <c r="E280">
        <v>1563625</v>
      </c>
      <c r="F280" s="3">
        <v>24101.1</v>
      </c>
      <c r="G280" s="73">
        <v>43465</v>
      </c>
      <c r="H280" s="70">
        <f t="shared" si="8"/>
        <v>-4101.0999999999985</v>
      </c>
      <c r="I280" s="70">
        <f t="shared" si="9"/>
        <v>4773.2384000000202</v>
      </c>
    </row>
    <row r="281" spans="1:9" x14ac:dyDescent="0.25">
      <c r="A281" t="s">
        <v>507</v>
      </c>
      <c r="B281" s="3">
        <v>21000</v>
      </c>
      <c r="C281" s="3" t="s">
        <v>41</v>
      </c>
      <c r="D281" s="72">
        <v>43461</v>
      </c>
      <c r="E281">
        <v>1564823</v>
      </c>
      <c r="F281" s="3">
        <v>24309.26</v>
      </c>
      <c r="G281" s="73">
        <v>43467</v>
      </c>
      <c r="H281" s="70">
        <f t="shared" si="8"/>
        <v>-3309.2599999999984</v>
      </c>
      <c r="I281" s="70">
        <f t="shared" si="9"/>
        <v>1463.9784000000218</v>
      </c>
    </row>
    <row r="282" spans="1:9" x14ac:dyDescent="0.25">
      <c r="A282" t="s">
        <v>508</v>
      </c>
      <c r="B282" s="3">
        <v>23000</v>
      </c>
      <c r="C282" s="3" t="s">
        <v>29</v>
      </c>
      <c r="D282" s="72">
        <v>43465</v>
      </c>
      <c r="E282">
        <v>1565187</v>
      </c>
      <c r="F282" s="3">
        <v>23410.77</v>
      </c>
      <c r="G282" s="73">
        <v>43438</v>
      </c>
      <c r="H282" s="70">
        <f t="shared" si="8"/>
        <v>-410.77000000000044</v>
      </c>
      <c r="I282" s="70">
        <f t="shared" si="9"/>
        <v>1053.2084000000214</v>
      </c>
    </row>
    <row r="283" spans="1:9" x14ac:dyDescent="0.25">
      <c r="A283" t="s">
        <v>1616</v>
      </c>
      <c r="B283" s="3">
        <v>24500</v>
      </c>
      <c r="C283" s="3" t="s">
        <v>41</v>
      </c>
      <c r="D283" s="72">
        <v>43468</v>
      </c>
      <c r="E283">
        <v>1566683</v>
      </c>
      <c r="F283" s="3">
        <v>23580.99</v>
      </c>
      <c r="G283" s="73">
        <v>43474</v>
      </c>
      <c r="H283" s="70">
        <f t="shared" ref="H283:H290" si="10">B283-F283</f>
        <v>919.0099999999984</v>
      </c>
      <c r="I283" s="70">
        <f t="shared" ref="I283:I290" si="11">I282+H283</f>
        <v>1972.2184000000198</v>
      </c>
    </row>
    <row r="284" spans="1:9" x14ac:dyDescent="0.25">
      <c r="A284" t="s">
        <v>1702</v>
      </c>
      <c r="B284" s="3">
        <v>24000</v>
      </c>
      <c r="C284" s="3" t="s">
        <v>1703</v>
      </c>
      <c r="D284" s="72">
        <v>43475</v>
      </c>
      <c r="E284">
        <v>1567430</v>
      </c>
      <c r="F284" s="3">
        <v>23725.62</v>
      </c>
      <c r="G284" s="73">
        <v>43475</v>
      </c>
      <c r="H284" s="70">
        <f t="shared" si="10"/>
        <v>274.38000000000102</v>
      </c>
      <c r="I284" s="70">
        <f t="shared" si="11"/>
        <v>2246.5984000000208</v>
      </c>
    </row>
    <row r="285" spans="1:9" x14ac:dyDescent="0.25">
      <c r="A285" t="s">
        <v>1617</v>
      </c>
      <c r="B285" s="3">
        <v>24000</v>
      </c>
      <c r="C285" s="3" t="s">
        <v>29</v>
      </c>
      <c r="D285" s="72">
        <v>43472</v>
      </c>
      <c r="E285">
        <v>1567660</v>
      </c>
      <c r="F285" s="3">
        <v>23706.33</v>
      </c>
      <c r="G285" s="73">
        <v>43476</v>
      </c>
      <c r="H285" s="70">
        <f t="shared" si="10"/>
        <v>293.66999999999825</v>
      </c>
      <c r="I285" s="70">
        <f t="shared" si="11"/>
        <v>2540.268400000019</v>
      </c>
    </row>
    <row r="286" spans="1:9" x14ac:dyDescent="0.25">
      <c r="A286" t="s">
        <v>1618</v>
      </c>
      <c r="B286" s="3">
        <v>24000</v>
      </c>
      <c r="C286" s="3" t="s">
        <v>41</v>
      </c>
      <c r="D286" s="72">
        <v>43475</v>
      </c>
      <c r="E286">
        <v>1569382</v>
      </c>
      <c r="F286" s="3">
        <v>25075.22</v>
      </c>
      <c r="G286" s="73">
        <v>43481</v>
      </c>
      <c r="H286" s="70">
        <f t="shared" si="10"/>
        <v>-1075.2200000000012</v>
      </c>
      <c r="I286" s="70">
        <f t="shared" si="11"/>
        <v>1465.0484000000179</v>
      </c>
    </row>
    <row r="287" spans="1:9" x14ac:dyDescent="0.25">
      <c r="A287" t="s">
        <v>1619</v>
      </c>
      <c r="B287" s="3">
        <v>26000</v>
      </c>
      <c r="C287" s="3" t="s">
        <v>29</v>
      </c>
      <c r="D287" s="72">
        <v>43479</v>
      </c>
      <c r="E287">
        <v>1570173</v>
      </c>
      <c r="F287" s="3">
        <v>26136.880000000001</v>
      </c>
      <c r="G287" s="73">
        <v>43483</v>
      </c>
      <c r="H287" s="70">
        <f t="shared" si="10"/>
        <v>-136.88000000000102</v>
      </c>
      <c r="I287" s="70">
        <f t="shared" si="11"/>
        <v>1328.1684000000168</v>
      </c>
    </row>
    <row r="288" spans="1:9" x14ac:dyDescent="0.25">
      <c r="A288" t="s">
        <v>1620</v>
      </c>
      <c r="B288" s="3">
        <v>26500</v>
      </c>
      <c r="C288" s="3" t="s">
        <v>41</v>
      </c>
      <c r="D288" s="72">
        <v>43482</v>
      </c>
      <c r="E288">
        <v>1572344</v>
      </c>
      <c r="F288" s="3">
        <v>26968.22</v>
      </c>
      <c r="G288" s="73">
        <v>43488</v>
      </c>
      <c r="H288" s="70">
        <f t="shared" si="10"/>
        <v>-468.22000000000116</v>
      </c>
      <c r="I288" s="70">
        <f t="shared" si="11"/>
        <v>859.94840000001568</v>
      </c>
    </row>
    <row r="289" spans="1:9" x14ac:dyDescent="0.25">
      <c r="A289" t="s">
        <v>1621</v>
      </c>
      <c r="B289" s="3">
        <v>26500</v>
      </c>
      <c r="C289" s="3" t="s">
        <v>29</v>
      </c>
      <c r="D289" s="72">
        <v>43486</v>
      </c>
      <c r="E289">
        <v>1572662</v>
      </c>
      <c r="F289" s="3">
        <v>25851.96</v>
      </c>
      <c r="G289" s="73">
        <v>43490</v>
      </c>
      <c r="H289" s="70">
        <f t="shared" si="10"/>
        <v>648.04000000000087</v>
      </c>
      <c r="I289" s="70">
        <f t="shared" si="11"/>
        <v>1507.9884000000166</v>
      </c>
    </row>
    <row r="290" spans="1:9" x14ac:dyDescent="0.25">
      <c r="A290" t="s">
        <v>1859</v>
      </c>
      <c r="B290" s="3">
        <v>27500</v>
      </c>
      <c r="C290" s="3" t="s">
        <v>275</v>
      </c>
      <c r="D290" s="72">
        <v>43489</v>
      </c>
      <c r="E290">
        <v>1575172</v>
      </c>
      <c r="F290" s="3">
        <v>24154.79</v>
      </c>
      <c r="G290" s="73">
        <v>43495</v>
      </c>
      <c r="H290" s="70">
        <f t="shared" si="10"/>
        <v>3345.2099999999991</v>
      </c>
      <c r="I290" s="70">
        <f t="shared" si="11"/>
        <v>4853.1984000000157</v>
      </c>
    </row>
    <row r="291" spans="1:9" x14ac:dyDescent="0.25">
      <c r="A291" t="s">
        <v>1860</v>
      </c>
      <c r="B291" s="3">
        <v>24000</v>
      </c>
      <c r="C291" s="3" t="s">
        <v>228</v>
      </c>
      <c r="D291" s="72">
        <v>43493</v>
      </c>
      <c r="E291">
        <v>1575828</v>
      </c>
      <c r="F291" s="3">
        <v>24617.59</v>
      </c>
      <c r="G291" s="73">
        <v>43497</v>
      </c>
      <c r="H291" s="70">
        <f t="shared" ref="H291:H293" si="12">B291-F291</f>
        <v>-617.59000000000015</v>
      </c>
      <c r="I291" s="70">
        <f t="shared" ref="I291:I293" si="13">I290+H291</f>
        <v>4235.6084000000155</v>
      </c>
    </row>
    <row r="292" spans="1:9" x14ac:dyDescent="0.25">
      <c r="A292" t="s">
        <v>1861</v>
      </c>
      <c r="B292" s="3">
        <v>22000</v>
      </c>
      <c r="C292" s="3" t="s">
        <v>41</v>
      </c>
      <c r="D292" s="72">
        <v>43496</v>
      </c>
      <c r="E292">
        <v>1577367</v>
      </c>
      <c r="F292" s="3">
        <v>24198.21</v>
      </c>
      <c r="G292" s="73">
        <v>43502</v>
      </c>
      <c r="H292" s="70">
        <f t="shared" si="12"/>
        <v>-2198.2099999999991</v>
      </c>
      <c r="I292" s="70">
        <f t="shared" si="13"/>
        <v>2037.3984000000164</v>
      </c>
    </row>
    <row r="293" spans="1:9" x14ac:dyDescent="0.25">
      <c r="A293" t="s">
        <v>1862</v>
      </c>
      <c r="B293" s="3">
        <v>24500</v>
      </c>
      <c r="C293" s="3" t="s">
        <v>29</v>
      </c>
      <c r="D293" s="72">
        <v>43500</v>
      </c>
      <c r="E293">
        <v>1578063</v>
      </c>
      <c r="F293" s="3">
        <v>23184.99</v>
      </c>
      <c r="G293" s="73">
        <v>43504</v>
      </c>
      <c r="H293" s="70">
        <f t="shared" si="12"/>
        <v>1315.0099999999984</v>
      </c>
      <c r="I293" s="70">
        <f t="shared" si="13"/>
        <v>3352.4084000000148</v>
      </c>
    </row>
    <row r="294" spans="1:9" x14ac:dyDescent="0.25">
      <c r="A294" t="s">
        <v>2081</v>
      </c>
      <c r="B294" s="3">
        <v>21000</v>
      </c>
      <c r="C294" s="3" t="s">
        <v>275</v>
      </c>
      <c r="D294" s="72">
        <v>43503</v>
      </c>
      <c r="E294">
        <v>1580060</v>
      </c>
      <c r="F294" s="3">
        <v>22537.97</v>
      </c>
      <c r="G294" s="73">
        <v>43509</v>
      </c>
      <c r="H294" s="70">
        <f t="shared" ref="H294:H303" si="14">B294-F294</f>
        <v>-1537.9700000000012</v>
      </c>
      <c r="I294" s="70">
        <f t="shared" ref="I294:I303" si="15">I293+H294</f>
        <v>1814.4384000000136</v>
      </c>
    </row>
    <row r="295" spans="1:9" x14ac:dyDescent="0.25">
      <c r="A295" t="s">
        <v>2082</v>
      </c>
      <c r="B295" s="3">
        <v>22000</v>
      </c>
      <c r="C295" s="3" t="s">
        <v>29</v>
      </c>
      <c r="D295" s="72">
        <v>43507</v>
      </c>
      <c r="E295">
        <v>1580843</v>
      </c>
      <c r="F295" s="3">
        <v>23741.82</v>
      </c>
      <c r="G295" s="73">
        <v>43511</v>
      </c>
      <c r="H295" s="70">
        <f t="shared" si="14"/>
        <v>-1741.8199999999997</v>
      </c>
      <c r="I295" s="70">
        <f t="shared" si="15"/>
        <v>72.618400000013935</v>
      </c>
    </row>
    <row r="296" spans="1:9" x14ac:dyDescent="0.25">
      <c r="A296" t="s">
        <v>2293</v>
      </c>
      <c r="B296" s="3">
        <v>23000</v>
      </c>
      <c r="C296" s="3" t="s">
        <v>33</v>
      </c>
      <c r="D296" s="72">
        <v>43509</v>
      </c>
      <c r="E296">
        <v>1582151</v>
      </c>
      <c r="F296" s="3">
        <v>22113.35</v>
      </c>
      <c r="G296" s="73">
        <v>43515</v>
      </c>
      <c r="H296" s="70">
        <f t="shared" ref="H296:H297" si="16">B296-F296</f>
        <v>886.65000000000146</v>
      </c>
      <c r="I296" s="70">
        <f t="shared" ref="I296:I297" si="17">I295+H296</f>
        <v>959.26840000001539</v>
      </c>
    </row>
    <row r="297" spans="1:9" x14ac:dyDescent="0.25">
      <c r="A297" t="s">
        <v>2083</v>
      </c>
      <c r="B297" s="3">
        <v>23000</v>
      </c>
      <c r="C297" s="3" t="s">
        <v>275</v>
      </c>
      <c r="D297" s="72">
        <v>43510</v>
      </c>
      <c r="E297">
        <v>1582698</v>
      </c>
      <c r="F297" s="3">
        <v>22195.64</v>
      </c>
      <c r="G297" s="73">
        <v>43516</v>
      </c>
      <c r="H297" s="70">
        <f t="shared" si="16"/>
        <v>804.36000000000058</v>
      </c>
      <c r="I297" s="70">
        <f t="shared" si="17"/>
        <v>1763.628400000016</v>
      </c>
    </row>
    <row r="298" spans="1:9" x14ac:dyDescent="0.25">
      <c r="A298" t="s">
        <v>2084</v>
      </c>
      <c r="B298" s="3">
        <v>23500</v>
      </c>
      <c r="C298" s="3" t="s">
        <v>29</v>
      </c>
      <c r="D298" s="72">
        <v>43514</v>
      </c>
      <c r="E298">
        <v>1583449</v>
      </c>
      <c r="F298" s="3">
        <v>22002.92</v>
      </c>
      <c r="G298" s="73">
        <v>43518</v>
      </c>
      <c r="H298" s="70">
        <f t="shared" si="14"/>
        <v>1497.0800000000017</v>
      </c>
      <c r="I298" s="70">
        <f t="shared" si="15"/>
        <v>3260.7084000000177</v>
      </c>
    </row>
    <row r="299" spans="1:9" x14ac:dyDescent="0.25">
      <c r="A299" t="s">
        <v>2379</v>
      </c>
      <c r="B299" s="3">
        <v>22500</v>
      </c>
      <c r="C299" s="3" t="s">
        <v>33</v>
      </c>
      <c r="D299" s="72">
        <v>43516</v>
      </c>
      <c r="E299">
        <v>1584378</v>
      </c>
      <c r="F299" s="3">
        <v>22654.92</v>
      </c>
      <c r="G299" s="73">
        <v>43522</v>
      </c>
      <c r="H299" s="70">
        <f t="shared" si="14"/>
        <v>-154.91999999999825</v>
      </c>
      <c r="I299" s="70">
        <f t="shared" si="15"/>
        <v>3105.7884000000195</v>
      </c>
    </row>
    <row r="300" spans="1:9" x14ac:dyDescent="0.25">
      <c r="A300" t="s">
        <v>2085</v>
      </c>
      <c r="B300" s="3">
        <v>21000</v>
      </c>
      <c r="C300" s="3" t="s">
        <v>275</v>
      </c>
      <c r="D300" s="72">
        <v>43517</v>
      </c>
      <c r="E300">
        <v>1585629</v>
      </c>
      <c r="F300" s="3">
        <v>22509.49</v>
      </c>
      <c r="G300" s="73">
        <v>43523</v>
      </c>
      <c r="H300" s="70">
        <f t="shared" ref="H300" si="18">B300-F300</f>
        <v>-1509.4900000000016</v>
      </c>
      <c r="I300" s="70">
        <f t="shared" ref="I300" si="19">I299+H300</f>
        <v>1596.2984000000179</v>
      </c>
    </row>
    <row r="301" spans="1:9" x14ac:dyDescent="0.25">
      <c r="A301" t="s">
        <v>2086</v>
      </c>
      <c r="B301" s="3">
        <v>22000</v>
      </c>
      <c r="C301" s="3" t="s">
        <v>29</v>
      </c>
      <c r="D301" s="72">
        <v>43521</v>
      </c>
      <c r="E301">
        <v>1586157</v>
      </c>
      <c r="F301" s="3">
        <v>23555.29</v>
      </c>
      <c r="G301" s="73">
        <v>43525</v>
      </c>
      <c r="H301" s="70">
        <f t="shared" si="14"/>
        <v>-1555.2900000000009</v>
      </c>
      <c r="I301" s="70">
        <f t="shared" si="15"/>
        <v>41.008400000016991</v>
      </c>
    </row>
    <row r="302" spans="1:9" x14ac:dyDescent="0.25">
      <c r="A302" t="s">
        <v>2087</v>
      </c>
      <c r="B302" s="3">
        <v>22000</v>
      </c>
      <c r="C302" s="3" t="s">
        <v>275</v>
      </c>
      <c r="D302" s="72">
        <v>43524</v>
      </c>
      <c r="E302">
        <v>1587910</v>
      </c>
      <c r="F302" s="3">
        <v>24397.13</v>
      </c>
      <c r="G302" s="73">
        <v>43530</v>
      </c>
      <c r="H302" s="70">
        <f t="shared" si="14"/>
        <v>-2397.130000000001</v>
      </c>
      <c r="I302" s="70">
        <f t="shared" si="15"/>
        <v>-2356.121599999984</v>
      </c>
    </row>
    <row r="303" spans="1:9" x14ac:dyDescent="0.25">
      <c r="A303" t="s">
        <v>2088</v>
      </c>
      <c r="B303" s="3">
        <v>27000</v>
      </c>
      <c r="C303" s="3" t="s">
        <v>29</v>
      </c>
      <c r="D303" s="72">
        <v>43528</v>
      </c>
      <c r="E303">
        <v>1589024</v>
      </c>
      <c r="F303" s="3">
        <v>24868.38</v>
      </c>
      <c r="G303" s="73">
        <v>43532</v>
      </c>
      <c r="H303" s="70">
        <f t="shared" si="14"/>
        <v>2131.619999999999</v>
      </c>
      <c r="I303" s="70">
        <f t="shared" si="15"/>
        <v>-224.50159999998505</v>
      </c>
    </row>
    <row r="304" spans="1:9" x14ac:dyDescent="0.25">
      <c r="A304" t="s">
        <v>2508</v>
      </c>
      <c r="B304" s="3">
        <v>26000</v>
      </c>
      <c r="C304" s="3" t="s">
        <v>41</v>
      </c>
      <c r="D304" s="72">
        <v>43538</v>
      </c>
      <c r="E304">
        <v>1590837</v>
      </c>
      <c r="F304" s="3">
        <v>26753.65</v>
      </c>
      <c r="G304" s="73">
        <v>43537</v>
      </c>
      <c r="H304" s="70">
        <f t="shared" ref="H304:H312" si="20">B304-F304</f>
        <v>-753.65000000000146</v>
      </c>
      <c r="I304" s="70">
        <f t="shared" ref="I304:I312" si="21">I303+H304</f>
        <v>-978.1515999999865</v>
      </c>
    </row>
    <row r="305" spans="1:9" x14ac:dyDescent="0.25">
      <c r="A305" t="s">
        <v>2509</v>
      </c>
      <c r="B305" s="3">
        <v>29000</v>
      </c>
      <c r="C305" s="3" t="s">
        <v>29</v>
      </c>
      <c r="D305" s="72">
        <v>43535</v>
      </c>
      <c r="E305">
        <v>1591402</v>
      </c>
      <c r="F305" s="3">
        <v>27364.03</v>
      </c>
      <c r="G305" s="73">
        <v>43539</v>
      </c>
      <c r="H305" s="70">
        <f t="shared" si="20"/>
        <v>1635.9700000000012</v>
      </c>
      <c r="I305" s="70">
        <f t="shared" si="21"/>
        <v>657.81840000001466</v>
      </c>
    </row>
    <row r="306" spans="1:9" x14ac:dyDescent="0.25">
      <c r="A306" t="s">
        <v>2510</v>
      </c>
      <c r="B306" s="3">
        <v>30000</v>
      </c>
      <c r="C306" s="3" t="s">
        <v>41</v>
      </c>
      <c r="D306" s="72">
        <v>43538</v>
      </c>
      <c r="E306">
        <v>1593440</v>
      </c>
      <c r="F306" s="3">
        <v>31424.1</v>
      </c>
      <c r="G306" s="73">
        <v>43544</v>
      </c>
      <c r="H306" s="70">
        <f t="shared" si="20"/>
        <v>-1424.0999999999985</v>
      </c>
      <c r="I306" s="70">
        <f t="shared" si="21"/>
        <v>-766.28159999998388</v>
      </c>
    </row>
    <row r="307" spans="1:9" x14ac:dyDescent="0.25">
      <c r="A307" t="s">
        <v>2511</v>
      </c>
      <c r="B307" s="3">
        <v>35000</v>
      </c>
      <c r="C307" s="3" t="s">
        <v>48</v>
      </c>
      <c r="D307" s="72">
        <v>43543</v>
      </c>
      <c r="E307">
        <v>1594407</v>
      </c>
      <c r="F307" s="3">
        <v>32692.080000000002</v>
      </c>
      <c r="G307" s="73">
        <v>43546</v>
      </c>
      <c r="H307" s="70">
        <f t="shared" ref="H307:H309" si="22">B307-F307</f>
        <v>2307.9199999999983</v>
      </c>
      <c r="I307" s="70">
        <f t="shared" ref="I307:I309" si="23">I306+H307</f>
        <v>1541.6384000000144</v>
      </c>
    </row>
    <row r="308" spans="1:9" x14ac:dyDescent="0.25">
      <c r="A308" t="s">
        <v>2743</v>
      </c>
      <c r="B308" s="3">
        <v>35500</v>
      </c>
      <c r="C308" s="3" t="s">
        <v>33</v>
      </c>
      <c r="D308" s="72">
        <v>43544</v>
      </c>
      <c r="E308">
        <v>1597081</v>
      </c>
      <c r="F308" s="3">
        <v>36249.58</v>
      </c>
      <c r="G308" s="73">
        <v>43550</v>
      </c>
      <c r="H308" s="70">
        <f t="shared" si="22"/>
        <v>-749.58000000000175</v>
      </c>
      <c r="I308" s="70">
        <f t="shared" si="23"/>
        <v>792.05840000001263</v>
      </c>
    </row>
    <row r="309" spans="1:9" x14ac:dyDescent="0.25">
      <c r="A309" t="s">
        <v>2512</v>
      </c>
      <c r="B309" s="3">
        <v>35000</v>
      </c>
      <c r="C309" s="3" t="s">
        <v>41</v>
      </c>
      <c r="D309" s="72">
        <v>43545</v>
      </c>
      <c r="E309">
        <v>1596389</v>
      </c>
      <c r="F309" s="3">
        <v>35624.11</v>
      </c>
      <c r="G309" s="73">
        <v>43551</v>
      </c>
      <c r="H309" s="70">
        <f t="shared" si="22"/>
        <v>-624.11000000000058</v>
      </c>
      <c r="I309" s="70">
        <f t="shared" si="23"/>
        <v>167.94840000001204</v>
      </c>
    </row>
    <row r="310" spans="1:9" x14ac:dyDescent="0.25">
      <c r="A310" t="s">
        <v>2513</v>
      </c>
      <c r="B310" s="3">
        <v>37000</v>
      </c>
      <c r="C310" s="3" t="s">
        <v>29</v>
      </c>
      <c r="D310" s="72">
        <v>43549</v>
      </c>
      <c r="F310" s="50">
        <v>35400</v>
      </c>
      <c r="G310" s="73">
        <v>43553</v>
      </c>
      <c r="H310" s="70">
        <f t="shared" si="20"/>
        <v>1600</v>
      </c>
      <c r="I310" s="70">
        <f t="shared" si="21"/>
        <v>1767.948400000012</v>
      </c>
    </row>
    <row r="311" spans="1:9" x14ac:dyDescent="0.25">
      <c r="A311" t="s">
        <v>2514</v>
      </c>
      <c r="B311" s="3">
        <v>34000</v>
      </c>
      <c r="C311" s="3" t="s">
        <v>41</v>
      </c>
      <c r="D311" s="72">
        <v>43551</v>
      </c>
      <c r="F311" s="50">
        <v>35400</v>
      </c>
      <c r="G311" s="73">
        <v>43559</v>
      </c>
      <c r="H311" s="70">
        <f t="shared" si="20"/>
        <v>-1400</v>
      </c>
      <c r="I311" s="70">
        <f t="shared" si="21"/>
        <v>367.94840000001204</v>
      </c>
    </row>
    <row r="312" spans="1:9" x14ac:dyDescent="0.25">
      <c r="A312" t="s">
        <v>2515</v>
      </c>
      <c r="F312" s="50"/>
      <c r="H312" s="70">
        <f t="shared" si="20"/>
        <v>0</v>
      </c>
      <c r="I312" s="70">
        <f t="shared" si="21"/>
        <v>367.94840000001204</v>
      </c>
    </row>
    <row r="313" spans="1:9" x14ac:dyDescent="0.25">
      <c r="A313" t="s">
        <v>2872</v>
      </c>
      <c r="F313" s="50"/>
      <c r="H313" s="70">
        <f t="shared" ref="H313:H328" si="24">B313-F313</f>
        <v>0</v>
      </c>
      <c r="I313" s="70">
        <f t="shared" ref="I313:I328" si="25">I312+H313</f>
        <v>367.94840000001204</v>
      </c>
    </row>
    <row r="314" spans="1:9" x14ac:dyDescent="0.25">
      <c r="A314" t="s">
        <v>2873</v>
      </c>
      <c r="F314" s="50"/>
      <c r="H314" s="70">
        <f t="shared" si="24"/>
        <v>0</v>
      </c>
      <c r="I314" s="70">
        <f t="shared" si="25"/>
        <v>367.94840000001204</v>
      </c>
    </row>
    <row r="315" spans="1:9" x14ac:dyDescent="0.25">
      <c r="A315" t="s">
        <v>2874</v>
      </c>
      <c r="F315" s="50"/>
      <c r="H315" s="70">
        <f t="shared" si="24"/>
        <v>0</v>
      </c>
      <c r="I315" s="70">
        <f t="shared" si="25"/>
        <v>367.94840000001204</v>
      </c>
    </row>
    <row r="316" spans="1:9" x14ac:dyDescent="0.25">
      <c r="A316" t="s">
        <v>2875</v>
      </c>
      <c r="F316" s="50"/>
      <c r="H316" s="70">
        <f t="shared" si="24"/>
        <v>0</v>
      </c>
      <c r="I316" s="70">
        <f t="shared" si="25"/>
        <v>367.94840000001204</v>
      </c>
    </row>
    <row r="317" spans="1:9" x14ac:dyDescent="0.25">
      <c r="A317" t="s">
        <v>2876</v>
      </c>
      <c r="F317" s="50"/>
      <c r="H317" s="70">
        <f t="shared" si="24"/>
        <v>0</v>
      </c>
      <c r="I317" s="70">
        <f t="shared" si="25"/>
        <v>367.94840000001204</v>
      </c>
    </row>
    <row r="318" spans="1:9" x14ac:dyDescent="0.25">
      <c r="A318" t="s">
        <v>2877</v>
      </c>
      <c r="F318" s="50"/>
      <c r="H318" s="70">
        <f t="shared" si="24"/>
        <v>0</v>
      </c>
      <c r="I318" s="70">
        <f t="shared" si="25"/>
        <v>367.94840000001204</v>
      </c>
    </row>
    <row r="319" spans="1:9" x14ac:dyDescent="0.25">
      <c r="A319" t="s">
        <v>2878</v>
      </c>
      <c r="F319" s="50"/>
      <c r="H319" s="70">
        <f t="shared" si="24"/>
        <v>0</v>
      </c>
      <c r="I319" s="70">
        <f t="shared" si="25"/>
        <v>367.94840000001204</v>
      </c>
    </row>
    <row r="320" spans="1:9" x14ac:dyDescent="0.25">
      <c r="A320" t="s">
        <v>2879</v>
      </c>
      <c r="F320" s="50"/>
      <c r="H320" s="70">
        <f t="shared" si="24"/>
        <v>0</v>
      </c>
      <c r="I320" s="70">
        <f t="shared" si="25"/>
        <v>367.94840000001204</v>
      </c>
    </row>
    <row r="321" spans="1:9" x14ac:dyDescent="0.25">
      <c r="A321" t="s">
        <v>2880</v>
      </c>
      <c r="F321" s="50"/>
      <c r="H321" s="70">
        <f t="shared" si="24"/>
        <v>0</v>
      </c>
      <c r="I321" s="70">
        <f t="shared" si="25"/>
        <v>367.94840000001204</v>
      </c>
    </row>
    <row r="322" spans="1:9" x14ac:dyDescent="0.25">
      <c r="A322" t="s">
        <v>2881</v>
      </c>
      <c r="F322" s="50"/>
      <c r="H322" s="70">
        <f t="shared" si="24"/>
        <v>0</v>
      </c>
      <c r="I322" s="70">
        <f t="shared" si="25"/>
        <v>367.94840000001204</v>
      </c>
    </row>
    <row r="323" spans="1:9" x14ac:dyDescent="0.25">
      <c r="H323" s="70">
        <f t="shared" si="24"/>
        <v>0</v>
      </c>
      <c r="I323" s="70">
        <f t="shared" si="25"/>
        <v>367.94840000001204</v>
      </c>
    </row>
    <row r="324" spans="1:9" x14ac:dyDescent="0.25">
      <c r="H324" s="70">
        <f t="shared" si="24"/>
        <v>0</v>
      </c>
      <c r="I324" s="70">
        <f t="shared" si="25"/>
        <v>367.94840000001204</v>
      </c>
    </row>
    <row r="325" spans="1:9" x14ac:dyDescent="0.25">
      <c r="H325" s="70">
        <f t="shared" si="24"/>
        <v>0</v>
      </c>
      <c r="I325" s="70">
        <f t="shared" si="25"/>
        <v>367.94840000001204</v>
      </c>
    </row>
    <row r="326" spans="1:9" x14ac:dyDescent="0.25">
      <c r="H326" s="70">
        <f t="shared" si="24"/>
        <v>0</v>
      </c>
      <c r="I326" s="70">
        <f t="shared" si="25"/>
        <v>367.94840000001204</v>
      </c>
    </row>
    <row r="327" spans="1:9" x14ac:dyDescent="0.25">
      <c r="H327" s="70">
        <f t="shared" si="24"/>
        <v>0</v>
      </c>
      <c r="I327" s="70">
        <f t="shared" si="25"/>
        <v>367.94840000001204</v>
      </c>
    </row>
    <row r="328" spans="1:9" x14ac:dyDescent="0.25">
      <c r="H328" s="70">
        <f t="shared" si="24"/>
        <v>0</v>
      </c>
      <c r="I328" s="70">
        <f t="shared" si="25"/>
        <v>367.94840000001204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606C-3BB4-454B-B13D-EAA9EC145BFE}">
  <dimension ref="A1:K216"/>
  <sheetViews>
    <sheetView topLeftCell="A196" workbookViewId="0">
      <selection activeCell="B210" sqref="B210"/>
    </sheetView>
  </sheetViews>
  <sheetFormatPr baseColWidth="10" defaultRowHeight="15" x14ac:dyDescent="0.25"/>
  <cols>
    <col min="3" max="3" width="4" customWidth="1"/>
    <col min="5" max="5" width="11.85546875" customWidth="1"/>
    <col min="6" max="6" width="12.140625" style="3" customWidth="1"/>
  </cols>
  <sheetData>
    <row r="1" spans="1:9" x14ac:dyDescent="0.25">
      <c r="B1" s="3"/>
      <c r="H1" s="3"/>
      <c r="I1" s="3"/>
    </row>
    <row r="2" spans="1:9" x14ac:dyDescent="0.25">
      <c r="A2" t="s">
        <v>509</v>
      </c>
      <c r="B2" s="3"/>
      <c r="C2" s="3"/>
      <c r="F2" s="3" t="s">
        <v>208</v>
      </c>
      <c r="G2" s="3"/>
      <c r="H2" s="3"/>
      <c r="I2" s="3"/>
    </row>
    <row r="3" spans="1:9" x14ac:dyDescent="0.25">
      <c r="B3" s="3"/>
      <c r="C3" s="3"/>
      <c r="G3" s="71" t="s">
        <v>209</v>
      </c>
      <c r="H3" s="3"/>
      <c r="I3" s="3"/>
    </row>
    <row r="4" spans="1:9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3" t="s">
        <v>216</v>
      </c>
      <c r="I4" s="3" t="s">
        <v>217</v>
      </c>
    </row>
    <row r="5" spans="1:9" x14ac:dyDescent="0.25">
      <c r="A5" t="s">
        <v>510</v>
      </c>
      <c r="B5" s="3">
        <v>35000</v>
      </c>
      <c r="C5" s="72" t="s">
        <v>48</v>
      </c>
      <c r="D5" s="72">
        <v>42766</v>
      </c>
      <c r="E5" t="s">
        <v>511</v>
      </c>
      <c r="F5" s="3">
        <v>28528.240000000002</v>
      </c>
      <c r="G5" s="72">
        <v>42773</v>
      </c>
      <c r="H5" s="70">
        <f t="shared" ref="H5:H37" si="0">B5-F5</f>
        <v>6471.7599999999984</v>
      </c>
      <c r="I5" s="70">
        <f>H5</f>
        <v>6471.7599999999984</v>
      </c>
    </row>
    <row r="6" spans="1:9" x14ac:dyDescent="0.25">
      <c r="A6" t="s">
        <v>512</v>
      </c>
      <c r="B6" s="3">
        <v>25000</v>
      </c>
      <c r="C6" s="72" t="s">
        <v>48</v>
      </c>
      <c r="D6" s="72">
        <v>42773</v>
      </c>
      <c r="E6" t="s">
        <v>513</v>
      </c>
      <c r="F6" s="3">
        <v>29562.04</v>
      </c>
      <c r="G6" s="72">
        <v>42779</v>
      </c>
      <c r="H6" s="70">
        <f t="shared" si="0"/>
        <v>-4562.0400000000009</v>
      </c>
      <c r="I6" s="70">
        <f t="shared" ref="I6:I69" si="1">I5+H6</f>
        <v>1909.7199999999975</v>
      </c>
    </row>
    <row r="7" spans="1:9" x14ac:dyDescent="0.25">
      <c r="A7" t="s">
        <v>514</v>
      </c>
      <c r="B7" s="3">
        <v>33000</v>
      </c>
      <c r="C7" s="72" t="s">
        <v>48</v>
      </c>
      <c r="D7" s="72">
        <v>42780</v>
      </c>
      <c r="E7" t="s">
        <v>515</v>
      </c>
      <c r="F7" s="3">
        <v>27979.68</v>
      </c>
      <c r="G7" s="72">
        <v>42787</v>
      </c>
      <c r="H7" s="70">
        <f t="shared" si="0"/>
        <v>5020.32</v>
      </c>
      <c r="I7" s="70">
        <f t="shared" si="1"/>
        <v>6930.0399999999972</v>
      </c>
    </row>
    <row r="8" spans="1:9" x14ac:dyDescent="0.25">
      <c r="A8" t="s">
        <v>516</v>
      </c>
      <c r="B8" s="3">
        <v>25000</v>
      </c>
      <c r="C8" s="72" t="s">
        <v>48</v>
      </c>
      <c r="D8" s="72">
        <v>42787</v>
      </c>
      <c r="E8" t="s">
        <v>517</v>
      </c>
      <c r="F8" s="3">
        <v>26628.18</v>
      </c>
      <c r="G8" s="72">
        <v>42794</v>
      </c>
      <c r="H8" s="70">
        <f t="shared" si="0"/>
        <v>-1628.1800000000003</v>
      </c>
      <c r="I8" s="70">
        <f t="shared" si="1"/>
        <v>5301.8599999999969</v>
      </c>
    </row>
    <row r="9" spans="1:9" x14ac:dyDescent="0.25">
      <c r="A9" t="s">
        <v>518</v>
      </c>
      <c r="B9" s="3">
        <v>26000</v>
      </c>
      <c r="C9" s="72" t="s">
        <v>519</v>
      </c>
      <c r="D9" s="72">
        <v>42794</v>
      </c>
      <c r="E9" s="78" t="s">
        <v>520</v>
      </c>
      <c r="F9" s="3">
        <v>26792.67</v>
      </c>
      <c r="G9" s="72">
        <v>42800</v>
      </c>
      <c r="H9" s="70">
        <f t="shared" si="0"/>
        <v>-792.66999999999825</v>
      </c>
      <c r="I9" s="70">
        <f t="shared" si="1"/>
        <v>4509.1899999999987</v>
      </c>
    </row>
    <row r="10" spans="1:9" x14ac:dyDescent="0.25">
      <c r="A10" t="s">
        <v>521</v>
      </c>
      <c r="B10" s="3">
        <v>25000</v>
      </c>
      <c r="C10" s="72" t="s">
        <v>33</v>
      </c>
      <c r="D10" s="72">
        <v>42795</v>
      </c>
      <c r="E10" s="78" t="s">
        <v>522</v>
      </c>
      <c r="F10" s="3">
        <v>27532.16</v>
      </c>
      <c r="G10" s="72">
        <v>42801</v>
      </c>
      <c r="H10" s="70">
        <f t="shared" si="0"/>
        <v>-2532.16</v>
      </c>
      <c r="I10" s="70">
        <f t="shared" si="1"/>
        <v>1977.0299999999988</v>
      </c>
    </row>
    <row r="11" spans="1:9" x14ac:dyDescent="0.25">
      <c r="A11" t="s">
        <v>523</v>
      </c>
      <c r="B11" s="3">
        <v>30000</v>
      </c>
      <c r="C11" s="72" t="s">
        <v>48</v>
      </c>
      <c r="D11" s="72">
        <v>42801</v>
      </c>
      <c r="E11" s="78" t="s">
        <v>524</v>
      </c>
      <c r="F11" s="3">
        <v>29216.58</v>
      </c>
      <c r="G11" s="72">
        <v>42807</v>
      </c>
      <c r="H11" s="70">
        <f t="shared" si="0"/>
        <v>783.41999999999825</v>
      </c>
      <c r="I11" s="70">
        <f t="shared" si="1"/>
        <v>2760.4499999999971</v>
      </c>
    </row>
    <row r="12" spans="1:9" x14ac:dyDescent="0.25">
      <c r="A12" t="s">
        <v>525</v>
      </c>
      <c r="B12" s="3">
        <v>28000</v>
      </c>
      <c r="C12" s="72" t="s">
        <v>33</v>
      </c>
      <c r="D12" s="72">
        <v>42802</v>
      </c>
      <c r="E12" s="78" t="s">
        <v>526</v>
      </c>
      <c r="F12" s="3">
        <v>28948.47</v>
      </c>
      <c r="G12" s="72">
        <v>42808</v>
      </c>
      <c r="H12" s="70">
        <f t="shared" si="0"/>
        <v>-948.47000000000116</v>
      </c>
      <c r="I12" s="70">
        <f t="shared" si="1"/>
        <v>1811.9799999999959</v>
      </c>
    </row>
    <row r="13" spans="1:9" x14ac:dyDescent="0.25">
      <c r="A13" t="s">
        <v>527</v>
      </c>
      <c r="B13" s="3">
        <v>31500</v>
      </c>
      <c r="C13" s="72" t="s">
        <v>33</v>
      </c>
      <c r="D13" s="72">
        <v>42808</v>
      </c>
      <c r="E13" s="78" t="s">
        <v>528</v>
      </c>
      <c r="F13" s="3">
        <v>30190.74</v>
      </c>
      <c r="G13" s="72">
        <v>42815</v>
      </c>
      <c r="H13" s="70">
        <f t="shared" si="0"/>
        <v>1309.2599999999984</v>
      </c>
      <c r="I13" s="70">
        <f t="shared" si="1"/>
        <v>3121.2399999999943</v>
      </c>
    </row>
    <row r="14" spans="1:9" x14ac:dyDescent="0.25">
      <c r="A14" t="s">
        <v>529</v>
      </c>
      <c r="B14" s="3">
        <v>31500</v>
      </c>
      <c r="C14" s="72" t="s">
        <v>33</v>
      </c>
      <c r="D14" s="72">
        <v>42808</v>
      </c>
      <c r="E14" s="78" t="s">
        <v>530</v>
      </c>
      <c r="F14" s="3">
        <v>30120.29</v>
      </c>
      <c r="G14" s="72">
        <v>42815</v>
      </c>
      <c r="H14" s="70">
        <f t="shared" si="0"/>
        <v>1379.7099999999991</v>
      </c>
      <c r="I14" s="70">
        <f t="shared" si="1"/>
        <v>4500.9499999999935</v>
      </c>
    </row>
    <row r="15" spans="1:9" x14ac:dyDescent="0.25">
      <c r="A15" t="s">
        <v>531</v>
      </c>
      <c r="B15" s="3">
        <v>33000</v>
      </c>
      <c r="C15" s="72" t="s">
        <v>48</v>
      </c>
      <c r="D15" s="72">
        <v>42815</v>
      </c>
      <c r="E15" s="78" t="s">
        <v>532</v>
      </c>
      <c r="F15" s="3">
        <v>30066.91</v>
      </c>
      <c r="G15" s="72">
        <v>42821</v>
      </c>
      <c r="H15" s="70">
        <f t="shared" si="0"/>
        <v>2933.09</v>
      </c>
      <c r="I15" s="70">
        <f t="shared" si="1"/>
        <v>7434.0399999999936</v>
      </c>
    </row>
    <row r="16" spans="1:9" x14ac:dyDescent="0.25">
      <c r="A16" t="s">
        <v>533</v>
      </c>
      <c r="B16" s="3">
        <v>30000</v>
      </c>
      <c r="C16" s="72" t="s">
        <v>48</v>
      </c>
      <c r="D16" s="72">
        <v>42815</v>
      </c>
      <c r="E16" s="78" t="s">
        <v>534</v>
      </c>
      <c r="F16" s="3">
        <v>29673.58</v>
      </c>
      <c r="G16" s="72">
        <v>42822</v>
      </c>
      <c r="H16" s="70">
        <f t="shared" si="0"/>
        <v>326.41999999999825</v>
      </c>
      <c r="I16" s="70">
        <f t="shared" si="1"/>
        <v>7760.4599999999919</v>
      </c>
    </row>
    <row r="17" spans="1:11" x14ac:dyDescent="0.25">
      <c r="A17" t="s">
        <v>535</v>
      </c>
      <c r="B17" s="3">
        <v>29000</v>
      </c>
      <c r="C17" s="72" t="s">
        <v>48</v>
      </c>
      <c r="D17" s="72">
        <v>42822</v>
      </c>
      <c r="E17" s="78" t="s">
        <v>536</v>
      </c>
      <c r="F17" s="3">
        <v>27113.15</v>
      </c>
      <c r="G17" s="72">
        <v>42828</v>
      </c>
      <c r="H17" s="70">
        <f t="shared" si="0"/>
        <v>1886.8499999999985</v>
      </c>
      <c r="I17" s="70">
        <f t="shared" si="1"/>
        <v>9647.3099999999904</v>
      </c>
    </row>
    <row r="18" spans="1:11" x14ac:dyDescent="0.25">
      <c r="A18" t="s">
        <v>537</v>
      </c>
      <c r="B18" s="3">
        <v>28000</v>
      </c>
      <c r="C18" s="72" t="s">
        <v>33</v>
      </c>
      <c r="D18" s="72">
        <v>42823</v>
      </c>
      <c r="E18" s="78" t="s">
        <v>538</v>
      </c>
      <c r="F18" s="3">
        <v>26672.05</v>
      </c>
      <c r="G18" s="72">
        <v>42829</v>
      </c>
      <c r="H18" s="70">
        <f t="shared" si="0"/>
        <v>1327.9500000000007</v>
      </c>
      <c r="I18" s="70">
        <f t="shared" si="1"/>
        <v>10975.259999999991</v>
      </c>
    </row>
    <row r="19" spans="1:11" x14ac:dyDescent="0.25">
      <c r="A19" t="s">
        <v>539</v>
      </c>
      <c r="B19" s="3">
        <v>26000</v>
      </c>
      <c r="C19" s="72" t="s">
        <v>45</v>
      </c>
      <c r="D19" s="72">
        <v>42825</v>
      </c>
      <c r="E19" s="78" t="s">
        <v>540</v>
      </c>
      <c r="F19" s="3">
        <v>27048.07</v>
      </c>
      <c r="G19" s="72">
        <v>42831</v>
      </c>
      <c r="H19" s="70">
        <f t="shared" si="0"/>
        <v>-1048.0699999999997</v>
      </c>
      <c r="I19" s="70">
        <f t="shared" si="1"/>
        <v>9927.1899999999914</v>
      </c>
    </row>
    <row r="20" spans="1:11" x14ac:dyDescent="0.25">
      <c r="A20" t="s">
        <v>541</v>
      </c>
      <c r="B20" s="3">
        <v>24000</v>
      </c>
      <c r="C20" s="72" t="s">
        <v>48</v>
      </c>
      <c r="D20" s="72">
        <v>42829</v>
      </c>
      <c r="E20" s="78" t="s">
        <v>542</v>
      </c>
      <c r="F20" s="3">
        <v>27139.08</v>
      </c>
      <c r="G20" s="72">
        <v>42835</v>
      </c>
      <c r="H20" s="70">
        <f t="shared" si="0"/>
        <v>-3139.0800000000017</v>
      </c>
      <c r="I20" s="70">
        <f t="shared" si="1"/>
        <v>6788.1099999999897</v>
      </c>
      <c r="J20" t="s">
        <v>543</v>
      </c>
    </row>
    <row r="21" spans="1:11" x14ac:dyDescent="0.25">
      <c r="A21" t="s">
        <v>544</v>
      </c>
      <c r="B21" s="3">
        <v>24000</v>
      </c>
      <c r="C21" s="72" t="s">
        <v>33</v>
      </c>
      <c r="D21" s="72">
        <v>42830</v>
      </c>
      <c r="E21" s="78" t="s">
        <v>545</v>
      </c>
      <c r="F21" s="3">
        <v>28089.07</v>
      </c>
      <c r="G21" s="72">
        <v>42836</v>
      </c>
      <c r="H21" s="70">
        <f t="shared" si="0"/>
        <v>-4089.0699999999997</v>
      </c>
      <c r="I21" s="70">
        <f t="shared" si="1"/>
        <v>2699.03999999999</v>
      </c>
      <c r="J21" t="s">
        <v>546</v>
      </c>
    </row>
    <row r="22" spans="1:11" x14ac:dyDescent="0.25">
      <c r="A22" t="s">
        <v>547</v>
      </c>
      <c r="B22" s="3">
        <v>27000</v>
      </c>
      <c r="C22" s="72" t="s">
        <v>48</v>
      </c>
      <c r="D22" s="72">
        <v>42836</v>
      </c>
      <c r="E22" s="78" t="s">
        <v>548</v>
      </c>
      <c r="F22" s="3">
        <v>27974.99</v>
      </c>
      <c r="G22" s="72">
        <v>42842</v>
      </c>
      <c r="H22" s="70">
        <f t="shared" si="0"/>
        <v>-974.9900000000016</v>
      </c>
      <c r="I22" s="70">
        <f t="shared" si="1"/>
        <v>1724.0499999999884</v>
      </c>
    </row>
    <row r="23" spans="1:11" x14ac:dyDescent="0.25">
      <c r="A23" t="s">
        <v>549</v>
      </c>
      <c r="B23" s="3">
        <v>27500</v>
      </c>
      <c r="C23" s="72" t="s">
        <v>33</v>
      </c>
      <c r="D23" s="72">
        <v>42837</v>
      </c>
      <c r="E23" s="78" t="s">
        <v>550</v>
      </c>
      <c r="F23" s="3">
        <v>28014.2</v>
      </c>
      <c r="G23" s="72">
        <v>42843</v>
      </c>
      <c r="H23" s="70">
        <f t="shared" si="0"/>
        <v>-514.20000000000073</v>
      </c>
      <c r="I23" s="70">
        <f t="shared" si="1"/>
        <v>1209.8499999999876</v>
      </c>
    </row>
    <row r="24" spans="1:11" x14ac:dyDescent="0.25">
      <c r="A24" t="s">
        <v>551</v>
      </c>
      <c r="B24" s="3">
        <v>27500</v>
      </c>
      <c r="C24" s="72" t="s">
        <v>33</v>
      </c>
      <c r="D24" s="72">
        <v>42837</v>
      </c>
      <c r="E24" s="78" t="s">
        <v>552</v>
      </c>
      <c r="F24" s="3">
        <v>28283.71</v>
      </c>
      <c r="G24" s="72">
        <v>42845</v>
      </c>
      <c r="H24" s="70">
        <f t="shared" si="0"/>
        <v>-783.70999999999913</v>
      </c>
      <c r="I24" s="70">
        <f t="shared" si="1"/>
        <v>426.1399999999885</v>
      </c>
    </row>
    <row r="25" spans="1:11" x14ac:dyDescent="0.25">
      <c r="A25" t="s">
        <v>553</v>
      </c>
      <c r="B25" s="3">
        <v>29500</v>
      </c>
      <c r="C25" s="72" t="s">
        <v>48</v>
      </c>
      <c r="D25" s="72">
        <v>42843</v>
      </c>
      <c r="E25" s="78" t="s">
        <v>554</v>
      </c>
      <c r="F25" s="3">
        <v>29315.32</v>
      </c>
      <c r="G25" s="72">
        <v>42849</v>
      </c>
      <c r="H25" s="70">
        <f t="shared" si="0"/>
        <v>184.68000000000029</v>
      </c>
      <c r="I25" s="70">
        <f t="shared" si="1"/>
        <v>610.8199999999888</v>
      </c>
    </row>
    <row r="26" spans="1:11" x14ac:dyDescent="0.25">
      <c r="A26" t="s">
        <v>555</v>
      </c>
      <c r="B26" s="3">
        <v>29500</v>
      </c>
      <c r="C26" s="72" t="s">
        <v>33</v>
      </c>
      <c r="D26" s="72">
        <v>42844</v>
      </c>
      <c r="E26" s="78" t="s">
        <v>556</v>
      </c>
      <c r="F26" s="3">
        <v>29743.45</v>
      </c>
      <c r="G26" s="72">
        <v>42850</v>
      </c>
      <c r="H26" s="70">
        <f t="shared" si="0"/>
        <v>-243.45000000000073</v>
      </c>
      <c r="I26" s="70">
        <f t="shared" si="1"/>
        <v>367.36999999998807</v>
      </c>
    </row>
    <row r="27" spans="1:11" x14ac:dyDescent="0.25">
      <c r="A27" t="s">
        <v>557</v>
      </c>
      <c r="B27" s="3">
        <v>30000</v>
      </c>
      <c r="C27" s="72" t="s">
        <v>45</v>
      </c>
      <c r="D27" s="72">
        <v>42846</v>
      </c>
      <c r="E27" s="78" t="s">
        <v>558</v>
      </c>
      <c r="F27" s="3">
        <v>30427.32</v>
      </c>
      <c r="G27" s="72">
        <v>42852</v>
      </c>
      <c r="H27" s="70">
        <f t="shared" si="0"/>
        <v>-427.31999999999971</v>
      </c>
      <c r="I27" s="70">
        <f t="shared" si="1"/>
        <v>-59.950000000011642</v>
      </c>
    </row>
    <row r="28" spans="1:11" x14ac:dyDescent="0.25">
      <c r="A28">
        <v>32610</v>
      </c>
      <c r="B28" s="3">
        <v>31000</v>
      </c>
      <c r="C28" s="72" t="s">
        <v>33</v>
      </c>
      <c r="D28" s="72">
        <v>42851</v>
      </c>
      <c r="E28" s="78" t="s">
        <v>559</v>
      </c>
      <c r="F28" s="3">
        <v>30453.87</v>
      </c>
      <c r="G28" s="72">
        <v>42857</v>
      </c>
      <c r="H28" s="70">
        <f t="shared" si="0"/>
        <v>546.13000000000102</v>
      </c>
      <c r="I28" s="70">
        <f t="shared" si="1"/>
        <v>486.17999999998938</v>
      </c>
    </row>
    <row r="29" spans="1:11" x14ac:dyDescent="0.25">
      <c r="A29">
        <v>32632</v>
      </c>
      <c r="B29" s="3">
        <v>31000</v>
      </c>
      <c r="C29" s="72" t="s">
        <v>45</v>
      </c>
      <c r="D29" s="72">
        <v>42853</v>
      </c>
      <c r="E29" s="78" t="s">
        <v>560</v>
      </c>
      <c r="F29" s="3">
        <v>30235.759999999998</v>
      </c>
      <c r="G29" s="72">
        <v>42859</v>
      </c>
      <c r="H29" s="70">
        <f t="shared" si="0"/>
        <v>764.2400000000016</v>
      </c>
      <c r="I29" s="70">
        <f t="shared" si="1"/>
        <v>1250.419999999991</v>
      </c>
    </row>
    <row r="30" spans="1:11" x14ac:dyDescent="0.25">
      <c r="A30">
        <v>32633</v>
      </c>
      <c r="B30" s="3">
        <v>32000</v>
      </c>
      <c r="C30" s="72" t="s">
        <v>48</v>
      </c>
      <c r="D30" s="72">
        <v>42857</v>
      </c>
      <c r="E30" s="78" t="s">
        <v>561</v>
      </c>
      <c r="F30" s="3">
        <v>31829.03</v>
      </c>
      <c r="G30" s="72">
        <v>42863</v>
      </c>
      <c r="H30" s="70">
        <f t="shared" si="0"/>
        <v>170.97000000000116</v>
      </c>
      <c r="I30" s="70">
        <f t="shared" si="1"/>
        <v>1421.3899999999921</v>
      </c>
    </row>
    <row r="31" spans="1:11" x14ac:dyDescent="0.25">
      <c r="A31">
        <v>60879</v>
      </c>
      <c r="B31" s="3">
        <v>32000</v>
      </c>
      <c r="C31" s="72" t="s">
        <v>41</v>
      </c>
      <c r="D31" s="72">
        <v>42859</v>
      </c>
      <c r="E31" s="78" t="s">
        <v>562</v>
      </c>
      <c r="F31" s="3">
        <v>31423.66</v>
      </c>
      <c r="G31" s="72">
        <v>42863</v>
      </c>
      <c r="H31" s="70">
        <f t="shared" si="0"/>
        <v>576.34000000000015</v>
      </c>
      <c r="I31" s="70">
        <f t="shared" si="1"/>
        <v>1997.7299999999923</v>
      </c>
    </row>
    <row r="32" spans="1:11" x14ac:dyDescent="0.25">
      <c r="A32">
        <v>32634</v>
      </c>
      <c r="B32" s="3"/>
      <c r="C32" s="72" t="s">
        <v>33</v>
      </c>
      <c r="D32" s="72">
        <v>42858</v>
      </c>
      <c r="E32" s="48" t="s">
        <v>563</v>
      </c>
      <c r="G32" s="72">
        <v>42864</v>
      </c>
      <c r="H32" s="70">
        <f t="shared" si="0"/>
        <v>0</v>
      </c>
      <c r="I32" s="70">
        <f t="shared" si="1"/>
        <v>1997.7299999999923</v>
      </c>
      <c r="J32" s="48" t="s">
        <v>563</v>
      </c>
      <c r="K32" t="s">
        <v>564</v>
      </c>
    </row>
    <row r="33" spans="1:10" x14ac:dyDescent="0.25">
      <c r="A33">
        <v>32635</v>
      </c>
      <c r="B33" s="3">
        <v>31500</v>
      </c>
      <c r="C33" s="72" t="s">
        <v>48</v>
      </c>
      <c r="D33" s="72">
        <v>42864</v>
      </c>
      <c r="E33" s="78" t="s">
        <v>565</v>
      </c>
      <c r="F33" s="3">
        <v>32317.86</v>
      </c>
      <c r="G33" s="72">
        <v>42870</v>
      </c>
      <c r="H33" s="70">
        <f t="shared" si="0"/>
        <v>-817.86000000000058</v>
      </c>
      <c r="I33" s="70">
        <f t="shared" si="1"/>
        <v>1179.8699999999917</v>
      </c>
    </row>
    <row r="34" spans="1:10" x14ac:dyDescent="0.25">
      <c r="A34">
        <v>32636</v>
      </c>
      <c r="B34" s="3">
        <v>31500</v>
      </c>
      <c r="C34" s="72" t="s">
        <v>33</v>
      </c>
      <c r="D34" s="72">
        <v>42865</v>
      </c>
      <c r="E34" s="78" t="s">
        <v>566</v>
      </c>
      <c r="F34" s="3">
        <v>32196.51</v>
      </c>
      <c r="G34" s="72">
        <v>42871</v>
      </c>
      <c r="H34" s="70">
        <f t="shared" si="0"/>
        <v>-696.5099999999984</v>
      </c>
      <c r="I34" s="70">
        <f t="shared" si="1"/>
        <v>483.35999999999331</v>
      </c>
    </row>
    <row r="35" spans="1:10" x14ac:dyDescent="0.25">
      <c r="A35">
        <v>81550</v>
      </c>
      <c r="B35" s="3">
        <v>32000</v>
      </c>
      <c r="C35" s="72" t="s">
        <v>33</v>
      </c>
      <c r="D35" s="72">
        <v>42858</v>
      </c>
      <c r="E35" s="78" t="s">
        <v>567</v>
      </c>
      <c r="F35" s="3">
        <v>32827.629999999997</v>
      </c>
      <c r="G35" s="72">
        <v>42877</v>
      </c>
      <c r="H35" s="70">
        <f t="shared" si="0"/>
        <v>-827.62999999999738</v>
      </c>
      <c r="I35" s="70">
        <f t="shared" si="1"/>
        <v>-344.27000000000407</v>
      </c>
      <c r="J35" t="s">
        <v>568</v>
      </c>
    </row>
    <row r="36" spans="1:10" x14ac:dyDescent="0.25">
      <c r="A36">
        <v>32637</v>
      </c>
      <c r="B36" s="3">
        <v>33000</v>
      </c>
      <c r="C36" s="72" t="s">
        <v>48</v>
      </c>
      <c r="D36" s="72">
        <v>42871</v>
      </c>
      <c r="E36" s="78" t="s">
        <v>569</v>
      </c>
      <c r="F36" s="3">
        <v>32909.72</v>
      </c>
      <c r="G36" s="72">
        <v>42877</v>
      </c>
      <c r="H36" s="70">
        <f t="shared" si="0"/>
        <v>90.279999999998836</v>
      </c>
      <c r="I36" s="70">
        <f t="shared" si="1"/>
        <v>-253.99000000000524</v>
      </c>
    </row>
    <row r="37" spans="1:10" x14ac:dyDescent="0.25">
      <c r="A37">
        <v>32638</v>
      </c>
      <c r="B37" s="3">
        <v>34000</v>
      </c>
      <c r="C37" s="72" t="s">
        <v>33</v>
      </c>
      <c r="D37" s="72">
        <v>42872</v>
      </c>
      <c r="E37" s="78" t="s">
        <v>570</v>
      </c>
      <c r="F37" s="3">
        <v>31541.56</v>
      </c>
      <c r="G37" s="72">
        <v>42878</v>
      </c>
      <c r="H37" s="70">
        <f t="shared" si="0"/>
        <v>2458.4399999999987</v>
      </c>
      <c r="I37" s="70">
        <f t="shared" si="1"/>
        <v>2204.4499999999935</v>
      </c>
    </row>
    <row r="38" spans="1:10" x14ac:dyDescent="0.25">
      <c r="A38">
        <v>32639</v>
      </c>
      <c r="B38" s="3">
        <v>33000</v>
      </c>
      <c r="C38" s="72" t="s">
        <v>48</v>
      </c>
      <c r="D38" s="72">
        <v>42878</v>
      </c>
      <c r="E38" s="78" t="s">
        <v>571</v>
      </c>
      <c r="F38" s="3">
        <v>32782.89</v>
      </c>
      <c r="G38" s="72">
        <v>42884</v>
      </c>
      <c r="H38" s="70">
        <f>B38-F38</f>
        <v>217.11000000000058</v>
      </c>
      <c r="I38" s="70">
        <f t="shared" si="1"/>
        <v>2421.559999999994</v>
      </c>
    </row>
    <row r="39" spans="1:10" x14ac:dyDescent="0.25">
      <c r="A39">
        <v>32640</v>
      </c>
      <c r="B39" s="3">
        <v>32000</v>
      </c>
      <c r="C39" s="72" t="s">
        <v>33</v>
      </c>
      <c r="D39" s="72">
        <v>42879</v>
      </c>
      <c r="E39" s="78" t="s">
        <v>572</v>
      </c>
      <c r="F39" s="3">
        <v>33963.15</v>
      </c>
      <c r="G39" s="72">
        <v>42885</v>
      </c>
      <c r="H39" s="70">
        <f>B39-F39</f>
        <v>-1963.1500000000015</v>
      </c>
      <c r="I39" s="70">
        <f t="shared" si="1"/>
        <v>458.40999999999258</v>
      </c>
    </row>
    <row r="40" spans="1:10" x14ac:dyDescent="0.25">
      <c r="A40">
        <v>90287</v>
      </c>
      <c r="B40" s="3">
        <v>35000</v>
      </c>
      <c r="C40" s="72" t="s">
        <v>48</v>
      </c>
      <c r="D40" s="72">
        <v>42885</v>
      </c>
      <c r="E40" s="78" t="s">
        <v>573</v>
      </c>
      <c r="F40" s="3">
        <v>32465.82</v>
      </c>
      <c r="G40" s="72">
        <v>42891</v>
      </c>
      <c r="H40" s="70">
        <f>B40-F40</f>
        <v>2534.1800000000003</v>
      </c>
      <c r="I40" s="70">
        <f t="shared" si="1"/>
        <v>2992.5899999999929</v>
      </c>
    </row>
    <row r="41" spans="1:10" x14ac:dyDescent="0.25">
      <c r="A41">
        <v>90328</v>
      </c>
      <c r="B41" s="3">
        <v>35000</v>
      </c>
      <c r="C41" s="72" t="s">
        <v>33</v>
      </c>
      <c r="D41" s="72">
        <v>42886</v>
      </c>
      <c r="E41" s="78" t="s">
        <v>574</v>
      </c>
      <c r="F41" s="3">
        <v>31071.759999999998</v>
      </c>
      <c r="G41" s="72">
        <v>42892</v>
      </c>
      <c r="H41" s="70">
        <f t="shared" ref="H41:H104" si="2">B41-F41</f>
        <v>3928.2400000000016</v>
      </c>
      <c r="I41" s="70">
        <f t="shared" si="1"/>
        <v>6920.8299999999945</v>
      </c>
    </row>
    <row r="42" spans="1:10" x14ac:dyDescent="0.25">
      <c r="A42">
        <v>90329</v>
      </c>
      <c r="B42" s="3">
        <v>30000</v>
      </c>
      <c r="C42" s="72" t="s">
        <v>48</v>
      </c>
      <c r="D42" s="72">
        <v>42892</v>
      </c>
      <c r="E42" s="78" t="s">
        <v>575</v>
      </c>
      <c r="F42" s="3">
        <v>29384.67</v>
      </c>
      <c r="G42" s="72">
        <v>42898</v>
      </c>
      <c r="H42" s="70">
        <f t="shared" si="2"/>
        <v>615.33000000000175</v>
      </c>
      <c r="I42" s="70">
        <f t="shared" si="1"/>
        <v>7536.1599999999962</v>
      </c>
    </row>
    <row r="43" spans="1:10" x14ac:dyDescent="0.25">
      <c r="A43">
        <v>90373</v>
      </c>
      <c r="B43" s="3">
        <v>30000</v>
      </c>
      <c r="C43" s="72" t="s">
        <v>33</v>
      </c>
      <c r="D43" s="72">
        <v>42893</v>
      </c>
      <c r="E43" s="78" t="s">
        <v>576</v>
      </c>
      <c r="F43" s="3">
        <v>30307.119999999999</v>
      </c>
      <c r="G43" s="72">
        <v>42899</v>
      </c>
      <c r="H43" s="70">
        <f t="shared" si="2"/>
        <v>-307.11999999999898</v>
      </c>
      <c r="I43" s="70">
        <f t="shared" si="1"/>
        <v>7229.0399999999972</v>
      </c>
    </row>
    <row r="44" spans="1:10" x14ac:dyDescent="0.25">
      <c r="A44">
        <v>90331</v>
      </c>
      <c r="B44" s="3">
        <v>30000</v>
      </c>
      <c r="C44" s="72" t="s">
        <v>48</v>
      </c>
      <c r="D44" s="72">
        <v>42899</v>
      </c>
      <c r="E44" s="78" t="s">
        <v>577</v>
      </c>
      <c r="F44" s="3">
        <v>32882.85</v>
      </c>
      <c r="G44" s="72">
        <v>42905</v>
      </c>
      <c r="H44" s="70">
        <f t="shared" si="2"/>
        <v>-2882.8499999999985</v>
      </c>
      <c r="I44" s="70">
        <f t="shared" si="1"/>
        <v>4346.1899999999987</v>
      </c>
    </row>
    <row r="45" spans="1:10" x14ac:dyDescent="0.25">
      <c r="A45">
        <v>90336</v>
      </c>
      <c r="B45" s="3">
        <v>30000</v>
      </c>
      <c r="C45" s="72" t="s">
        <v>33</v>
      </c>
      <c r="D45" s="72">
        <v>42900</v>
      </c>
      <c r="E45" s="78" t="s">
        <v>578</v>
      </c>
      <c r="F45" s="3">
        <v>32207.33</v>
      </c>
      <c r="G45" s="72">
        <v>42906</v>
      </c>
      <c r="H45" s="70">
        <f t="shared" si="2"/>
        <v>-2207.3300000000017</v>
      </c>
      <c r="I45" s="70">
        <f t="shared" si="1"/>
        <v>2138.8599999999969</v>
      </c>
    </row>
    <row r="46" spans="1:10" x14ac:dyDescent="0.25">
      <c r="A46">
        <v>90338</v>
      </c>
      <c r="B46" s="3">
        <v>34500</v>
      </c>
      <c r="C46" s="72" t="s">
        <v>48</v>
      </c>
      <c r="D46" s="72">
        <v>42906</v>
      </c>
      <c r="E46" s="78" t="s">
        <v>579</v>
      </c>
      <c r="F46" s="3">
        <v>33421.769999999997</v>
      </c>
      <c r="G46" s="72">
        <v>42912</v>
      </c>
      <c r="H46" s="70">
        <f t="shared" si="2"/>
        <v>1078.2300000000032</v>
      </c>
      <c r="I46" s="70">
        <f t="shared" si="1"/>
        <v>3217.09</v>
      </c>
    </row>
    <row r="47" spans="1:10" x14ac:dyDescent="0.25">
      <c r="A47">
        <v>90339</v>
      </c>
      <c r="B47" s="3">
        <v>34500</v>
      </c>
      <c r="C47" s="72" t="s">
        <v>33</v>
      </c>
      <c r="D47" s="72">
        <v>42907</v>
      </c>
      <c r="E47" s="78" t="s">
        <v>580</v>
      </c>
      <c r="F47" s="3">
        <v>33081.83</v>
      </c>
      <c r="G47" s="72">
        <v>42913</v>
      </c>
      <c r="H47" s="70">
        <f t="shared" si="2"/>
        <v>1418.1699999999983</v>
      </c>
      <c r="I47" s="70">
        <f t="shared" si="1"/>
        <v>4635.2599999999984</v>
      </c>
    </row>
    <row r="48" spans="1:10" x14ac:dyDescent="0.25">
      <c r="A48" t="s">
        <v>581</v>
      </c>
      <c r="B48" s="3">
        <v>34000</v>
      </c>
      <c r="C48" s="72" t="s">
        <v>48</v>
      </c>
      <c r="D48" s="72">
        <v>42913</v>
      </c>
      <c r="E48" s="78" t="s">
        <v>582</v>
      </c>
      <c r="F48" s="3">
        <v>35245.519999999997</v>
      </c>
      <c r="G48" s="72">
        <v>42919</v>
      </c>
      <c r="H48" s="70">
        <f t="shared" si="2"/>
        <v>-1245.5199999999968</v>
      </c>
      <c r="I48" s="70">
        <f t="shared" si="1"/>
        <v>3389.7400000000016</v>
      </c>
    </row>
    <row r="49" spans="1:9" x14ac:dyDescent="0.25">
      <c r="A49" t="s">
        <v>583</v>
      </c>
      <c r="B49" s="3">
        <v>34000</v>
      </c>
      <c r="C49" s="72" t="s">
        <v>33</v>
      </c>
      <c r="D49" s="72">
        <v>42914</v>
      </c>
      <c r="E49" s="78" t="s">
        <v>584</v>
      </c>
      <c r="F49" s="3">
        <v>35871.230000000003</v>
      </c>
      <c r="G49" s="72">
        <v>42919</v>
      </c>
      <c r="H49" s="70">
        <f t="shared" si="2"/>
        <v>-1871.2300000000032</v>
      </c>
      <c r="I49" s="70">
        <f t="shared" si="1"/>
        <v>1518.5099999999984</v>
      </c>
    </row>
    <row r="50" spans="1:9" x14ac:dyDescent="0.25">
      <c r="A50" t="s">
        <v>585</v>
      </c>
      <c r="B50" s="3">
        <v>35000</v>
      </c>
      <c r="C50" s="72" t="s">
        <v>29</v>
      </c>
      <c r="D50" s="72">
        <v>42919</v>
      </c>
      <c r="E50" s="78" t="s">
        <v>586</v>
      </c>
      <c r="F50" s="3">
        <v>37566.410000000003</v>
      </c>
      <c r="G50" s="72">
        <v>42926</v>
      </c>
      <c r="H50" s="70">
        <f t="shared" si="2"/>
        <v>-2566.4100000000035</v>
      </c>
      <c r="I50" s="70">
        <f t="shared" si="1"/>
        <v>-1047.9000000000051</v>
      </c>
    </row>
    <row r="51" spans="1:9" x14ac:dyDescent="0.25">
      <c r="A51" t="s">
        <v>587</v>
      </c>
      <c r="B51" s="3">
        <v>37000</v>
      </c>
      <c r="C51" s="72" t="s">
        <v>33</v>
      </c>
      <c r="D51" s="72">
        <v>42921</v>
      </c>
      <c r="E51" s="78" t="s">
        <v>588</v>
      </c>
      <c r="F51" s="3">
        <v>38122.910000000003</v>
      </c>
      <c r="G51" s="72">
        <v>42927</v>
      </c>
      <c r="H51" s="70">
        <f t="shared" si="2"/>
        <v>-1122.9100000000035</v>
      </c>
      <c r="I51" s="70">
        <f t="shared" si="1"/>
        <v>-2170.8100000000086</v>
      </c>
    </row>
    <row r="52" spans="1:9" x14ac:dyDescent="0.25">
      <c r="A52" t="s">
        <v>589</v>
      </c>
      <c r="B52" s="3">
        <v>40500</v>
      </c>
      <c r="C52" s="72" t="s">
        <v>519</v>
      </c>
      <c r="D52" s="72">
        <v>42927</v>
      </c>
      <c r="E52" s="78" t="s">
        <v>590</v>
      </c>
      <c r="F52" s="3">
        <v>37884.9</v>
      </c>
      <c r="G52" s="72">
        <v>42933</v>
      </c>
      <c r="H52" s="70">
        <f t="shared" si="2"/>
        <v>2615.0999999999985</v>
      </c>
      <c r="I52" s="70">
        <f t="shared" si="1"/>
        <v>444.28999999998996</v>
      </c>
    </row>
    <row r="53" spans="1:9" x14ac:dyDescent="0.25">
      <c r="A53" t="s">
        <v>591</v>
      </c>
      <c r="B53" s="3">
        <v>40500</v>
      </c>
      <c r="C53" s="72" t="s">
        <v>48</v>
      </c>
      <c r="D53" s="72">
        <v>42927</v>
      </c>
      <c r="E53" s="78" t="s">
        <v>592</v>
      </c>
      <c r="F53" s="3">
        <v>37593.71</v>
      </c>
      <c r="G53" s="72">
        <v>42933</v>
      </c>
      <c r="H53" s="70">
        <f t="shared" si="2"/>
        <v>2906.2900000000009</v>
      </c>
      <c r="I53" s="70">
        <f t="shared" si="1"/>
        <v>3350.5799999999908</v>
      </c>
    </row>
    <row r="54" spans="1:9" x14ac:dyDescent="0.25">
      <c r="A54" t="s">
        <v>593</v>
      </c>
      <c r="B54" s="3">
        <v>40500</v>
      </c>
      <c r="C54" s="72" t="s">
        <v>48</v>
      </c>
      <c r="D54" s="72">
        <v>42934</v>
      </c>
      <c r="E54" s="78" t="s">
        <v>594</v>
      </c>
      <c r="F54" s="3">
        <v>38068.32</v>
      </c>
      <c r="G54" s="72">
        <v>42940</v>
      </c>
      <c r="H54" s="70">
        <f t="shared" si="2"/>
        <v>2431.6800000000003</v>
      </c>
      <c r="I54" s="70">
        <f t="shared" si="1"/>
        <v>5782.2599999999911</v>
      </c>
    </row>
    <row r="55" spans="1:9" x14ac:dyDescent="0.25">
      <c r="A55" t="s">
        <v>595</v>
      </c>
      <c r="B55" s="3">
        <v>40500</v>
      </c>
      <c r="C55" s="72" t="s">
        <v>48</v>
      </c>
      <c r="D55" s="72">
        <v>42934</v>
      </c>
      <c r="E55" s="78" t="s">
        <v>596</v>
      </c>
      <c r="F55" s="3">
        <v>37844.69</v>
      </c>
      <c r="G55" s="72">
        <v>42940</v>
      </c>
      <c r="H55" s="70">
        <f t="shared" si="2"/>
        <v>2655.3099999999977</v>
      </c>
      <c r="I55" s="70">
        <f t="shared" si="1"/>
        <v>8437.5699999999888</v>
      </c>
    </row>
    <row r="56" spans="1:9" x14ac:dyDescent="0.25">
      <c r="A56" t="s">
        <v>597</v>
      </c>
      <c r="B56" s="3">
        <v>38000</v>
      </c>
      <c r="C56" s="72" t="s">
        <v>48</v>
      </c>
      <c r="D56" s="72">
        <v>42941</v>
      </c>
      <c r="E56" s="78" t="s">
        <v>598</v>
      </c>
      <c r="F56" s="3">
        <v>35214.120000000003</v>
      </c>
      <c r="G56" s="72">
        <v>42947</v>
      </c>
      <c r="H56" s="70">
        <f t="shared" si="2"/>
        <v>2785.8799999999974</v>
      </c>
      <c r="I56" s="70">
        <f t="shared" si="1"/>
        <v>11223.449999999986</v>
      </c>
    </row>
    <row r="57" spans="1:9" x14ac:dyDescent="0.25">
      <c r="A57" t="s">
        <v>599</v>
      </c>
      <c r="B57" s="3">
        <v>38000</v>
      </c>
      <c r="C57" s="72" t="s">
        <v>33</v>
      </c>
      <c r="D57" s="72">
        <v>42942</v>
      </c>
      <c r="E57" t="s">
        <v>600</v>
      </c>
      <c r="F57" s="3">
        <v>33664.620000000003</v>
      </c>
      <c r="G57" s="72">
        <v>42948</v>
      </c>
      <c r="H57" s="70">
        <f t="shared" si="2"/>
        <v>4335.3799999999974</v>
      </c>
      <c r="I57" s="70">
        <f t="shared" si="1"/>
        <v>15558.829999999984</v>
      </c>
    </row>
    <row r="58" spans="1:9" x14ac:dyDescent="0.25">
      <c r="A58" t="s">
        <v>601</v>
      </c>
      <c r="B58" s="3">
        <v>38000</v>
      </c>
      <c r="C58" s="72" t="s">
        <v>519</v>
      </c>
      <c r="D58" s="72">
        <v>42948</v>
      </c>
      <c r="E58" s="78" t="s">
        <v>602</v>
      </c>
      <c r="F58" s="3">
        <v>32164.86</v>
      </c>
      <c r="G58" s="72">
        <v>42954</v>
      </c>
      <c r="H58" s="70">
        <f t="shared" si="2"/>
        <v>5835.1399999999994</v>
      </c>
      <c r="I58" s="70">
        <f t="shared" si="1"/>
        <v>21393.969999999983</v>
      </c>
    </row>
    <row r="59" spans="1:9" x14ac:dyDescent="0.25">
      <c r="A59" t="s">
        <v>603</v>
      </c>
      <c r="B59" s="3">
        <v>38000</v>
      </c>
      <c r="C59" s="72" t="s">
        <v>33</v>
      </c>
      <c r="D59" s="72">
        <v>42949</v>
      </c>
      <c r="E59" s="78" t="s">
        <v>604</v>
      </c>
      <c r="F59" s="3">
        <v>31738.17</v>
      </c>
      <c r="G59" s="72">
        <v>42955</v>
      </c>
      <c r="H59" s="70">
        <f t="shared" si="2"/>
        <v>6261.8300000000017</v>
      </c>
      <c r="I59" s="70">
        <f t="shared" si="1"/>
        <v>27655.799999999985</v>
      </c>
    </row>
    <row r="60" spans="1:9" x14ac:dyDescent="0.25">
      <c r="A60" t="s">
        <v>605</v>
      </c>
      <c r="B60" s="3">
        <v>20000</v>
      </c>
      <c r="C60" s="72" t="s">
        <v>48</v>
      </c>
      <c r="D60" s="72">
        <v>42955</v>
      </c>
      <c r="E60" s="78" t="s">
        <v>606</v>
      </c>
      <c r="F60" s="3">
        <v>31497.81</v>
      </c>
      <c r="G60" s="72">
        <v>42961</v>
      </c>
      <c r="H60" s="70">
        <f t="shared" si="2"/>
        <v>-11497.810000000001</v>
      </c>
      <c r="I60" s="70">
        <f t="shared" si="1"/>
        <v>16157.989999999983</v>
      </c>
    </row>
    <row r="61" spans="1:9" x14ac:dyDescent="0.25">
      <c r="A61" t="s">
        <v>607</v>
      </c>
      <c r="B61" s="3">
        <v>20000</v>
      </c>
      <c r="C61" s="72" t="s">
        <v>33</v>
      </c>
      <c r="D61" s="72">
        <v>42956</v>
      </c>
      <c r="E61" s="78" t="s">
        <v>608</v>
      </c>
      <c r="F61" s="3">
        <v>30506.12</v>
      </c>
      <c r="G61" s="72">
        <v>42962</v>
      </c>
      <c r="H61" s="70">
        <f t="shared" si="2"/>
        <v>-10506.119999999999</v>
      </c>
      <c r="I61" s="70">
        <f t="shared" si="1"/>
        <v>5651.8699999999844</v>
      </c>
    </row>
    <row r="62" spans="1:9" x14ac:dyDescent="0.25">
      <c r="A62" t="s">
        <v>609</v>
      </c>
      <c r="B62" s="3">
        <v>28000</v>
      </c>
      <c r="C62" s="72" t="s">
        <v>48</v>
      </c>
      <c r="D62" s="72">
        <v>42962</v>
      </c>
      <c r="E62" s="78" t="s">
        <v>610</v>
      </c>
      <c r="F62" s="3">
        <v>31013.66</v>
      </c>
      <c r="G62" s="72">
        <v>42968</v>
      </c>
      <c r="H62" s="70">
        <f t="shared" si="2"/>
        <v>-3013.66</v>
      </c>
      <c r="I62" s="70">
        <f t="shared" si="1"/>
        <v>2638.2099999999846</v>
      </c>
    </row>
    <row r="63" spans="1:9" x14ac:dyDescent="0.25">
      <c r="A63" t="s">
        <v>611</v>
      </c>
      <c r="B63" s="3">
        <v>30000</v>
      </c>
      <c r="C63" s="72" t="s">
        <v>33</v>
      </c>
      <c r="D63" s="72">
        <v>42963</v>
      </c>
      <c r="E63" s="78" t="s">
        <v>612</v>
      </c>
      <c r="F63" s="3">
        <v>31553.34</v>
      </c>
      <c r="G63" s="72">
        <v>42969</v>
      </c>
      <c r="H63" s="70">
        <f t="shared" si="2"/>
        <v>-1553.3400000000001</v>
      </c>
      <c r="I63" s="70">
        <f t="shared" si="1"/>
        <v>1084.8699999999844</v>
      </c>
    </row>
    <row r="64" spans="1:9" x14ac:dyDescent="0.25">
      <c r="A64" t="s">
        <v>613</v>
      </c>
      <c r="B64" s="3">
        <v>31000</v>
      </c>
      <c r="C64" s="72" t="s">
        <v>48</v>
      </c>
      <c r="D64" s="72">
        <v>42969</v>
      </c>
      <c r="E64" s="78" t="s">
        <v>614</v>
      </c>
      <c r="F64" s="3">
        <v>32450.61</v>
      </c>
      <c r="G64" s="72">
        <v>42975</v>
      </c>
      <c r="H64" s="70">
        <f t="shared" si="2"/>
        <v>-1450.6100000000006</v>
      </c>
      <c r="I64" s="70">
        <f t="shared" si="1"/>
        <v>-365.74000000001615</v>
      </c>
    </row>
    <row r="65" spans="1:10" x14ac:dyDescent="0.25">
      <c r="A65" t="s">
        <v>615</v>
      </c>
      <c r="B65" s="3">
        <v>31000</v>
      </c>
      <c r="C65" s="72" t="s">
        <v>33</v>
      </c>
      <c r="D65" s="72">
        <v>42970</v>
      </c>
      <c r="E65" s="78" t="s">
        <v>616</v>
      </c>
      <c r="F65" s="3">
        <v>32801.22</v>
      </c>
      <c r="G65" s="72">
        <v>42976</v>
      </c>
      <c r="H65" s="70">
        <f t="shared" si="2"/>
        <v>-1801.2200000000012</v>
      </c>
      <c r="I65" s="70">
        <f t="shared" si="1"/>
        <v>-2166.9600000000173</v>
      </c>
      <c r="J65" t="s">
        <v>617</v>
      </c>
    </row>
    <row r="66" spans="1:10" x14ac:dyDescent="0.25">
      <c r="A66" t="s">
        <v>615</v>
      </c>
      <c r="B66" s="3">
        <v>2166.96</v>
      </c>
      <c r="C66" s="72" t="s">
        <v>33</v>
      </c>
      <c r="D66" s="72">
        <v>42977</v>
      </c>
      <c r="E66" s="78"/>
      <c r="G66" s="72"/>
      <c r="H66" s="70">
        <f t="shared" si="2"/>
        <v>2166.96</v>
      </c>
      <c r="I66" s="70">
        <f t="shared" si="1"/>
        <v>-1.7280399333685637E-11</v>
      </c>
    </row>
    <row r="67" spans="1:10" x14ac:dyDescent="0.25">
      <c r="A67" t="s">
        <v>618</v>
      </c>
      <c r="B67" s="3">
        <v>35000</v>
      </c>
      <c r="C67" s="72" t="s">
        <v>48</v>
      </c>
      <c r="D67" s="72">
        <v>42983</v>
      </c>
      <c r="E67" s="78" t="s">
        <v>619</v>
      </c>
      <c r="F67" s="3">
        <v>33830.79</v>
      </c>
      <c r="G67" s="72">
        <v>42989</v>
      </c>
      <c r="H67" s="70">
        <f t="shared" si="2"/>
        <v>1169.2099999999991</v>
      </c>
      <c r="I67" s="70">
        <f t="shared" si="1"/>
        <v>1169.2099999999818</v>
      </c>
    </row>
    <row r="68" spans="1:10" x14ac:dyDescent="0.25">
      <c r="A68" t="s">
        <v>620</v>
      </c>
      <c r="B68" s="3">
        <v>35000</v>
      </c>
      <c r="C68" s="72" t="s">
        <v>33</v>
      </c>
      <c r="D68" s="72">
        <v>42984</v>
      </c>
      <c r="E68" s="78" t="s">
        <v>621</v>
      </c>
      <c r="F68" s="3">
        <v>33484.699999999997</v>
      </c>
      <c r="G68" s="72">
        <v>42990</v>
      </c>
      <c r="H68" s="70">
        <f t="shared" si="2"/>
        <v>1515.3000000000029</v>
      </c>
      <c r="I68" s="70">
        <f t="shared" si="1"/>
        <v>2684.5099999999848</v>
      </c>
    </row>
    <row r="69" spans="1:10" x14ac:dyDescent="0.25">
      <c r="A69" t="s">
        <v>622</v>
      </c>
      <c r="B69" s="3">
        <v>32000</v>
      </c>
      <c r="C69" s="72" t="s">
        <v>48</v>
      </c>
      <c r="D69" s="72">
        <v>42990</v>
      </c>
      <c r="G69" s="72">
        <v>42996</v>
      </c>
      <c r="H69" s="70">
        <f t="shared" si="2"/>
        <v>32000</v>
      </c>
      <c r="I69" s="70">
        <f t="shared" si="1"/>
        <v>34684.509999999987</v>
      </c>
    </row>
    <row r="70" spans="1:10" x14ac:dyDescent="0.25">
      <c r="A70" t="s">
        <v>622</v>
      </c>
      <c r="B70" s="3">
        <v>4000</v>
      </c>
      <c r="C70" s="72" t="s">
        <v>33</v>
      </c>
      <c r="D70" s="72">
        <v>42991</v>
      </c>
      <c r="E70" s="78" t="s">
        <v>623</v>
      </c>
      <c r="F70" s="3">
        <v>32367.29</v>
      </c>
      <c r="G70" s="72">
        <v>42996</v>
      </c>
      <c r="H70" s="70">
        <f t="shared" si="2"/>
        <v>-28367.29</v>
      </c>
      <c r="I70" s="70">
        <f t="shared" ref="I70:I133" si="3">I69+H70</f>
        <v>6317.2199999999866</v>
      </c>
    </row>
    <row r="71" spans="1:10" x14ac:dyDescent="0.25">
      <c r="A71" t="s">
        <v>624</v>
      </c>
      <c r="B71" s="3">
        <v>36000</v>
      </c>
      <c r="C71" s="72" t="s">
        <v>33</v>
      </c>
      <c r="D71" s="72">
        <v>42991</v>
      </c>
      <c r="E71" s="78" t="s">
        <v>625</v>
      </c>
      <c r="F71" s="3">
        <v>31976.86</v>
      </c>
      <c r="G71" s="72">
        <v>42997</v>
      </c>
      <c r="H71" s="70">
        <f t="shared" si="2"/>
        <v>4023.1399999999994</v>
      </c>
      <c r="I71" s="70">
        <f t="shared" si="3"/>
        <v>10340.359999999986</v>
      </c>
    </row>
    <row r="72" spans="1:10" x14ac:dyDescent="0.25">
      <c r="A72" t="s">
        <v>626</v>
      </c>
      <c r="B72" s="3">
        <v>36000</v>
      </c>
      <c r="C72" s="72" t="s">
        <v>33</v>
      </c>
      <c r="D72" s="72">
        <v>42991</v>
      </c>
      <c r="E72" s="78" t="s">
        <v>627</v>
      </c>
      <c r="F72" s="3">
        <v>31487.08</v>
      </c>
      <c r="G72" s="72">
        <v>42997</v>
      </c>
      <c r="H72" s="70">
        <f t="shared" si="2"/>
        <v>4512.9199999999983</v>
      </c>
      <c r="I72" s="70">
        <f t="shared" si="3"/>
        <v>14853.279999999984</v>
      </c>
    </row>
    <row r="73" spans="1:10" x14ac:dyDescent="0.25">
      <c r="A73" t="s">
        <v>628</v>
      </c>
      <c r="B73" s="3">
        <v>28000</v>
      </c>
      <c r="C73" s="72" t="s">
        <v>48</v>
      </c>
      <c r="D73" s="72">
        <v>42997</v>
      </c>
      <c r="E73" s="78" t="s">
        <v>629</v>
      </c>
      <c r="F73" s="3">
        <v>28927</v>
      </c>
      <c r="G73" s="72">
        <v>43003</v>
      </c>
      <c r="H73" s="70">
        <f t="shared" si="2"/>
        <v>-927</v>
      </c>
      <c r="I73" s="70">
        <f t="shared" si="3"/>
        <v>13926.279999999984</v>
      </c>
    </row>
    <row r="74" spans="1:10" x14ac:dyDescent="0.25">
      <c r="A74" t="s">
        <v>630</v>
      </c>
      <c r="B74" s="3">
        <v>28000</v>
      </c>
      <c r="C74" s="72" t="s">
        <v>33</v>
      </c>
      <c r="D74" s="72">
        <v>42998</v>
      </c>
      <c r="E74" s="78" t="s">
        <v>631</v>
      </c>
      <c r="F74" s="3">
        <v>28003.43</v>
      </c>
      <c r="G74" s="72">
        <v>43004</v>
      </c>
      <c r="H74" s="70">
        <f t="shared" si="2"/>
        <v>-3.430000000000291</v>
      </c>
      <c r="I74" s="70">
        <f t="shared" si="3"/>
        <v>13922.849999999984</v>
      </c>
    </row>
    <row r="75" spans="1:10" x14ac:dyDescent="0.25">
      <c r="A75" s="61" t="s">
        <v>632</v>
      </c>
      <c r="B75" s="3">
        <v>28000</v>
      </c>
      <c r="C75" s="72" t="s">
        <v>48</v>
      </c>
      <c r="D75" s="72">
        <v>43004</v>
      </c>
      <c r="E75" s="78" t="s">
        <v>633</v>
      </c>
      <c r="F75" s="3">
        <v>27084.42</v>
      </c>
      <c r="G75" s="72">
        <v>43010</v>
      </c>
      <c r="H75" s="70">
        <f t="shared" si="2"/>
        <v>915.58000000000175</v>
      </c>
      <c r="I75" s="70">
        <f t="shared" si="3"/>
        <v>14838.429999999986</v>
      </c>
    </row>
    <row r="76" spans="1:10" x14ac:dyDescent="0.25">
      <c r="A76" s="61" t="s">
        <v>634</v>
      </c>
      <c r="B76" s="3">
        <v>20000</v>
      </c>
      <c r="C76" s="72" t="s">
        <v>33</v>
      </c>
      <c r="D76" s="72">
        <v>43005</v>
      </c>
      <c r="E76" s="78" t="s">
        <v>635</v>
      </c>
      <c r="F76" s="3">
        <v>28484.44</v>
      </c>
      <c r="G76" s="72">
        <v>43011</v>
      </c>
      <c r="H76" s="70">
        <f t="shared" si="2"/>
        <v>-8484.4399999999987</v>
      </c>
      <c r="I76" s="70">
        <f t="shared" si="3"/>
        <v>6353.989999999987</v>
      </c>
    </row>
    <row r="77" spans="1:10" x14ac:dyDescent="0.25">
      <c r="A77" s="61" t="s">
        <v>636</v>
      </c>
      <c r="B77" s="3">
        <v>26000</v>
      </c>
      <c r="C77" s="72" t="s">
        <v>48</v>
      </c>
      <c r="D77" s="72">
        <v>43011</v>
      </c>
      <c r="E77" s="78" t="s">
        <v>637</v>
      </c>
      <c r="F77" s="3">
        <v>29023.78</v>
      </c>
      <c r="G77" s="72">
        <v>43017</v>
      </c>
      <c r="H77" s="70">
        <f t="shared" si="2"/>
        <v>-3023.7799999999988</v>
      </c>
      <c r="I77" s="70">
        <f t="shared" si="3"/>
        <v>3330.2099999999882</v>
      </c>
    </row>
    <row r="78" spans="1:10" x14ac:dyDescent="0.25">
      <c r="A78" s="61" t="s">
        <v>638</v>
      </c>
      <c r="B78" s="3">
        <v>27000</v>
      </c>
      <c r="C78" s="72" t="s">
        <v>33</v>
      </c>
      <c r="D78" s="72">
        <v>43012</v>
      </c>
      <c r="E78" s="78" t="s">
        <v>639</v>
      </c>
      <c r="F78" s="3">
        <v>28988.77</v>
      </c>
      <c r="G78" s="72">
        <v>43018</v>
      </c>
      <c r="H78" s="70">
        <f t="shared" si="2"/>
        <v>-1988.7700000000004</v>
      </c>
      <c r="I78" s="70">
        <f t="shared" si="3"/>
        <v>1341.4399999999878</v>
      </c>
    </row>
    <row r="79" spans="1:10" x14ac:dyDescent="0.25">
      <c r="A79" s="61" t="s">
        <v>640</v>
      </c>
      <c r="B79" s="3">
        <v>30500</v>
      </c>
      <c r="C79" s="72" t="s">
        <v>48</v>
      </c>
      <c r="D79" s="72">
        <v>43018</v>
      </c>
      <c r="E79" s="78" t="s">
        <v>641</v>
      </c>
      <c r="F79" s="3">
        <v>29206</v>
      </c>
      <c r="G79" s="72">
        <v>43024</v>
      </c>
      <c r="H79" s="70">
        <f t="shared" si="2"/>
        <v>1294</v>
      </c>
      <c r="I79" s="70">
        <f t="shared" si="3"/>
        <v>2635.4399999999878</v>
      </c>
    </row>
    <row r="80" spans="1:10" x14ac:dyDescent="0.25">
      <c r="A80" s="61" t="s">
        <v>642</v>
      </c>
      <c r="B80" s="3">
        <v>31000</v>
      </c>
      <c r="C80" s="72" t="s">
        <v>33</v>
      </c>
      <c r="D80" s="72">
        <v>43019</v>
      </c>
      <c r="E80" s="78" t="s">
        <v>643</v>
      </c>
      <c r="F80" s="3">
        <v>29191.599999999999</v>
      </c>
      <c r="G80" s="72">
        <v>43025</v>
      </c>
      <c r="H80" s="70">
        <f t="shared" si="2"/>
        <v>1808.4000000000015</v>
      </c>
      <c r="I80" s="70">
        <f t="shared" si="3"/>
        <v>4443.8399999999892</v>
      </c>
    </row>
    <row r="81" spans="1:9" x14ac:dyDescent="0.25">
      <c r="A81" s="61" t="s">
        <v>644</v>
      </c>
      <c r="B81" s="3">
        <v>31000</v>
      </c>
      <c r="C81" s="72" t="s">
        <v>33</v>
      </c>
      <c r="D81" s="72">
        <v>43019</v>
      </c>
      <c r="E81" s="78" t="s">
        <v>645</v>
      </c>
      <c r="F81" s="3">
        <v>31015.06</v>
      </c>
      <c r="G81" s="72">
        <v>43025</v>
      </c>
      <c r="H81" s="70">
        <f t="shared" si="2"/>
        <v>-15.06000000000131</v>
      </c>
      <c r="I81" s="70">
        <f t="shared" si="3"/>
        <v>4428.7799999999879</v>
      </c>
    </row>
    <row r="82" spans="1:9" x14ac:dyDescent="0.25">
      <c r="A82" s="61" t="s">
        <v>646</v>
      </c>
      <c r="B82" s="3">
        <v>32000</v>
      </c>
      <c r="C82" s="72" t="s">
        <v>48</v>
      </c>
      <c r="D82" s="72">
        <v>43025</v>
      </c>
      <c r="E82" s="78" t="s">
        <v>647</v>
      </c>
      <c r="F82" s="3">
        <v>31999.7</v>
      </c>
      <c r="G82" s="72">
        <v>43031</v>
      </c>
      <c r="H82" s="70">
        <f t="shared" si="2"/>
        <v>0.2999999999992724</v>
      </c>
      <c r="I82" s="70">
        <f t="shared" si="3"/>
        <v>4429.0799999999872</v>
      </c>
    </row>
    <row r="83" spans="1:9" x14ac:dyDescent="0.25">
      <c r="A83" s="61" t="s">
        <v>648</v>
      </c>
      <c r="B83" s="3">
        <v>32000</v>
      </c>
      <c r="C83" s="72" t="s">
        <v>33</v>
      </c>
      <c r="D83" s="72">
        <v>43026</v>
      </c>
      <c r="E83" s="78" t="s">
        <v>649</v>
      </c>
      <c r="F83" s="3">
        <v>32471.1</v>
      </c>
      <c r="G83" s="72">
        <v>43032</v>
      </c>
      <c r="H83" s="70">
        <f t="shared" si="2"/>
        <v>-471.09999999999854</v>
      </c>
      <c r="I83" s="70">
        <f t="shared" si="3"/>
        <v>3957.9799999999886</v>
      </c>
    </row>
    <row r="84" spans="1:9" x14ac:dyDescent="0.25">
      <c r="A84" s="61" t="s">
        <v>650</v>
      </c>
      <c r="B84" s="3">
        <v>33000</v>
      </c>
      <c r="C84" s="72" t="s">
        <v>48</v>
      </c>
      <c r="D84" s="72">
        <v>43032</v>
      </c>
      <c r="E84" s="78" t="s">
        <v>651</v>
      </c>
      <c r="F84" s="3">
        <v>33508.730000000003</v>
      </c>
      <c r="G84" s="72">
        <v>43038</v>
      </c>
      <c r="H84" s="70">
        <f t="shared" si="2"/>
        <v>-508.7300000000032</v>
      </c>
      <c r="I84" s="70">
        <f t="shared" si="3"/>
        <v>3449.2499999999854</v>
      </c>
    </row>
    <row r="85" spans="1:9" x14ac:dyDescent="0.25">
      <c r="A85" s="61" t="s">
        <v>652</v>
      </c>
      <c r="B85" s="3">
        <v>33500</v>
      </c>
      <c r="C85" s="72" t="s">
        <v>33</v>
      </c>
      <c r="D85" s="72">
        <v>43033</v>
      </c>
      <c r="E85" s="78" t="s">
        <v>653</v>
      </c>
      <c r="F85" s="3">
        <v>34136.199999999997</v>
      </c>
      <c r="G85" s="72">
        <v>43039</v>
      </c>
      <c r="H85" s="70">
        <f t="shared" si="2"/>
        <v>-636.19999999999709</v>
      </c>
      <c r="I85" s="70">
        <f t="shared" si="3"/>
        <v>2813.0499999999884</v>
      </c>
    </row>
    <row r="86" spans="1:9" x14ac:dyDescent="0.25">
      <c r="A86" s="61" t="s">
        <v>654</v>
      </c>
      <c r="B86" s="79">
        <v>0</v>
      </c>
      <c r="C86" s="72" t="s">
        <v>33</v>
      </c>
      <c r="D86" s="79" t="s">
        <v>230</v>
      </c>
      <c r="G86" s="77" t="s">
        <v>230</v>
      </c>
      <c r="H86" s="70">
        <f t="shared" si="2"/>
        <v>0</v>
      </c>
      <c r="I86" s="70">
        <f t="shared" si="3"/>
        <v>2813.0499999999884</v>
      </c>
    </row>
    <row r="87" spans="1:9" x14ac:dyDescent="0.25">
      <c r="A87" s="61">
        <v>79396</v>
      </c>
      <c r="B87" s="3">
        <v>33500</v>
      </c>
      <c r="C87" s="72" t="s">
        <v>48</v>
      </c>
      <c r="D87" s="72">
        <v>43033</v>
      </c>
      <c r="E87" s="78" t="s">
        <v>655</v>
      </c>
      <c r="F87" s="3">
        <v>33744.720000000001</v>
      </c>
      <c r="G87" s="72">
        <v>43045</v>
      </c>
      <c r="H87" s="70">
        <f t="shared" si="2"/>
        <v>-244.72000000000116</v>
      </c>
      <c r="I87" s="70">
        <f t="shared" si="3"/>
        <v>2568.3299999999872</v>
      </c>
    </row>
    <row r="88" spans="1:9" x14ac:dyDescent="0.25">
      <c r="A88" s="61">
        <v>79412</v>
      </c>
      <c r="B88" s="3">
        <v>34000</v>
      </c>
      <c r="C88" s="72" t="s">
        <v>48</v>
      </c>
      <c r="D88" s="72">
        <v>43046</v>
      </c>
      <c r="E88" s="78" t="s">
        <v>656</v>
      </c>
      <c r="F88" s="3">
        <v>34133.1</v>
      </c>
      <c r="G88" s="72">
        <v>43052</v>
      </c>
      <c r="H88" s="70">
        <f t="shared" si="2"/>
        <v>-133.09999999999854</v>
      </c>
      <c r="I88" s="70">
        <f t="shared" si="3"/>
        <v>2435.2299999999886</v>
      </c>
    </row>
    <row r="89" spans="1:9" x14ac:dyDescent="0.25">
      <c r="A89" s="61">
        <v>79414</v>
      </c>
      <c r="B89" s="3">
        <v>34500</v>
      </c>
      <c r="C89" s="72" t="s">
        <v>33</v>
      </c>
      <c r="D89" s="72">
        <v>43047</v>
      </c>
      <c r="E89" s="78" t="s">
        <v>657</v>
      </c>
      <c r="F89" s="3">
        <v>34330.120000000003</v>
      </c>
      <c r="G89" s="72">
        <v>43053</v>
      </c>
      <c r="H89" s="70">
        <f t="shared" si="2"/>
        <v>169.87999999999738</v>
      </c>
      <c r="I89" s="70">
        <f t="shared" si="3"/>
        <v>2605.109999999986</v>
      </c>
    </row>
    <row r="90" spans="1:9" x14ac:dyDescent="0.25">
      <c r="A90">
        <v>79415</v>
      </c>
      <c r="B90" s="3">
        <v>34500</v>
      </c>
      <c r="C90" s="72" t="s">
        <v>33</v>
      </c>
      <c r="D90" s="72">
        <v>43054</v>
      </c>
      <c r="E90" s="78" t="s">
        <v>658</v>
      </c>
      <c r="F90" s="3">
        <v>29613.55</v>
      </c>
      <c r="G90" s="72">
        <v>43060</v>
      </c>
      <c r="H90" s="70">
        <f t="shared" si="2"/>
        <v>4886.4500000000007</v>
      </c>
      <c r="I90" s="70">
        <f t="shared" si="3"/>
        <v>7491.5599999999868</v>
      </c>
    </row>
    <row r="91" spans="1:9" x14ac:dyDescent="0.25">
      <c r="A91">
        <v>79416</v>
      </c>
      <c r="B91" s="3">
        <v>34500</v>
      </c>
      <c r="C91" s="72" t="s">
        <v>33</v>
      </c>
      <c r="D91" s="72">
        <v>43054</v>
      </c>
      <c r="E91" s="78" t="s">
        <v>659</v>
      </c>
      <c r="F91" s="3">
        <v>29785.39</v>
      </c>
      <c r="G91" s="72">
        <v>43060</v>
      </c>
      <c r="H91" s="70">
        <f t="shared" si="2"/>
        <v>4714.6100000000006</v>
      </c>
      <c r="I91" s="70">
        <f t="shared" si="3"/>
        <v>12206.169999999987</v>
      </c>
    </row>
    <row r="92" spans="1:9" x14ac:dyDescent="0.25">
      <c r="A92">
        <v>79417</v>
      </c>
      <c r="B92" s="3">
        <v>25000</v>
      </c>
      <c r="C92" s="72" t="s">
        <v>45</v>
      </c>
      <c r="D92" s="72">
        <v>17</v>
      </c>
      <c r="E92" s="78" t="s">
        <v>660</v>
      </c>
      <c r="F92" s="3">
        <v>28735.61</v>
      </c>
      <c r="G92" s="72">
        <v>43063</v>
      </c>
      <c r="H92" s="70">
        <f t="shared" si="2"/>
        <v>-3735.6100000000006</v>
      </c>
      <c r="I92" s="70">
        <f t="shared" si="3"/>
        <v>8470.5599999999868</v>
      </c>
    </row>
    <row r="93" spans="1:9" x14ac:dyDescent="0.25">
      <c r="A93" t="s">
        <v>661</v>
      </c>
      <c r="B93" s="3">
        <v>30000</v>
      </c>
      <c r="C93" s="72" t="s">
        <v>48</v>
      </c>
      <c r="D93" s="72">
        <v>43074</v>
      </c>
      <c r="E93" s="78" t="s">
        <v>662</v>
      </c>
      <c r="F93" s="3">
        <v>32098.52</v>
      </c>
      <c r="G93" s="72">
        <v>43080</v>
      </c>
      <c r="H93" s="70">
        <f t="shared" si="2"/>
        <v>-2098.5200000000004</v>
      </c>
      <c r="I93" s="70">
        <f t="shared" si="3"/>
        <v>6372.0399999999863</v>
      </c>
    </row>
    <row r="94" spans="1:9" x14ac:dyDescent="0.25">
      <c r="A94" t="s">
        <v>663</v>
      </c>
      <c r="B94" s="3">
        <v>30000</v>
      </c>
      <c r="C94" s="72" t="s">
        <v>48</v>
      </c>
      <c r="D94" s="72">
        <v>43074</v>
      </c>
      <c r="E94" s="78" t="s">
        <v>664</v>
      </c>
      <c r="F94" s="3">
        <v>32292.400000000001</v>
      </c>
      <c r="G94" s="72">
        <v>43080</v>
      </c>
      <c r="H94" s="70">
        <f t="shared" si="2"/>
        <v>-2292.4000000000015</v>
      </c>
      <c r="I94" s="70">
        <f t="shared" si="3"/>
        <v>4079.6399999999849</v>
      </c>
    </row>
    <row r="95" spans="1:9" x14ac:dyDescent="0.25">
      <c r="A95" t="s">
        <v>665</v>
      </c>
      <c r="B95" s="3">
        <v>30000</v>
      </c>
      <c r="C95" s="72" t="s">
        <v>45</v>
      </c>
      <c r="D95" s="72">
        <v>43084</v>
      </c>
      <c r="E95" s="78" t="s">
        <v>666</v>
      </c>
      <c r="F95" s="3">
        <v>25813.07</v>
      </c>
      <c r="G95" s="72">
        <v>43091</v>
      </c>
      <c r="H95" s="70">
        <f t="shared" si="2"/>
        <v>4186.93</v>
      </c>
      <c r="I95" s="70">
        <f t="shared" si="3"/>
        <v>8266.5699999999852</v>
      </c>
    </row>
    <row r="96" spans="1:9" x14ac:dyDescent="0.25">
      <c r="A96" t="s">
        <v>667</v>
      </c>
      <c r="B96" s="3">
        <v>25000</v>
      </c>
      <c r="C96" s="72" t="s">
        <v>33</v>
      </c>
      <c r="D96" s="72">
        <v>43089</v>
      </c>
      <c r="E96" s="78" t="s">
        <v>668</v>
      </c>
      <c r="F96" s="3">
        <v>26158.74</v>
      </c>
      <c r="G96" s="72">
        <v>43095</v>
      </c>
      <c r="H96" s="70">
        <f t="shared" si="2"/>
        <v>-1158.7400000000016</v>
      </c>
      <c r="I96" s="70">
        <f t="shared" si="3"/>
        <v>7107.8299999999836</v>
      </c>
    </row>
    <row r="97" spans="1:10" x14ac:dyDescent="0.25">
      <c r="A97" t="s">
        <v>669</v>
      </c>
      <c r="B97" s="3">
        <v>25000</v>
      </c>
      <c r="C97" s="72" t="s">
        <v>33</v>
      </c>
      <c r="D97" s="72">
        <v>43089</v>
      </c>
      <c r="E97" s="78" t="s">
        <v>670</v>
      </c>
      <c r="F97" s="3">
        <v>25987.03</v>
      </c>
      <c r="G97" s="72">
        <v>43095</v>
      </c>
      <c r="H97" s="70">
        <f t="shared" si="2"/>
        <v>-987.02999999999884</v>
      </c>
      <c r="I97" s="70">
        <f t="shared" si="3"/>
        <v>6120.7999999999847</v>
      </c>
    </row>
    <row r="98" spans="1:10" x14ac:dyDescent="0.25">
      <c r="A98" t="s">
        <v>671</v>
      </c>
      <c r="B98" s="3">
        <v>25000</v>
      </c>
      <c r="C98" s="72" t="s">
        <v>33</v>
      </c>
      <c r="D98" s="72">
        <v>43096</v>
      </c>
      <c r="E98" s="78" t="s">
        <v>672</v>
      </c>
      <c r="F98" s="3">
        <v>27174.83</v>
      </c>
      <c r="G98" s="72">
        <v>43102</v>
      </c>
      <c r="H98" s="70">
        <f t="shared" si="2"/>
        <v>-2174.8300000000017</v>
      </c>
      <c r="I98" s="70">
        <f t="shared" si="3"/>
        <v>3945.969999999983</v>
      </c>
    </row>
    <row r="99" spans="1:10" x14ac:dyDescent="0.25">
      <c r="A99" t="s">
        <v>673</v>
      </c>
      <c r="B99" s="3">
        <v>25000</v>
      </c>
      <c r="C99" s="72" t="s">
        <v>33</v>
      </c>
      <c r="D99" s="72">
        <v>43096</v>
      </c>
      <c r="E99" s="78" t="s">
        <v>674</v>
      </c>
      <c r="F99" s="3">
        <v>27586.78</v>
      </c>
      <c r="G99" s="72">
        <v>43102</v>
      </c>
      <c r="H99" s="70">
        <f t="shared" si="2"/>
        <v>-2586.7799999999988</v>
      </c>
      <c r="I99" s="70">
        <f t="shared" si="3"/>
        <v>1359.1899999999841</v>
      </c>
    </row>
    <row r="100" spans="1:10" x14ac:dyDescent="0.25">
      <c r="A100" t="s">
        <v>675</v>
      </c>
      <c r="B100" s="3">
        <v>28000</v>
      </c>
      <c r="C100" s="72" t="s">
        <v>48</v>
      </c>
      <c r="D100" s="72">
        <v>43109</v>
      </c>
      <c r="E100" s="78" t="s">
        <v>676</v>
      </c>
      <c r="F100" s="3">
        <v>29183.759999999998</v>
      </c>
      <c r="G100" s="72">
        <v>43115</v>
      </c>
      <c r="H100" s="70">
        <f t="shared" si="2"/>
        <v>-1183.7599999999984</v>
      </c>
      <c r="I100" s="70">
        <f t="shared" si="3"/>
        <v>175.42999999998574</v>
      </c>
    </row>
    <row r="101" spans="1:10" x14ac:dyDescent="0.25">
      <c r="A101" t="s">
        <v>677</v>
      </c>
      <c r="B101" s="3"/>
      <c r="C101" s="72"/>
      <c r="D101" s="48" t="s">
        <v>563</v>
      </c>
      <c r="G101" s="72"/>
      <c r="H101" s="70">
        <f t="shared" si="2"/>
        <v>0</v>
      </c>
      <c r="I101" s="70">
        <f t="shared" si="3"/>
        <v>175.42999999998574</v>
      </c>
      <c r="J101" s="48" t="s">
        <v>563</v>
      </c>
    </row>
    <row r="102" spans="1:10" x14ac:dyDescent="0.25">
      <c r="A102" t="s">
        <v>678</v>
      </c>
      <c r="B102" s="3">
        <v>28000</v>
      </c>
      <c r="C102" s="72" t="s">
        <v>33</v>
      </c>
      <c r="D102" s="72">
        <v>43110</v>
      </c>
      <c r="E102" s="78" t="s">
        <v>679</v>
      </c>
      <c r="F102" s="3">
        <v>30868.37</v>
      </c>
      <c r="G102" s="72">
        <v>43116</v>
      </c>
      <c r="H102" s="70">
        <f t="shared" si="2"/>
        <v>-2868.369999999999</v>
      </c>
      <c r="I102" s="70">
        <f t="shared" si="3"/>
        <v>-2692.9400000000132</v>
      </c>
    </row>
    <row r="103" spans="1:10" x14ac:dyDescent="0.25">
      <c r="A103" t="s">
        <v>680</v>
      </c>
      <c r="B103" s="3">
        <v>32000</v>
      </c>
      <c r="C103" s="72" t="s">
        <v>281</v>
      </c>
      <c r="D103" s="72">
        <v>43117</v>
      </c>
      <c r="E103" s="78" t="s">
        <v>681</v>
      </c>
      <c r="F103" s="3">
        <v>31408.94</v>
      </c>
      <c r="G103" s="72">
        <v>43123</v>
      </c>
      <c r="H103" s="70">
        <f t="shared" si="2"/>
        <v>591.06000000000131</v>
      </c>
      <c r="I103" s="70">
        <f t="shared" si="3"/>
        <v>-2101.8800000000119</v>
      </c>
    </row>
    <row r="104" spans="1:10" x14ac:dyDescent="0.25">
      <c r="A104" t="s">
        <v>682</v>
      </c>
      <c r="B104" s="3">
        <v>35000</v>
      </c>
      <c r="C104" s="72" t="s">
        <v>683</v>
      </c>
      <c r="D104" s="72">
        <v>43123</v>
      </c>
      <c r="E104" s="78" t="s">
        <v>684</v>
      </c>
      <c r="F104" s="3">
        <v>33144.050000000003</v>
      </c>
      <c r="G104" s="72">
        <v>43129</v>
      </c>
      <c r="H104" s="70">
        <f t="shared" si="2"/>
        <v>1855.9499999999971</v>
      </c>
      <c r="I104" s="70">
        <f t="shared" si="3"/>
        <v>-245.93000000001484</v>
      </c>
    </row>
    <row r="105" spans="1:10" x14ac:dyDescent="0.25">
      <c r="A105" t="s">
        <v>685</v>
      </c>
      <c r="B105" s="3">
        <v>33000</v>
      </c>
      <c r="C105" s="72" t="s">
        <v>33</v>
      </c>
      <c r="D105" s="72">
        <v>43124</v>
      </c>
      <c r="E105" s="78" t="s">
        <v>686</v>
      </c>
      <c r="F105" s="3">
        <v>32316.19</v>
      </c>
      <c r="G105" s="72">
        <v>43130</v>
      </c>
      <c r="H105" s="70">
        <f t="shared" ref="H105:H168" si="4">B105-F105</f>
        <v>683.81000000000131</v>
      </c>
      <c r="I105" s="70">
        <f t="shared" si="3"/>
        <v>437.87999999998647</v>
      </c>
    </row>
    <row r="106" spans="1:10" x14ac:dyDescent="0.25">
      <c r="A106" t="s">
        <v>687</v>
      </c>
      <c r="B106" s="3">
        <v>34500</v>
      </c>
      <c r="C106" s="72" t="s">
        <v>683</v>
      </c>
      <c r="D106" s="72">
        <v>43130</v>
      </c>
      <c r="E106" s="78" t="s">
        <v>688</v>
      </c>
      <c r="F106" s="3">
        <v>29375.33</v>
      </c>
      <c r="G106" s="72">
        <v>43137</v>
      </c>
      <c r="H106" s="70">
        <f t="shared" si="4"/>
        <v>5124.6699999999983</v>
      </c>
      <c r="I106" s="70">
        <f t="shared" si="3"/>
        <v>5562.5499999999847</v>
      </c>
    </row>
    <row r="107" spans="1:10" x14ac:dyDescent="0.25">
      <c r="A107" t="s">
        <v>689</v>
      </c>
      <c r="B107" s="3">
        <v>34500</v>
      </c>
      <c r="C107" s="72" t="s">
        <v>683</v>
      </c>
      <c r="D107" s="72">
        <v>43130</v>
      </c>
      <c r="E107" s="78" t="s">
        <v>690</v>
      </c>
      <c r="F107" s="3">
        <v>29890.14</v>
      </c>
      <c r="G107" s="72">
        <v>43137</v>
      </c>
      <c r="H107" s="70">
        <f t="shared" si="4"/>
        <v>4609.8600000000006</v>
      </c>
      <c r="I107" s="70">
        <f t="shared" si="3"/>
        <v>10172.409999999985</v>
      </c>
    </row>
    <row r="108" spans="1:10" x14ac:dyDescent="0.25">
      <c r="A108" t="s">
        <v>691</v>
      </c>
      <c r="B108" s="3"/>
      <c r="C108" s="72" t="s">
        <v>683</v>
      </c>
      <c r="D108" s="48" t="s">
        <v>563</v>
      </c>
      <c r="G108" s="72"/>
      <c r="H108" s="70">
        <f t="shared" si="4"/>
        <v>0</v>
      </c>
      <c r="I108" s="70">
        <f t="shared" si="3"/>
        <v>10172.409999999985</v>
      </c>
      <c r="J108" s="48" t="s">
        <v>563</v>
      </c>
    </row>
    <row r="109" spans="1:10" x14ac:dyDescent="0.25">
      <c r="A109" t="s">
        <v>692</v>
      </c>
      <c r="B109" s="3">
        <v>26000</v>
      </c>
      <c r="C109" s="72" t="s">
        <v>683</v>
      </c>
      <c r="D109" s="72">
        <v>43151</v>
      </c>
      <c r="E109" s="78" t="s">
        <v>693</v>
      </c>
      <c r="F109" s="3">
        <v>29474.66</v>
      </c>
      <c r="G109" s="72">
        <v>43157</v>
      </c>
      <c r="H109" s="70">
        <f t="shared" si="4"/>
        <v>-3474.66</v>
      </c>
      <c r="I109" s="70">
        <f t="shared" si="3"/>
        <v>6697.7499999999854</v>
      </c>
    </row>
    <row r="110" spans="1:10" x14ac:dyDescent="0.25">
      <c r="A110" t="s">
        <v>694</v>
      </c>
      <c r="B110" s="3">
        <v>26000</v>
      </c>
      <c r="C110" s="72" t="s">
        <v>683</v>
      </c>
      <c r="D110" s="72">
        <v>43158</v>
      </c>
      <c r="E110" s="78" t="s">
        <v>695</v>
      </c>
      <c r="F110" s="3">
        <v>30172.84</v>
      </c>
      <c r="G110" s="72">
        <v>43164</v>
      </c>
      <c r="H110" s="70">
        <f t="shared" si="4"/>
        <v>-4172.84</v>
      </c>
      <c r="I110" s="70">
        <f t="shared" si="3"/>
        <v>2524.9099999999853</v>
      </c>
    </row>
    <row r="111" spans="1:10" x14ac:dyDescent="0.25">
      <c r="A111" t="s">
        <v>696</v>
      </c>
      <c r="B111" s="3">
        <v>32000</v>
      </c>
      <c r="C111" s="72" t="s">
        <v>33</v>
      </c>
      <c r="D111" s="72">
        <v>43187</v>
      </c>
      <c r="E111" s="78" t="s">
        <v>697</v>
      </c>
      <c r="F111" s="3">
        <v>30570.71</v>
      </c>
      <c r="G111" s="72">
        <v>43165</v>
      </c>
      <c r="H111" s="70">
        <f t="shared" si="4"/>
        <v>1429.2900000000009</v>
      </c>
      <c r="I111" s="70">
        <f t="shared" si="3"/>
        <v>3954.1999999999862</v>
      </c>
    </row>
    <row r="112" spans="1:10" x14ac:dyDescent="0.25">
      <c r="A112" t="s">
        <v>698</v>
      </c>
      <c r="B112" s="3">
        <v>31000</v>
      </c>
      <c r="C112" s="72" t="s">
        <v>33</v>
      </c>
      <c r="D112" s="72">
        <v>43166</v>
      </c>
      <c r="E112" s="78" t="s">
        <v>699</v>
      </c>
      <c r="F112" s="3">
        <v>28330.44</v>
      </c>
      <c r="G112" s="72">
        <v>43172</v>
      </c>
      <c r="H112" s="70">
        <f t="shared" si="4"/>
        <v>2669.5600000000013</v>
      </c>
      <c r="I112" s="70">
        <f t="shared" si="3"/>
        <v>6623.7599999999875</v>
      </c>
    </row>
    <row r="113" spans="1:9" x14ac:dyDescent="0.25">
      <c r="A113" t="s">
        <v>700</v>
      </c>
      <c r="B113" s="3">
        <v>27500</v>
      </c>
      <c r="C113" s="72" t="s">
        <v>33</v>
      </c>
      <c r="D113" s="72">
        <v>43173</v>
      </c>
      <c r="E113" s="78" t="s">
        <v>701</v>
      </c>
      <c r="F113" s="3">
        <v>26477.64</v>
      </c>
      <c r="G113" s="72">
        <v>43179</v>
      </c>
      <c r="H113" s="70">
        <f t="shared" si="4"/>
        <v>1022.3600000000006</v>
      </c>
      <c r="I113" s="70">
        <f t="shared" si="3"/>
        <v>7646.1199999999881</v>
      </c>
    </row>
    <row r="114" spans="1:9" x14ac:dyDescent="0.25">
      <c r="A114" t="s">
        <v>702</v>
      </c>
      <c r="B114" s="3">
        <v>27500</v>
      </c>
      <c r="C114" s="72" t="s">
        <v>33</v>
      </c>
      <c r="D114" s="72">
        <v>43173</v>
      </c>
      <c r="E114" s="78" t="s">
        <v>703</v>
      </c>
      <c r="F114" s="3">
        <v>26512.73</v>
      </c>
      <c r="G114" s="72">
        <v>43179</v>
      </c>
      <c r="H114" s="70">
        <f t="shared" si="4"/>
        <v>987.27000000000044</v>
      </c>
      <c r="I114" s="70">
        <f t="shared" si="3"/>
        <v>8633.3899999999885</v>
      </c>
    </row>
    <row r="115" spans="1:9" x14ac:dyDescent="0.25">
      <c r="A115" t="s">
        <v>704</v>
      </c>
      <c r="B115" s="3">
        <v>20000</v>
      </c>
      <c r="C115" s="72" t="s">
        <v>33</v>
      </c>
      <c r="D115" s="72">
        <v>43152</v>
      </c>
      <c r="E115" s="78" t="s">
        <v>705</v>
      </c>
      <c r="F115" s="3">
        <v>25489.81</v>
      </c>
      <c r="G115" s="72">
        <v>43186</v>
      </c>
      <c r="H115" s="70">
        <f t="shared" si="4"/>
        <v>-5489.8100000000013</v>
      </c>
      <c r="I115" s="70">
        <f t="shared" si="3"/>
        <v>3143.5799999999872</v>
      </c>
    </row>
    <row r="116" spans="1:9" x14ac:dyDescent="0.25">
      <c r="A116" t="s">
        <v>706</v>
      </c>
      <c r="B116" s="3">
        <v>25000</v>
      </c>
      <c r="C116" s="72" t="s">
        <v>48</v>
      </c>
      <c r="D116" s="72">
        <v>43186</v>
      </c>
      <c r="E116" s="78" t="s">
        <v>707</v>
      </c>
      <c r="F116" s="3">
        <v>25578.53</v>
      </c>
      <c r="G116" s="72">
        <v>43192</v>
      </c>
      <c r="H116" s="70">
        <f t="shared" si="4"/>
        <v>-578.52999999999884</v>
      </c>
      <c r="I116" s="70">
        <f t="shared" si="3"/>
        <v>2565.0499999999884</v>
      </c>
    </row>
    <row r="117" spans="1:9" x14ac:dyDescent="0.25">
      <c r="A117" t="s">
        <v>708</v>
      </c>
      <c r="B117" s="3">
        <v>25000</v>
      </c>
      <c r="C117" s="72" t="s">
        <v>33</v>
      </c>
      <c r="D117" s="72">
        <v>43187</v>
      </c>
      <c r="E117" s="78" t="s">
        <v>709</v>
      </c>
      <c r="F117" s="3">
        <v>25943.68</v>
      </c>
      <c r="G117" s="72">
        <v>43193</v>
      </c>
      <c r="H117" s="70">
        <f t="shared" si="4"/>
        <v>-943.68000000000029</v>
      </c>
      <c r="I117" s="70">
        <f t="shared" si="3"/>
        <v>1621.3699999999881</v>
      </c>
    </row>
    <row r="118" spans="1:9" x14ac:dyDescent="0.25">
      <c r="A118">
        <v>43772</v>
      </c>
      <c r="B118" s="3">
        <v>25000</v>
      </c>
      <c r="C118" s="72" t="s">
        <v>48</v>
      </c>
      <c r="D118" s="72">
        <v>43193</v>
      </c>
      <c r="E118" s="78" t="s">
        <v>710</v>
      </c>
      <c r="F118" s="3">
        <v>26537.64</v>
      </c>
      <c r="G118" s="72">
        <v>43199</v>
      </c>
      <c r="H118" s="70">
        <f t="shared" si="4"/>
        <v>-1537.6399999999994</v>
      </c>
      <c r="I118" s="70">
        <f t="shared" si="3"/>
        <v>83.72999999998865</v>
      </c>
    </row>
    <row r="119" spans="1:9" x14ac:dyDescent="0.25">
      <c r="A119">
        <v>43791</v>
      </c>
      <c r="B119" s="3">
        <v>27000</v>
      </c>
      <c r="C119" s="72" t="s">
        <v>33</v>
      </c>
      <c r="D119" s="72">
        <v>43194</v>
      </c>
      <c r="E119" s="78" t="s">
        <v>711</v>
      </c>
      <c r="F119" s="3">
        <v>26655.82</v>
      </c>
      <c r="G119" s="72">
        <v>43200</v>
      </c>
      <c r="H119" s="70">
        <f t="shared" si="4"/>
        <v>344.18000000000029</v>
      </c>
      <c r="I119" s="70">
        <f t="shared" si="3"/>
        <v>427.90999999998894</v>
      </c>
    </row>
    <row r="120" spans="1:9" x14ac:dyDescent="0.25">
      <c r="A120">
        <v>43792</v>
      </c>
      <c r="B120" s="3">
        <v>27000</v>
      </c>
      <c r="C120" s="72" t="s">
        <v>33</v>
      </c>
      <c r="D120" s="72">
        <v>43201</v>
      </c>
      <c r="E120" s="78" t="s">
        <v>550</v>
      </c>
      <c r="F120" s="3">
        <v>26541.21</v>
      </c>
      <c r="G120" s="72">
        <v>43207</v>
      </c>
      <c r="H120" s="70">
        <f t="shared" si="4"/>
        <v>458.79000000000087</v>
      </c>
      <c r="I120" s="70">
        <f t="shared" si="3"/>
        <v>886.69999999998981</v>
      </c>
    </row>
    <row r="121" spans="1:9" x14ac:dyDescent="0.25">
      <c r="A121">
        <v>43793</v>
      </c>
      <c r="B121" s="3">
        <v>27000</v>
      </c>
      <c r="C121" s="72" t="s">
        <v>33</v>
      </c>
      <c r="D121" s="72">
        <v>43201</v>
      </c>
      <c r="E121" s="78" t="s">
        <v>712</v>
      </c>
      <c r="F121" s="3">
        <v>26499.43</v>
      </c>
      <c r="G121" s="72">
        <v>43207</v>
      </c>
      <c r="H121" s="70">
        <f t="shared" si="4"/>
        <v>500.56999999999971</v>
      </c>
      <c r="I121" s="70">
        <f t="shared" si="3"/>
        <v>1387.2699999999895</v>
      </c>
    </row>
    <row r="122" spans="1:9" x14ac:dyDescent="0.25">
      <c r="A122">
        <v>43794</v>
      </c>
      <c r="B122" s="3">
        <v>28000</v>
      </c>
      <c r="C122" s="72" t="s">
        <v>48</v>
      </c>
      <c r="D122" s="72">
        <v>43207</v>
      </c>
      <c r="E122" s="78" t="s">
        <v>713</v>
      </c>
      <c r="F122" s="3">
        <v>27161.13</v>
      </c>
      <c r="G122" s="72">
        <v>43213</v>
      </c>
      <c r="H122" s="70">
        <f t="shared" si="4"/>
        <v>838.86999999999898</v>
      </c>
      <c r="I122" s="70">
        <f t="shared" si="3"/>
        <v>2226.1399999999885</v>
      </c>
    </row>
    <row r="123" spans="1:9" x14ac:dyDescent="0.25">
      <c r="A123">
        <v>43795</v>
      </c>
      <c r="B123" s="3">
        <v>28000</v>
      </c>
      <c r="C123" s="72" t="s">
        <v>33</v>
      </c>
      <c r="D123" s="72">
        <v>43208</v>
      </c>
      <c r="E123" s="78" t="s">
        <v>714</v>
      </c>
      <c r="F123" s="3">
        <v>28267.65</v>
      </c>
      <c r="G123" s="72">
        <v>43214</v>
      </c>
      <c r="H123" s="70">
        <f t="shared" si="4"/>
        <v>-267.65000000000146</v>
      </c>
      <c r="I123" s="70">
        <f t="shared" si="3"/>
        <v>1958.489999999987</v>
      </c>
    </row>
    <row r="124" spans="1:9" x14ac:dyDescent="0.25">
      <c r="A124">
        <v>43796</v>
      </c>
      <c r="B124" s="3">
        <v>28000</v>
      </c>
      <c r="C124" s="72" t="s">
        <v>48</v>
      </c>
      <c r="D124" s="72">
        <v>43214</v>
      </c>
      <c r="E124" s="78" t="s">
        <v>715</v>
      </c>
      <c r="F124" s="3">
        <v>26972.99</v>
      </c>
      <c r="G124" s="72">
        <v>43220</v>
      </c>
      <c r="H124" s="70">
        <f t="shared" si="4"/>
        <v>1027.0099999999984</v>
      </c>
      <c r="I124" s="70">
        <f t="shared" si="3"/>
        <v>2985.4999999999854</v>
      </c>
    </row>
    <row r="125" spans="1:9" x14ac:dyDescent="0.25">
      <c r="A125">
        <v>43797</v>
      </c>
      <c r="B125" s="3">
        <v>29000</v>
      </c>
      <c r="C125" s="72" t="s">
        <v>33</v>
      </c>
      <c r="D125" s="72">
        <v>43215</v>
      </c>
      <c r="E125" s="78" t="s">
        <v>716</v>
      </c>
      <c r="F125" s="3">
        <v>25769.61</v>
      </c>
      <c r="G125" s="72">
        <v>43222</v>
      </c>
      <c r="H125" s="70">
        <f t="shared" si="4"/>
        <v>3230.3899999999994</v>
      </c>
      <c r="I125" s="70">
        <f t="shared" si="3"/>
        <v>6215.8899999999849</v>
      </c>
    </row>
    <row r="126" spans="1:9" x14ac:dyDescent="0.25">
      <c r="A126">
        <v>43798</v>
      </c>
      <c r="B126" s="3">
        <v>23000</v>
      </c>
      <c r="C126" s="72" t="s">
        <v>29</v>
      </c>
      <c r="D126" s="72">
        <v>43220</v>
      </c>
      <c r="E126" s="78" t="s">
        <v>717</v>
      </c>
      <c r="F126" s="3">
        <v>24787.94</v>
      </c>
      <c r="G126" s="72">
        <v>43227</v>
      </c>
      <c r="H126" s="70">
        <f t="shared" si="4"/>
        <v>-1787.9399999999987</v>
      </c>
      <c r="I126" s="70">
        <f t="shared" si="3"/>
        <v>4427.9499999999862</v>
      </c>
    </row>
    <row r="127" spans="1:9" x14ac:dyDescent="0.25">
      <c r="A127">
        <v>43799</v>
      </c>
      <c r="B127" s="3">
        <v>23000</v>
      </c>
      <c r="C127" s="72" t="s">
        <v>33</v>
      </c>
      <c r="D127" s="72">
        <v>43222</v>
      </c>
      <c r="E127" s="78" t="s">
        <v>718</v>
      </c>
      <c r="F127" s="3">
        <v>24772.720000000001</v>
      </c>
      <c r="G127" s="72">
        <v>43228</v>
      </c>
      <c r="H127" s="70">
        <f t="shared" si="4"/>
        <v>-1772.7200000000012</v>
      </c>
      <c r="I127" s="70">
        <f t="shared" si="3"/>
        <v>2655.229999999985</v>
      </c>
    </row>
    <row r="128" spans="1:9" x14ac:dyDescent="0.25">
      <c r="A128" t="s">
        <v>719</v>
      </c>
      <c r="B128" s="3">
        <v>25000</v>
      </c>
      <c r="C128" s="72" t="s">
        <v>48</v>
      </c>
      <c r="D128" s="72">
        <v>43228</v>
      </c>
      <c r="E128" s="78" t="s">
        <v>720</v>
      </c>
      <c r="F128" s="3">
        <v>25611.91</v>
      </c>
      <c r="G128" s="72">
        <v>43234</v>
      </c>
      <c r="H128" s="70">
        <f t="shared" si="4"/>
        <v>-611.90999999999985</v>
      </c>
      <c r="I128" s="70">
        <f t="shared" si="3"/>
        <v>2043.3199999999852</v>
      </c>
    </row>
    <row r="129" spans="1:10" x14ac:dyDescent="0.25">
      <c r="A129" t="s">
        <v>721</v>
      </c>
      <c r="B129" s="3">
        <v>25000</v>
      </c>
      <c r="C129" s="72" t="s">
        <v>45</v>
      </c>
      <c r="D129" s="72">
        <v>43231</v>
      </c>
      <c r="E129" s="78" t="s">
        <v>722</v>
      </c>
      <c r="F129" s="3">
        <v>24783.61</v>
      </c>
      <c r="G129" s="72">
        <v>43237</v>
      </c>
      <c r="H129" s="70">
        <f t="shared" si="4"/>
        <v>216.38999999999942</v>
      </c>
      <c r="I129" s="70">
        <f t="shared" si="3"/>
        <v>2259.7099999999846</v>
      </c>
    </row>
    <row r="130" spans="1:10" x14ac:dyDescent="0.25">
      <c r="A130" t="s">
        <v>723</v>
      </c>
      <c r="B130" s="3">
        <v>25000</v>
      </c>
      <c r="C130" s="72" t="s">
        <v>33</v>
      </c>
      <c r="D130" s="72">
        <v>43236</v>
      </c>
      <c r="E130" s="78" t="s">
        <v>724</v>
      </c>
      <c r="F130" s="3">
        <v>24932.03</v>
      </c>
      <c r="G130" s="72">
        <v>43242</v>
      </c>
      <c r="H130" s="70">
        <f t="shared" si="4"/>
        <v>67.970000000001164</v>
      </c>
      <c r="I130" s="70">
        <f t="shared" si="3"/>
        <v>2327.6799999999857</v>
      </c>
    </row>
    <row r="131" spans="1:10" x14ac:dyDescent="0.25">
      <c r="A131" t="s">
        <v>725</v>
      </c>
      <c r="B131" s="3">
        <v>25500</v>
      </c>
      <c r="C131" s="72" t="s">
        <v>48</v>
      </c>
      <c r="D131" s="72">
        <v>43242</v>
      </c>
      <c r="E131" s="78" t="s">
        <v>726</v>
      </c>
      <c r="F131" s="3">
        <v>26303.73</v>
      </c>
      <c r="G131" s="72">
        <v>43248</v>
      </c>
      <c r="H131" s="70">
        <f t="shared" si="4"/>
        <v>-803.72999999999956</v>
      </c>
      <c r="I131" s="70">
        <f t="shared" si="3"/>
        <v>1523.9499999999862</v>
      </c>
    </row>
    <row r="132" spans="1:10" x14ac:dyDescent="0.25">
      <c r="A132" t="s">
        <v>727</v>
      </c>
      <c r="B132" s="79"/>
      <c r="C132" s="72" t="s">
        <v>33</v>
      </c>
      <c r="D132" s="72">
        <v>43243</v>
      </c>
      <c r="E132" s="48"/>
      <c r="F132" s="79">
        <v>0</v>
      </c>
      <c r="G132" s="72">
        <v>43249</v>
      </c>
      <c r="H132" s="70">
        <f t="shared" si="4"/>
        <v>0</v>
      </c>
      <c r="I132" s="70">
        <f t="shared" si="3"/>
        <v>1523.9499999999862</v>
      </c>
      <c r="J132" t="s">
        <v>728</v>
      </c>
    </row>
    <row r="133" spans="1:10" x14ac:dyDescent="0.25">
      <c r="A133" t="s">
        <v>729</v>
      </c>
      <c r="B133" s="3">
        <v>26000</v>
      </c>
      <c r="C133" s="72" t="s">
        <v>33</v>
      </c>
      <c r="D133" s="72">
        <v>43243</v>
      </c>
      <c r="E133" s="78" t="s">
        <v>730</v>
      </c>
      <c r="F133" s="3">
        <v>30561.34</v>
      </c>
      <c r="G133" s="72">
        <v>43256</v>
      </c>
      <c r="H133" s="70">
        <f t="shared" si="4"/>
        <v>-4561.34</v>
      </c>
      <c r="I133" s="70">
        <f t="shared" si="3"/>
        <v>-3037.390000000014</v>
      </c>
    </row>
    <row r="134" spans="1:10" x14ac:dyDescent="0.25">
      <c r="A134" t="s">
        <v>731</v>
      </c>
      <c r="B134" s="3">
        <v>29000</v>
      </c>
      <c r="C134" s="72" t="s">
        <v>33</v>
      </c>
      <c r="D134" s="72">
        <v>43250</v>
      </c>
      <c r="E134" s="78" t="s">
        <v>732</v>
      </c>
      <c r="F134" s="3">
        <v>30668.13</v>
      </c>
      <c r="G134" s="72">
        <v>43256</v>
      </c>
      <c r="H134" s="70">
        <f t="shared" si="4"/>
        <v>-1668.130000000001</v>
      </c>
      <c r="I134" s="70">
        <f t="shared" ref="I134:I197" si="5">I133+H134</f>
        <v>-4705.520000000015</v>
      </c>
    </row>
    <row r="135" spans="1:10" x14ac:dyDescent="0.25">
      <c r="A135" t="s">
        <v>733</v>
      </c>
      <c r="B135" s="3">
        <v>34000</v>
      </c>
      <c r="C135" s="72" t="s">
        <v>29</v>
      </c>
      <c r="D135" s="72">
        <v>43255</v>
      </c>
      <c r="E135" s="78" t="s">
        <v>734</v>
      </c>
      <c r="F135" s="3">
        <v>30343.11</v>
      </c>
      <c r="G135" s="72">
        <v>43259</v>
      </c>
      <c r="H135" s="70">
        <f t="shared" si="4"/>
        <v>3656.8899999999994</v>
      </c>
      <c r="I135" s="70">
        <f t="shared" si="5"/>
        <v>-1048.6300000000156</v>
      </c>
    </row>
    <row r="136" spans="1:10" x14ac:dyDescent="0.25">
      <c r="A136" t="s">
        <v>735</v>
      </c>
      <c r="B136" s="79"/>
      <c r="C136" s="72" t="s">
        <v>29</v>
      </c>
      <c r="D136" s="72">
        <v>43255</v>
      </c>
      <c r="E136" s="48"/>
      <c r="F136" s="79">
        <v>0</v>
      </c>
      <c r="G136" s="72">
        <v>43259</v>
      </c>
      <c r="H136" s="70">
        <f t="shared" si="4"/>
        <v>0</v>
      </c>
      <c r="I136" s="70">
        <f t="shared" si="5"/>
        <v>-1048.6300000000156</v>
      </c>
      <c r="J136" t="s">
        <v>728</v>
      </c>
    </row>
    <row r="137" spans="1:10" x14ac:dyDescent="0.25">
      <c r="A137" t="s">
        <v>736</v>
      </c>
      <c r="B137" s="3">
        <v>34000</v>
      </c>
      <c r="C137" s="72" t="s">
        <v>29</v>
      </c>
      <c r="D137" s="72">
        <v>43255</v>
      </c>
      <c r="E137" s="78" t="s">
        <v>737</v>
      </c>
      <c r="F137" s="3">
        <v>29726.9</v>
      </c>
      <c r="G137" s="72">
        <v>43266</v>
      </c>
      <c r="H137" s="70">
        <f t="shared" si="4"/>
        <v>4273.0999999999985</v>
      </c>
      <c r="I137" s="70">
        <f t="shared" si="5"/>
        <v>3224.469999999983</v>
      </c>
    </row>
    <row r="138" spans="1:10" x14ac:dyDescent="0.25">
      <c r="A138" t="s">
        <v>738</v>
      </c>
      <c r="B138" s="79"/>
      <c r="C138" s="72" t="s">
        <v>29</v>
      </c>
      <c r="D138" s="72">
        <v>43255</v>
      </c>
      <c r="E138" s="48"/>
      <c r="F138" s="79"/>
      <c r="G138" s="72">
        <v>43266</v>
      </c>
      <c r="H138" s="70">
        <f t="shared" si="4"/>
        <v>0</v>
      </c>
      <c r="I138" s="70">
        <f t="shared" si="5"/>
        <v>3224.469999999983</v>
      </c>
      <c r="J138" t="s">
        <v>728</v>
      </c>
    </row>
    <row r="139" spans="1:10" x14ac:dyDescent="0.25">
      <c r="A139" t="s">
        <v>739</v>
      </c>
      <c r="B139" s="3">
        <v>30000</v>
      </c>
      <c r="C139" s="72" t="s">
        <v>29</v>
      </c>
      <c r="D139" s="72">
        <v>43262</v>
      </c>
      <c r="E139" s="78" t="s">
        <v>740</v>
      </c>
      <c r="F139" s="3">
        <v>29678.43</v>
      </c>
      <c r="G139" s="72">
        <v>43272</v>
      </c>
      <c r="H139" s="70">
        <f t="shared" si="4"/>
        <v>321.56999999999971</v>
      </c>
      <c r="I139" s="70">
        <f t="shared" si="5"/>
        <v>3546.0399999999827</v>
      </c>
    </row>
    <row r="140" spans="1:10" x14ac:dyDescent="0.25">
      <c r="A140" t="s">
        <v>741</v>
      </c>
      <c r="B140" s="3">
        <v>29000</v>
      </c>
      <c r="C140" s="72" t="s">
        <v>29</v>
      </c>
      <c r="D140" s="72">
        <v>43269</v>
      </c>
      <c r="E140" t="s">
        <v>742</v>
      </c>
      <c r="F140" s="3">
        <v>29443.63</v>
      </c>
      <c r="G140" s="72">
        <v>43273</v>
      </c>
      <c r="H140" s="70">
        <f t="shared" si="4"/>
        <v>-443.63000000000102</v>
      </c>
      <c r="I140" s="70">
        <f t="shared" si="5"/>
        <v>3102.4099999999817</v>
      </c>
    </row>
    <row r="141" spans="1:10" x14ac:dyDescent="0.25">
      <c r="A141" t="s">
        <v>743</v>
      </c>
      <c r="B141" s="3">
        <v>29000</v>
      </c>
      <c r="C141" s="72" t="s">
        <v>29</v>
      </c>
      <c r="D141" s="72">
        <v>43276</v>
      </c>
      <c r="E141" t="s">
        <v>744</v>
      </c>
      <c r="F141" s="3">
        <v>33293.11</v>
      </c>
      <c r="G141" s="72">
        <v>43280</v>
      </c>
      <c r="H141" s="70">
        <f t="shared" si="4"/>
        <v>-4293.1100000000006</v>
      </c>
      <c r="I141" s="70">
        <f t="shared" si="5"/>
        <v>-1190.7000000000189</v>
      </c>
    </row>
    <row r="142" spans="1:10" x14ac:dyDescent="0.25">
      <c r="A142" t="s">
        <v>745</v>
      </c>
      <c r="B142" s="79"/>
      <c r="C142" s="72" t="s">
        <v>29</v>
      </c>
      <c r="D142" s="72">
        <v>43276</v>
      </c>
      <c r="E142" s="48"/>
      <c r="F142" s="79"/>
      <c r="G142" s="72">
        <v>43280</v>
      </c>
      <c r="H142" s="70">
        <f t="shared" si="4"/>
        <v>0</v>
      </c>
      <c r="I142" s="70">
        <f t="shared" si="5"/>
        <v>-1190.7000000000189</v>
      </c>
      <c r="J142" t="s">
        <v>728</v>
      </c>
    </row>
    <row r="143" spans="1:10" x14ac:dyDescent="0.25">
      <c r="A143" t="s">
        <v>746</v>
      </c>
      <c r="B143" s="3">
        <v>29000</v>
      </c>
      <c r="C143" s="72" t="s">
        <v>29</v>
      </c>
      <c r="D143" s="72">
        <v>43276</v>
      </c>
      <c r="E143" t="s">
        <v>747</v>
      </c>
      <c r="F143" s="3">
        <v>29877.9</v>
      </c>
      <c r="G143" s="72">
        <v>43283</v>
      </c>
      <c r="H143" s="70">
        <f t="shared" si="4"/>
        <v>-877.90000000000146</v>
      </c>
      <c r="I143" s="70">
        <f t="shared" si="5"/>
        <v>-2068.6000000000204</v>
      </c>
    </row>
    <row r="144" spans="1:10" x14ac:dyDescent="0.25">
      <c r="A144" t="s">
        <v>748</v>
      </c>
      <c r="B144" s="3">
        <v>32000</v>
      </c>
      <c r="C144" s="72" t="s">
        <v>29</v>
      </c>
      <c r="D144" s="72">
        <v>43283</v>
      </c>
      <c r="E144" t="s">
        <v>749</v>
      </c>
      <c r="F144" s="3">
        <v>26962.02</v>
      </c>
      <c r="G144" s="72">
        <v>43287</v>
      </c>
      <c r="H144" s="70">
        <f t="shared" si="4"/>
        <v>5037.9799999999996</v>
      </c>
      <c r="I144" s="70">
        <f t="shared" si="5"/>
        <v>2969.3799999999792</v>
      </c>
    </row>
    <row r="145" spans="1:9" x14ac:dyDescent="0.25">
      <c r="A145" t="s">
        <v>750</v>
      </c>
      <c r="B145" s="3">
        <v>32000</v>
      </c>
      <c r="C145" s="72" t="s">
        <v>29</v>
      </c>
      <c r="D145" s="72">
        <v>43283</v>
      </c>
      <c r="E145" t="s">
        <v>751</v>
      </c>
      <c r="F145" s="3">
        <v>26812.04</v>
      </c>
      <c r="G145" s="72">
        <v>43287</v>
      </c>
      <c r="H145" s="70">
        <f t="shared" si="4"/>
        <v>5187.9599999999991</v>
      </c>
      <c r="I145" s="70">
        <f t="shared" si="5"/>
        <v>8157.3399999999783</v>
      </c>
    </row>
    <row r="146" spans="1:9" x14ac:dyDescent="0.25">
      <c r="A146" t="s">
        <v>752</v>
      </c>
      <c r="B146" s="3">
        <v>23000</v>
      </c>
      <c r="C146" s="72" t="s">
        <v>33</v>
      </c>
      <c r="D146" s="72">
        <v>43285</v>
      </c>
      <c r="E146" t="s">
        <v>753</v>
      </c>
      <c r="F146" s="3">
        <v>25284.22</v>
      </c>
      <c r="G146" s="72">
        <v>43291</v>
      </c>
      <c r="H146" s="70">
        <f t="shared" si="4"/>
        <v>-2284.2200000000012</v>
      </c>
      <c r="I146" s="70">
        <f t="shared" si="5"/>
        <v>5873.1199999999772</v>
      </c>
    </row>
    <row r="147" spans="1:9" x14ac:dyDescent="0.25">
      <c r="A147" t="s">
        <v>754</v>
      </c>
      <c r="B147" s="3">
        <v>24000</v>
      </c>
      <c r="C147" s="72" t="s">
        <v>33</v>
      </c>
      <c r="D147" s="72">
        <v>43292</v>
      </c>
      <c r="E147" t="s">
        <v>755</v>
      </c>
      <c r="F147" s="3">
        <v>24951.86</v>
      </c>
      <c r="G147" s="72">
        <v>43298</v>
      </c>
      <c r="H147" s="70">
        <f t="shared" si="4"/>
        <v>-951.86000000000058</v>
      </c>
      <c r="I147" s="70">
        <f t="shared" si="5"/>
        <v>4921.2599999999766</v>
      </c>
    </row>
    <row r="148" spans="1:9" x14ac:dyDescent="0.25">
      <c r="A148" t="s">
        <v>756</v>
      </c>
      <c r="B148" s="3">
        <v>24000</v>
      </c>
      <c r="C148" s="72" t="s">
        <v>33</v>
      </c>
      <c r="D148" s="72">
        <v>43292</v>
      </c>
      <c r="E148" t="s">
        <v>757</v>
      </c>
      <c r="F148" s="3">
        <v>24930.77</v>
      </c>
      <c r="G148" s="72">
        <v>43298</v>
      </c>
      <c r="H148" s="70">
        <f t="shared" si="4"/>
        <v>-930.77000000000044</v>
      </c>
      <c r="I148" s="70">
        <f t="shared" si="5"/>
        <v>3990.4899999999761</v>
      </c>
    </row>
    <row r="149" spans="1:9" x14ac:dyDescent="0.25">
      <c r="A149" t="s">
        <v>758</v>
      </c>
      <c r="B149" s="3">
        <v>24000</v>
      </c>
      <c r="C149" s="72" t="s">
        <v>33</v>
      </c>
      <c r="D149" s="72">
        <v>43299</v>
      </c>
      <c r="E149" t="s">
        <v>596</v>
      </c>
      <c r="F149" s="3">
        <v>26555.41</v>
      </c>
      <c r="G149" s="72">
        <v>43305</v>
      </c>
      <c r="H149" s="70">
        <f t="shared" si="4"/>
        <v>-2555.41</v>
      </c>
      <c r="I149" s="70">
        <f t="shared" si="5"/>
        <v>1435.0799999999763</v>
      </c>
    </row>
    <row r="150" spans="1:9" x14ac:dyDescent="0.25">
      <c r="A150" t="s">
        <v>759</v>
      </c>
      <c r="B150" s="3">
        <v>24000</v>
      </c>
      <c r="C150" s="72" t="s">
        <v>33</v>
      </c>
      <c r="D150" s="72">
        <v>43299</v>
      </c>
      <c r="E150" t="s">
        <v>760</v>
      </c>
      <c r="F150" s="3">
        <v>26663.35</v>
      </c>
      <c r="G150" s="72">
        <v>43305</v>
      </c>
      <c r="H150" s="70">
        <f t="shared" si="4"/>
        <v>-2663.3499999999985</v>
      </c>
      <c r="I150" s="70">
        <f t="shared" si="5"/>
        <v>-1228.2700000000223</v>
      </c>
    </row>
    <row r="151" spans="1:9" x14ac:dyDescent="0.25">
      <c r="A151" t="s">
        <v>761</v>
      </c>
      <c r="B151" s="3">
        <v>29000</v>
      </c>
      <c r="C151" s="72" t="s">
        <v>33</v>
      </c>
      <c r="D151" s="72">
        <v>43306</v>
      </c>
      <c r="E151" t="s">
        <v>762</v>
      </c>
      <c r="F151" s="3">
        <v>27617.38</v>
      </c>
      <c r="G151" s="72">
        <v>43312</v>
      </c>
      <c r="H151" s="70">
        <f t="shared" si="4"/>
        <v>1382.619999999999</v>
      </c>
      <c r="I151" s="70">
        <f t="shared" si="5"/>
        <v>154.34999999997672</v>
      </c>
    </row>
    <row r="152" spans="1:9" x14ac:dyDescent="0.25">
      <c r="A152" t="s">
        <v>763</v>
      </c>
      <c r="B152" s="3">
        <v>29000</v>
      </c>
      <c r="C152" s="72" t="s">
        <v>33</v>
      </c>
      <c r="D152" s="72">
        <v>43306</v>
      </c>
      <c r="E152" t="s">
        <v>764</v>
      </c>
      <c r="F152" s="3">
        <v>27406.33</v>
      </c>
      <c r="G152" s="72">
        <v>43312</v>
      </c>
      <c r="H152" s="70">
        <f t="shared" si="4"/>
        <v>1593.6699999999983</v>
      </c>
      <c r="I152" s="70">
        <f t="shared" si="5"/>
        <v>1748.019999999975</v>
      </c>
    </row>
    <row r="153" spans="1:9" x14ac:dyDescent="0.25">
      <c r="A153" t="s">
        <v>765</v>
      </c>
      <c r="B153" s="3">
        <v>30000</v>
      </c>
      <c r="C153" s="72" t="s">
        <v>33</v>
      </c>
      <c r="D153" s="72">
        <v>43313</v>
      </c>
      <c r="E153" t="s">
        <v>766</v>
      </c>
      <c r="F153" s="3">
        <v>29401.69</v>
      </c>
      <c r="G153" s="72">
        <v>43319</v>
      </c>
      <c r="H153" s="70">
        <f t="shared" si="4"/>
        <v>598.31000000000131</v>
      </c>
      <c r="I153" s="70">
        <f t="shared" si="5"/>
        <v>2346.3299999999763</v>
      </c>
    </row>
    <row r="154" spans="1:9" x14ac:dyDescent="0.25">
      <c r="A154" t="s">
        <v>767</v>
      </c>
      <c r="B154" s="3">
        <v>30000</v>
      </c>
      <c r="C154" s="72" t="s">
        <v>33</v>
      </c>
      <c r="D154" s="72">
        <v>43313</v>
      </c>
      <c r="E154" t="s">
        <v>768</v>
      </c>
      <c r="F154" s="3">
        <v>29619.25</v>
      </c>
      <c r="G154" s="72">
        <v>43319</v>
      </c>
      <c r="H154" s="70">
        <f t="shared" si="4"/>
        <v>380.75</v>
      </c>
      <c r="I154" s="70">
        <f t="shared" si="5"/>
        <v>2727.0799999999763</v>
      </c>
    </row>
    <row r="155" spans="1:9" x14ac:dyDescent="0.25">
      <c r="A155" t="s">
        <v>769</v>
      </c>
      <c r="B155" s="3">
        <v>30500</v>
      </c>
      <c r="C155" s="72" t="s">
        <v>33</v>
      </c>
      <c r="D155" s="72">
        <v>43319</v>
      </c>
      <c r="E155" t="s">
        <v>770</v>
      </c>
      <c r="F155" s="3">
        <v>29129.15</v>
      </c>
      <c r="G155" s="72">
        <v>43326</v>
      </c>
      <c r="H155" s="70">
        <f t="shared" si="4"/>
        <v>1370.8499999999985</v>
      </c>
      <c r="I155" s="70">
        <f t="shared" si="5"/>
        <v>4097.9299999999748</v>
      </c>
    </row>
    <row r="156" spans="1:9" x14ac:dyDescent="0.25">
      <c r="A156" t="s">
        <v>771</v>
      </c>
      <c r="B156" s="3">
        <v>30500</v>
      </c>
      <c r="C156" s="72" t="s">
        <v>33</v>
      </c>
      <c r="D156" s="72">
        <v>43319</v>
      </c>
      <c r="E156" t="s">
        <v>772</v>
      </c>
      <c r="F156" s="3">
        <v>29438.85</v>
      </c>
      <c r="G156" s="72">
        <v>43326</v>
      </c>
      <c r="H156" s="70">
        <f t="shared" si="4"/>
        <v>1061.1500000000015</v>
      </c>
      <c r="I156" s="70">
        <f t="shared" si="5"/>
        <v>5159.0799999999763</v>
      </c>
    </row>
    <row r="157" spans="1:9" x14ac:dyDescent="0.25">
      <c r="A157" t="s">
        <v>773</v>
      </c>
      <c r="B157" s="3">
        <v>28000</v>
      </c>
      <c r="C157" s="72" t="s">
        <v>33</v>
      </c>
      <c r="D157" s="72">
        <v>43327</v>
      </c>
      <c r="E157" t="s">
        <v>774</v>
      </c>
      <c r="F157" s="3">
        <v>27781.41</v>
      </c>
      <c r="G157" s="72">
        <v>43333</v>
      </c>
      <c r="H157" s="70">
        <f t="shared" si="4"/>
        <v>218.59000000000015</v>
      </c>
      <c r="I157" s="70">
        <f t="shared" si="5"/>
        <v>5377.6699999999764</v>
      </c>
    </row>
    <row r="158" spans="1:9" x14ac:dyDescent="0.25">
      <c r="A158" t="s">
        <v>775</v>
      </c>
      <c r="B158" s="3">
        <v>28000</v>
      </c>
      <c r="C158" s="72" t="s">
        <v>33</v>
      </c>
      <c r="D158" s="72">
        <v>43327</v>
      </c>
      <c r="E158" t="s">
        <v>776</v>
      </c>
      <c r="F158" s="3">
        <v>27819.02</v>
      </c>
      <c r="G158" s="72">
        <v>43333</v>
      </c>
      <c r="H158" s="70">
        <f t="shared" si="4"/>
        <v>180.97999999999956</v>
      </c>
      <c r="I158" s="70">
        <f t="shared" si="5"/>
        <v>5558.649999999976</v>
      </c>
    </row>
    <row r="159" spans="1:9" x14ac:dyDescent="0.25">
      <c r="A159" t="s">
        <v>777</v>
      </c>
      <c r="B159" s="3">
        <v>26000</v>
      </c>
      <c r="C159" s="72" t="s">
        <v>33</v>
      </c>
      <c r="D159" s="72">
        <v>43334</v>
      </c>
      <c r="E159" t="s">
        <v>778</v>
      </c>
      <c r="F159" s="3">
        <v>25529.97</v>
      </c>
      <c r="G159" s="72">
        <v>43340</v>
      </c>
      <c r="H159" s="70">
        <f t="shared" si="4"/>
        <v>470.02999999999884</v>
      </c>
      <c r="I159" s="70">
        <f t="shared" si="5"/>
        <v>6028.6799999999748</v>
      </c>
    </row>
    <row r="160" spans="1:9" x14ac:dyDescent="0.25">
      <c r="A160" t="s">
        <v>779</v>
      </c>
      <c r="B160" s="3">
        <v>26000</v>
      </c>
      <c r="C160" s="72" t="s">
        <v>33</v>
      </c>
      <c r="D160" s="72">
        <v>43334</v>
      </c>
      <c r="E160" t="s">
        <v>780</v>
      </c>
      <c r="F160" s="3">
        <v>25113.67</v>
      </c>
      <c r="G160" s="72">
        <v>43340</v>
      </c>
      <c r="H160" s="70">
        <f t="shared" si="4"/>
        <v>886.33000000000175</v>
      </c>
      <c r="I160" s="70">
        <f t="shared" si="5"/>
        <v>6915.0099999999766</v>
      </c>
    </row>
    <row r="161" spans="1:9" x14ac:dyDescent="0.25">
      <c r="A161" t="s">
        <v>781</v>
      </c>
      <c r="B161" s="3">
        <v>23000</v>
      </c>
      <c r="C161" s="72" t="s">
        <v>281</v>
      </c>
      <c r="D161" s="72">
        <v>43341</v>
      </c>
      <c r="E161" t="s">
        <v>782</v>
      </c>
      <c r="F161" s="3">
        <v>24516.35</v>
      </c>
      <c r="G161" s="72">
        <v>43346</v>
      </c>
      <c r="H161" s="70">
        <f t="shared" si="4"/>
        <v>-1516.3499999999985</v>
      </c>
      <c r="I161" s="70">
        <f t="shared" si="5"/>
        <v>5398.659999999978</v>
      </c>
    </row>
    <row r="162" spans="1:9" x14ac:dyDescent="0.25">
      <c r="A162" t="s">
        <v>783</v>
      </c>
      <c r="B162" s="3">
        <v>23000</v>
      </c>
      <c r="C162" s="72" t="s">
        <v>33</v>
      </c>
      <c r="D162" s="72">
        <v>43341</v>
      </c>
      <c r="E162" t="s">
        <v>784</v>
      </c>
      <c r="F162" s="3">
        <v>25486.42</v>
      </c>
      <c r="G162" s="72">
        <v>43346</v>
      </c>
      <c r="H162" s="70">
        <f t="shared" si="4"/>
        <v>-2486.4199999999983</v>
      </c>
      <c r="I162" s="70">
        <f t="shared" si="5"/>
        <v>2912.2399999999798</v>
      </c>
    </row>
    <row r="163" spans="1:9" x14ac:dyDescent="0.25">
      <c r="A163" s="61" t="s">
        <v>785</v>
      </c>
      <c r="B163" s="3">
        <v>25000</v>
      </c>
      <c r="C163" s="72" t="s">
        <v>48</v>
      </c>
      <c r="D163" s="72">
        <v>43347</v>
      </c>
      <c r="E163" t="s">
        <v>786</v>
      </c>
      <c r="F163" s="3">
        <v>24928.09</v>
      </c>
      <c r="G163" s="72">
        <v>43353</v>
      </c>
      <c r="H163" s="70">
        <f t="shared" si="4"/>
        <v>71.909999999999854</v>
      </c>
      <c r="I163" s="70">
        <f t="shared" si="5"/>
        <v>2984.1499999999796</v>
      </c>
    </row>
    <row r="164" spans="1:9" x14ac:dyDescent="0.25">
      <c r="A164" s="61" t="s">
        <v>787</v>
      </c>
      <c r="B164" s="3">
        <v>25000</v>
      </c>
      <c r="C164" s="72" t="s">
        <v>48</v>
      </c>
      <c r="D164" s="72">
        <v>43347</v>
      </c>
      <c r="E164" t="s">
        <v>788</v>
      </c>
      <c r="F164" s="3">
        <v>24929.3</v>
      </c>
      <c r="G164" s="72">
        <v>43353</v>
      </c>
      <c r="H164" s="70">
        <f t="shared" si="4"/>
        <v>70.700000000000728</v>
      </c>
      <c r="I164" s="70">
        <f t="shared" si="5"/>
        <v>3054.8499999999804</v>
      </c>
    </row>
    <row r="165" spans="1:9" x14ac:dyDescent="0.25">
      <c r="A165" s="61" t="s">
        <v>789</v>
      </c>
      <c r="B165" s="3">
        <v>25000</v>
      </c>
      <c r="C165" s="72" t="s">
        <v>33</v>
      </c>
      <c r="D165" s="72">
        <v>43355</v>
      </c>
      <c r="E165" t="s">
        <v>790</v>
      </c>
      <c r="F165" s="3">
        <v>25391.23</v>
      </c>
      <c r="G165" s="72">
        <v>43361</v>
      </c>
      <c r="H165" s="70">
        <f t="shared" si="4"/>
        <v>-391.22999999999956</v>
      </c>
      <c r="I165" s="70">
        <f t="shared" si="5"/>
        <v>2663.6199999999808</v>
      </c>
    </row>
    <row r="166" spans="1:9" x14ac:dyDescent="0.25">
      <c r="A166" s="61" t="s">
        <v>791</v>
      </c>
      <c r="B166" s="3">
        <v>25000</v>
      </c>
      <c r="C166" s="72" t="s">
        <v>33</v>
      </c>
      <c r="D166" s="72">
        <v>43355</v>
      </c>
      <c r="E166" t="s">
        <v>792</v>
      </c>
      <c r="F166" s="3">
        <v>25803.5</v>
      </c>
      <c r="G166" s="72">
        <v>43361</v>
      </c>
      <c r="H166" s="70">
        <f t="shared" si="4"/>
        <v>-803.5</v>
      </c>
      <c r="I166" s="70">
        <f t="shared" si="5"/>
        <v>1860.1199999999808</v>
      </c>
    </row>
    <row r="167" spans="1:9" x14ac:dyDescent="0.25">
      <c r="A167" s="61" t="s">
        <v>793</v>
      </c>
      <c r="B167" s="79"/>
      <c r="C167" s="72" t="s">
        <v>33</v>
      </c>
      <c r="D167" s="72">
        <v>43362</v>
      </c>
      <c r="E167" s="48" t="s">
        <v>563</v>
      </c>
      <c r="F167" s="79">
        <v>0</v>
      </c>
      <c r="G167" s="72">
        <v>43368</v>
      </c>
      <c r="H167" s="70">
        <f t="shared" si="4"/>
        <v>0</v>
      </c>
      <c r="I167" s="70">
        <f t="shared" si="5"/>
        <v>1860.1199999999808</v>
      </c>
    </row>
    <row r="168" spans="1:9" x14ac:dyDescent="0.25">
      <c r="A168" s="61" t="s">
        <v>794</v>
      </c>
      <c r="B168" s="3">
        <v>27000</v>
      </c>
      <c r="C168" s="72" t="s">
        <v>33</v>
      </c>
      <c r="D168" s="72">
        <v>43362</v>
      </c>
      <c r="E168" t="s">
        <v>795</v>
      </c>
      <c r="F168" s="3">
        <v>29678.66</v>
      </c>
      <c r="G168" s="72">
        <v>43368</v>
      </c>
      <c r="H168" s="70">
        <f t="shared" si="4"/>
        <v>-2678.66</v>
      </c>
      <c r="I168" s="70">
        <f t="shared" si="5"/>
        <v>-818.54000000001906</v>
      </c>
    </row>
    <row r="169" spans="1:9" x14ac:dyDescent="0.25">
      <c r="A169" s="61" t="s">
        <v>796</v>
      </c>
      <c r="B169" s="3">
        <v>27000</v>
      </c>
      <c r="C169" s="72" t="s">
        <v>33</v>
      </c>
      <c r="D169" s="72">
        <v>43369</v>
      </c>
      <c r="E169" t="s">
        <v>797</v>
      </c>
      <c r="F169" s="3">
        <v>29035.45</v>
      </c>
      <c r="G169" s="72">
        <v>43376</v>
      </c>
      <c r="H169" s="70">
        <f t="shared" ref="H169:H197" si="6">B169-F169</f>
        <v>-2035.4500000000007</v>
      </c>
      <c r="I169" s="70">
        <f t="shared" si="5"/>
        <v>-2853.9900000000198</v>
      </c>
    </row>
    <row r="170" spans="1:9" x14ac:dyDescent="0.25">
      <c r="A170" s="61" t="s">
        <v>798</v>
      </c>
      <c r="B170" s="3">
        <v>37000</v>
      </c>
      <c r="C170" s="72" t="s">
        <v>33</v>
      </c>
      <c r="D170" s="72">
        <v>43369</v>
      </c>
      <c r="E170" t="s">
        <v>799</v>
      </c>
      <c r="F170" s="3">
        <v>29167.51</v>
      </c>
      <c r="G170" s="72">
        <v>43376</v>
      </c>
      <c r="H170" s="70">
        <f t="shared" si="6"/>
        <v>7832.4900000000016</v>
      </c>
      <c r="I170" s="70">
        <f t="shared" si="5"/>
        <v>4978.4999999999818</v>
      </c>
    </row>
    <row r="171" spans="1:9" x14ac:dyDescent="0.25">
      <c r="A171" s="61" t="s">
        <v>800</v>
      </c>
      <c r="B171" s="3">
        <v>28500</v>
      </c>
      <c r="C171" s="72" t="s">
        <v>48</v>
      </c>
      <c r="D171" s="72">
        <v>43375</v>
      </c>
      <c r="E171" t="s">
        <v>801</v>
      </c>
      <c r="F171" s="3">
        <v>30869.07</v>
      </c>
      <c r="G171" s="72">
        <v>43381</v>
      </c>
      <c r="H171" s="70">
        <f t="shared" si="6"/>
        <v>-2369.0699999999997</v>
      </c>
      <c r="I171" s="70">
        <f t="shared" si="5"/>
        <v>2609.4299999999821</v>
      </c>
    </row>
    <row r="172" spans="1:9" x14ac:dyDescent="0.25">
      <c r="A172" s="61" t="s">
        <v>802</v>
      </c>
      <c r="B172" s="3">
        <v>28500</v>
      </c>
      <c r="C172" s="72" t="s">
        <v>48</v>
      </c>
      <c r="D172" s="72">
        <v>43375</v>
      </c>
      <c r="E172" t="s">
        <v>803</v>
      </c>
      <c r="F172" s="3">
        <v>30804.18</v>
      </c>
      <c r="G172" s="72">
        <v>43381</v>
      </c>
      <c r="H172" s="70">
        <f t="shared" si="6"/>
        <v>-2304.1800000000003</v>
      </c>
      <c r="I172" s="70">
        <f t="shared" si="5"/>
        <v>305.24999999998181</v>
      </c>
    </row>
    <row r="173" spans="1:9" x14ac:dyDescent="0.25">
      <c r="A173" s="61" t="s">
        <v>804</v>
      </c>
      <c r="B173" s="3">
        <v>30500</v>
      </c>
      <c r="C173" s="72" t="s">
        <v>48</v>
      </c>
      <c r="D173" s="72">
        <v>43382</v>
      </c>
      <c r="E173" t="s">
        <v>805</v>
      </c>
      <c r="F173" s="3">
        <v>25541.47</v>
      </c>
      <c r="G173" s="72">
        <v>43388</v>
      </c>
      <c r="H173" s="70">
        <f t="shared" si="6"/>
        <v>4958.5299999999988</v>
      </c>
      <c r="I173" s="70">
        <f t="shared" si="5"/>
        <v>5263.7799999999806</v>
      </c>
    </row>
    <row r="174" spans="1:9" x14ac:dyDescent="0.25">
      <c r="A174" s="61" t="s">
        <v>806</v>
      </c>
      <c r="B174" s="3">
        <v>30500</v>
      </c>
      <c r="C174" s="72" t="s">
        <v>48</v>
      </c>
      <c r="D174" s="72">
        <v>43382</v>
      </c>
      <c r="E174" t="s">
        <v>807</v>
      </c>
      <c r="F174" s="3">
        <v>25287.15</v>
      </c>
      <c r="G174" s="72">
        <v>43388</v>
      </c>
      <c r="H174" s="70">
        <f t="shared" si="6"/>
        <v>5212.8499999999985</v>
      </c>
      <c r="I174" s="70">
        <f t="shared" si="5"/>
        <v>10476.629999999979</v>
      </c>
    </row>
    <row r="175" spans="1:9" x14ac:dyDescent="0.25">
      <c r="A175" s="61" t="s">
        <v>808</v>
      </c>
      <c r="B175" s="3">
        <v>20000</v>
      </c>
      <c r="C175" s="72" t="s">
        <v>48</v>
      </c>
      <c r="D175" s="72">
        <v>43389</v>
      </c>
      <c r="E175" t="s">
        <v>809</v>
      </c>
      <c r="F175" s="3">
        <v>24651.82</v>
      </c>
      <c r="G175" s="72">
        <v>43395</v>
      </c>
      <c r="H175" s="70">
        <f t="shared" si="6"/>
        <v>-4651.82</v>
      </c>
      <c r="I175" s="70">
        <f t="shared" si="5"/>
        <v>5824.8099999999795</v>
      </c>
    </row>
    <row r="176" spans="1:9" x14ac:dyDescent="0.25">
      <c r="A176" s="61" t="s">
        <v>810</v>
      </c>
      <c r="B176" s="3">
        <v>23000</v>
      </c>
      <c r="C176" s="72" t="s">
        <v>33</v>
      </c>
      <c r="D176" s="72">
        <v>43397</v>
      </c>
      <c r="E176" t="s">
        <v>811</v>
      </c>
      <c r="F176" s="3">
        <v>25033.55</v>
      </c>
      <c r="G176" s="72">
        <v>43403</v>
      </c>
      <c r="H176" s="70">
        <f t="shared" si="6"/>
        <v>-2033.5499999999993</v>
      </c>
      <c r="I176" s="70">
        <f t="shared" si="5"/>
        <v>3791.2599999999802</v>
      </c>
    </row>
    <row r="177" spans="1:9" x14ac:dyDescent="0.25">
      <c r="A177" s="61" t="s">
        <v>812</v>
      </c>
      <c r="B177" s="3">
        <v>23000</v>
      </c>
      <c r="C177" s="72" t="s">
        <v>33</v>
      </c>
      <c r="D177" s="72">
        <v>43397</v>
      </c>
      <c r="E177" t="s">
        <v>813</v>
      </c>
      <c r="F177" s="3">
        <v>25141.61</v>
      </c>
      <c r="G177" s="72">
        <v>43403</v>
      </c>
      <c r="H177" s="70">
        <f t="shared" si="6"/>
        <v>-2141.6100000000006</v>
      </c>
      <c r="I177" s="70">
        <f t="shared" si="5"/>
        <v>1649.6499999999796</v>
      </c>
    </row>
    <row r="178" spans="1:9" x14ac:dyDescent="0.25">
      <c r="A178" s="61" t="s">
        <v>814</v>
      </c>
      <c r="B178" s="3">
        <v>26000</v>
      </c>
      <c r="C178" s="72" t="s">
        <v>33</v>
      </c>
      <c r="D178" s="72">
        <v>43404</v>
      </c>
      <c r="E178" t="s">
        <v>815</v>
      </c>
      <c r="F178" s="3">
        <v>25368.03</v>
      </c>
      <c r="G178" s="72">
        <v>43410</v>
      </c>
      <c r="H178" s="70">
        <f t="shared" si="6"/>
        <v>631.97000000000116</v>
      </c>
      <c r="I178" s="70">
        <f t="shared" si="5"/>
        <v>2281.6199999999808</v>
      </c>
    </row>
    <row r="179" spans="1:9" x14ac:dyDescent="0.25">
      <c r="A179" s="61" t="s">
        <v>816</v>
      </c>
      <c r="B179" s="3">
        <v>26000</v>
      </c>
      <c r="C179" s="72" t="s">
        <v>33</v>
      </c>
      <c r="D179" s="72">
        <v>43404</v>
      </c>
      <c r="E179" t="s">
        <v>817</v>
      </c>
      <c r="F179" s="3">
        <v>25622.18</v>
      </c>
      <c r="G179" s="72">
        <v>43410</v>
      </c>
      <c r="H179" s="70">
        <f t="shared" si="6"/>
        <v>377.81999999999971</v>
      </c>
      <c r="I179" s="70">
        <f t="shared" si="5"/>
        <v>2659.4399999999805</v>
      </c>
    </row>
    <row r="180" spans="1:9" x14ac:dyDescent="0.25">
      <c r="A180" t="s">
        <v>818</v>
      </c>
      <c r="B180" s="79"/>
      <c r="C180" s="72" t="s">
        <v>33</v>
      </c>
      <c r="D180" s="72">
        <v>43411</v>
      </c>
      <c r="E180" s="48" t="s">
        <v>563</v>
      </c>
      <c r="F180" s="79">
        <v>0</v>
      </c>
      <c r="G180" s="72">
        <v>43417</v>
      </c>
      <c r="H180" s="70">
        <f t="shared" si="6"/>
        <v>0</v>
      </c>
      <c r="I180" s="70">
        <f t="shared" si="5"/>
        <v>2659.4399999999805</v>
      </c>
    </row>
    <row r="181" spans="1:9" x14ac:dyDescent="0.25">
      <c r="A181" t="s">
        <v>819</v>
      </c>
      <c r="B181" s="3">
        <v>25500</v>
      </c>
      <c r="C181" s="72" t="s">
        <v>33</v>
      </c>
      <c r="D181" s="72">
        <v>43418</v>
      </c>
      <c r="E181" t="s">
        <v>820</v>
      </c>
      <c r="F181" s="3">
        <v>24259.29</v>
      </c>
      <c r="G181" s="72">
        <v>43424</v>
      </c>
      <c r="H181" s="70">
        <f t="shared" si="6"/>
        <v>1240.7099999999991</v>
      </c>
      <c r="I181" s="70">
        <f t="shared" si="5"/>
        <v>3900.1499999999796</v>
      </c>
    </row>
    <row r="182" spans="1:9" x14ac:dyDescent="0.25">
      <c r="A182" t="s">
        <v>821</v>
      </c>
      <c r="B182" s="79"/>
      <c r="C182" s="72" t="s">
        <v>33</v>
      </c>
      <c r="D182" s="72">
        <v>43425</v>
      </c>
      <c r="E182" s="48" t="s">
        <v>563</v>
      </c>
      <c r="F182" s="79">
        <v>0</v>
      </c>
      <c r="G182" s="72">
        <v>43431</v>
      </c>
      <c r="H182" s="70">
        <f t="shared" si="6"/>
        <v>0</v>
      </c>
      <c r="I182" s="70">
        <f t="shared" si="5"/>
        <v>3900.1499999999796</v>
      </c>
    </row>
    <row r="183" spans="1:9" x14ac:dyDescent="0.25">
      <c r="A183" t="s">
        <v>822</v>
      </c>
      <c r="B183" s="3">
        <v>23000</v>
      </c>
      <c r="C183" s="72" t="s">
        <v>33</v>
      </c>
      <c r="D183" s="72">
        <v>43425</v>
      </c>
      <c r="E183" t="s">
        <v>823</v>
      </c>
      <c r="F183" s="3">
        <v>24938.52</v>
      </c>
      <c r="G183" s="72">
        <v>43438</v>
      </c>
      <c r="H183" s="70">
        <f t="shared" si="6"/>
        <v>-1938.5200000000004</v>
      </c>
      <c r="I183" s="70">
        <f t="shared" si="5"/>
        <v>1961.6299999999792</v>
      </c>
    </row>
    <row r="184" spans="1:9" x14ac:dyDescent="0.25">
      <c r="A184" t="s">
        <v>824</v>
      </c>
      <c r="B184" s="3">
        <v>26000</v>
      </c>
      <c r="C184" s="72" t="s">
        <v>33</v>
      </c>
      <c r="D184" s="72">
        <v>43432</v>
      </c>
      <c r="E184" t="s">
        <v>825</v>
      </c>
      <c r="F184" s="3">
        <v>25835.02</v>
      </c>
      <c r="G184" s="72">
        <v>43438</v>
      </c>
      <c r="H184" s="70">
        <f t="shared" si="6"/>
        <v>164.97999999999956</v>
      </c>
      <c r="I184" s="70">
        <f t="shared" si="5"/>
        <v>2126.6099999999788</v>
      </c>
    </row>
    <row r="185" spans="1:9" x14ac:dyDescent="0.25">
      <c r="A185" t="s">
        <v>826</v>
      </c>
      <c r="B185" s="3">
        <v>23500</v>
      </c>
      <c r="C185" s="72" t="s">
        <v>48</v>
      </c>
      <c r="D185" s="72">
        <v>43452</v>
      </c>
      <c r="E185" t="s">
        <v>670</v>
      </c>
      <c r="F185" s="3">
        <v>22977.86</v>
      </c>
      <c r="G185" s="72">
        <v>43458</v>
      </c>
      <c r="H185" s="70">
        <f t="shared" si="6"/>
        <v>522.13999999999942</v>
      </c>
      <c r="I185" s="70">
        <f t="shared" si="5"/>
        <v>2648.7499999999782</v>
      </c>
    </row>
    <row r="186" spans="1:9" x14ac:dyDescent="0.25">
      <c r="A186" t="s">
        <v>827</v>
      </c>
      <c r="B186" s="3">
        <v>23000</v>
      </c>
      <c r="C186" s="72" t="s">
        <v>33</v>
      </c>
      <c r="D186" s="72">
        <v>43453</v>
      </c>
      <c r="E186" t="s">
        <v>828</v>
      </c>
      <c r="F186" s="3">
        <v>23122.79</v>
      </c>
      <c r="G186" s="72">
        <v>43460</v>
      </c>
      <c r="H186" s="70">
        <f t="shared" si="6"/>
        <v>-122.79000000000087</v>
      </c>
      <c r="I186" s="70">
        <f t="shared" si="5"/>
        <v>2525.9599999999773</v>
      </c>
    </row>
    <row r="187" spans="1:9" x14ac:dyDescent="0.25">
      <c r="A187" t="s">
        <v>195</v>
      </c>
      <c r="B187" s="3">
        <v>23000</v>
      </c>
      <c r="C187" s="72" t="s">
        <v>29</v>
      </c>
      <c r="D187" s="72">
        <v>43458</v>
      </c>
      <c r="E187" t="s">
        <v>829</v>
      </c>
      <c r="F187" s="3">
        <v>22704.81</v>
      </c>
      <c r="G187" s="72">
        <v>43465</v>
      </c>
      <c r="H187" s="70">
        <f t="shared" si="6"/>
        <v>295.18999999999869</v>
      </c>
      <c r="I187" s="70">
        <f t="shared" si="5"/>
        <v>2821.149999999976</v>
      </c>
    </row>
    <row r="188" spans="1:9" x14ac:dyDescent="0.25">
      <c r="A188" t="s">
        <v>830</v>
      </c>
      <c r="B188" s="3">
        <v>22500</v>
      </c>
      <c r="C188" s="72" t="s">
        <v>33</v>
      </c>
      <c r="D188" s="72">
        <v>43467</v>
      </c>
      <c r="E188" t="s">
        <v>1694</v>
      </c>
      <c r="F188" s="3">
        <v>22955.59</v>
      </c>
      <c r="G188" s="72">
        <v>43473</v>
      </c>
      <c r="H188" s="70">
        <f t="shared" si="6"/>
        <v>-455.59000000000015</v>
      </c>
      <c r="I188" s="70">
        <f t="shared" si="5"/>
        <v>2365.5599999999758</v>
      </c>
    </row>
    <row r="189" spans="1:9" x14ac:dyDescent="0.25">
      <c r="A189" t="s">
        <v>831</v>
      </c>
      <c r="B189" s="3">
        <v>22500</v>
      </c>
      <c r="C189" s="72" t="s">
        <v>33</v>
      </c>
      <c r="D189" s="72">
        <v>43467</v>
      </c>
      <c r="E189" t="s">
        <v>1695</v>
      </c>
      <c r="F189" s="3">
        <v>22141.9</v>
      </c>
      <c r="G189" s="72">
        <v>43473</v>
      </c>
      <c r="H189" s="70">
        <f t="shared" si="6"/>
        <v>358.09999999999854</v>
      </c>
      <c r="I189" s="70">
        <f t="shared" si="5"/>
        <v>2723.6599999999744</v>
      </c>
    </row>
    <row r="190" spans="1:9" x14ac:dyDescent="0.25">
      <c r="A190" t="s">
        <v>1647</v>
      </c>
      <c r="B190" s="3">
        <v>22000</v>
      </c>
      <c r="C190" s="72" t="s">
        <v>33</v>
      </c>
      <c r="D190" s="72">
        <v>43474</v>
      </c>
      <c r="E190" t="s">
        <v>1838</v>
      </c>
      <c r="F190" s="3">
        <v>24251.49</v>
      </c>
      <c r="G190" s="72">
        <v>43480</v>
      </c>
      <c r="H190" s="70">
        <f t="shared" si="6"/>
        <v>-2251.4900000000016</v>
      </c>
      <c r="I190" s="70">
        <f t="shared" si="5"/>
        <v>472.16999999997279</v>
      </c>
    </row>
    <row r="191" spans="1:9" x14ac:dyDescent="0.25">
      <c r="A191" t="s">
        <v>1652</v>
      </c>
      <c r="B191" s="3">
        <v>22000</v>
      </c>
      <c r="C191" s="72" t="s">
        <v>33</v>
      </c>
      <c r="D191" s="72">
        <v>43474</v>
      </c>
      <c r="E191" t="s">
        <v>1839</v>
      </c>
      <c r="F191" s="3">
        <v>24619.02</v>
      </c>
      <c r="G191" s="72">
        <v>43480</v>
      </c>
      <c r="H191" s="70">
        <f t="shared" si="6"/>
        <v>-2619.0200000000004</v>
      </c>
      <c r="I191" s="70">
        <f t="shared" si="5"/>
        <v>-2146.8500000000276</v>
      </c>
    </row>
    <row r="192" spans="1:9" x14ac:dyDescent="0.25">
      <c r="A192" t="s">
        <v>1653</v>
      </c>
      <c r="B192" s="3">
        <v>26000</v>
      </c>
      <c r="C192" s="72" t="s">
        <v>33</v>
      </c>
      <c r="D192" s="72">
        <v>43481</v>
      </c>
      <c r="E192" t="s">
        <v>1930</v>
      </c>
      <c r="F192" s="3">
        <v>25189.79</v>
      </c>
      <c r="G192" s="72">
        <v>43487</v>
      </c>
      <c r="H192" s="70">
        <f t="shared" si="6"/>
        <v>810.20999999999913</v>
      </c>
      <c r="I192" s="70">
        <f t="shared" si="5"/>
        <v>-1336.6400000000285</v>
      </c>
    </row>
    <row r="193" spans="1:10" x14ac:dyDescent="0.25">
      <c r="A193" t="s">
        <v>1654</v>
      </c>
      <c r="B193" s="3">
        <v>26000</v>
      </c>
      <c r="C193" s="72" t="s">
        <v>33</v>
      </c>
      <c r="D193" s="72">
        <v>43481</v>
      </c>
      <c r="E193" t="s">
        <v>1931</v>
      </c>
      <c r="F193" s="51">
        <v>25482.34</v>
      </c>
      <c r="G193" s="72">
        <v>43487</v>
      </c>
      <c r="H193" s="70">
        <f t="shared" si="6"/>
        <v>517.65999999999985</v>
      </c>
      <c r="I193" s="163">
        <f t="shared" si="5"/>
        <v>-818.98000000002867</v>
      </c>
    </row>
    <row r="194" spans="1:10" x14ac:dyDescent="0.25">
      <c r="A194" t="s">
        <v>1655</v>
      </c>
      <c r="B194" s="3">
        <v>27500</v>
      </c>
      <c r="C194" s="72" t="s">
        <v>33</v>
      </c>
      <c r="D194" s="72">
        <v>43488</v>
      </c>
      <c r="E194" t="s">
        <v>2035</v>
      </c>
      <c r="F194" s="51">
        <v>23000</v>
      </c>
      <c r="G194" s="72">
        <v>43494</v>
      </c>
      <c r="H194" s="70">
        <f t="shared" si="6"/>
        <v>4500</v>
      </c>
      <c r="I194" s="70">
        <f t="shared" si="5"/>
        <v>3681.0199999999713</v>
      </c>
    </row>
    <row r="195" spans="1:10" x14ac:dyDescent="0.25">
      <c r="A195" t="s">
        <v>1656</v>
      </c>
      <c r="B195" s="3">
        <v>27500</v>
      </c>
      <c r="C195" s="72" t="s">
        <v>33</v>
      </c>
      <c r="D195" s="72">
        <v>43488</v>
      </c>
      <c r="E195" t="s">
        <v>2066</v>
      </c>
      <c r="F195" s="51">
        <v>23129.119999999999</v>
      </c>
      <c r="G195" s="72">
        <v>43494</v>
      </c>
      <c r="H195" s="70">
        <f t="shared" si="6"/>
        <v>4370.880000000001</v>
      </c>
      <c r="I195" s="163">
        <f t="shared" si="5"/>
        <v>8051.8999999999724</v>
      </c>
    </row>
    <row r="196" spans="1:10" x14ac:dyDescent="0.25">
      <c r="A196" t="s">
        <v>1657</v>
      </c>
      <c r="B196" s="3">
        <v>22000</v>
      </c>
      <c r="C196" s="72" t="s">
        <v>33</v>
      </c>
      <c r="D196" s="72">
        <v>43495</v>
      </c>
      <c r="E196" t="s">
        <v>511</v>
      </c>
      <c r="F196" s="51">
        <v>23259.77</v>
      </c>
      <c r="G196" s="72">
        <v>43501</v>
      </c>
      <c r="H196" s="70">
        <f t="shared" si="6"/>
        <v>-1259.7700000000004</v>
      </c>
      <c r="I196" s="70">
        <f t="shared" si="5"/>
        <v>6792.1299999999719</v>
      </c>
    </row>
    <row r="197" spans="1:10" x14ac:dyDescent="0.25">
      <c r="A197" t="s">
        <v>1658</v>
      </c>
      <c r="B197" s="3">
        <v>22000</v>
      </c>
      <c r="C197" s="72" t="s">
        <v>33</v>
      </c>
      <c r="D197" s="72">
        <v>43495</v>
      </c>
      <c r="E197" t="s">
        <v>2188</v>
      </c>
      <c r="F197" s="51">
        <v>23335.63</v>
      </c>
      <c r="G197" s="72">
        <v>43501</v>
      </c>
      <c r="H197" s="70">
        <f t="shared" si="6"/>
        <v>-1335.630000000001</v>
      </c>
      <c r="I197" s="163">
        <f t="shared" si="5"/>
        <v>5456.4999999999709</v>
      </c>
    </row>
    <row r="198" spans="1:10" x14ac:dyDescent="0.25">
      <c r="A198" t="s">
        <v>2157</v>
      </c>
      <c r="B198" s="3">
        <v>20000</v>
      </c>
      <c r="C198" s="72" t="s">
        <v>33</v>
      </c>
      <c r="D198" s="72">
        <v>43502</v>
      </c>
      <c r="E198" t="s">
        <v>2292</v>
      </c>
      <c r="F198" s="51">
        <v>21652.52</v>
      </c>
      <c r="G198" s="72">
        <v>43508</v>
      </c>
      <c r="H198" s="70">
        <f t="shared" ref="H198:H203" si="7">B198-F198</f>
        <v>-1652.5200000000004</v>
      </c>
      <c r="I198" s="70">
        <f t="shared" ref="I198:I203" si="8">I197+H198</f>
        <v>3803.9799999999705</v>
      </c>
    </row>
    <row r="199" spans="1:10" x14ac:dyDescent="0.25">
      <c r="A199" t="s">
        <v>2158</v>
      </c>
      <c r="B199" s="3">
        <v>20000</v>
      </c>
      <c r="C199" s="72" t="s">
        <v>33</v>
      </c>
      <c r="D199" s="72">
        <v>43509</v>
      </c>
      <c r="E199" t="s">
        <v>2391</v>
      </c>
      <c r="F199" s="51">
        <v>21840.240000000002</v>
      </c>
      <c r="G199" s="72">
        <v>43515</v>
      </c>
      <c r="H199" s="70">
        <f t="shared" si="7"/>
        <v>-1840.2400000000016</v>
      </c>
      <c r="I199" s="163">
        <f t="shared" si="8"/>
        <v>1963.7399999999689</v>
      </c>
    </row>
    <row r="200" spans="1:10" x14ac:dyDescent="0.25">
      <c r="A200" t="s">
        <v>2159</v>
      </c>
      <c r="B200" s="3">
        <v>22000</v>
      </c>
      <c r="C200" s="72" t="s">
        <v>33</v>
      </c>
      <c r="D200" s="72">
        <v>43523</v>
      </c>
      <c r="E200" t="s">
        <v>2570</v>
      </c>
      <c r="F200" s="51">
        <v>23149.62</v>
      </c>
      <c r="G200" s="72">
        <v>43529</v>
      </c>
      <c r="H200" s="70">
        <f t="shared" si="7"/>
        <v>-1149.619999999999</v>
      </c>
      <c r="I200" s="70">
        <f t="shared" si="8"/>
        <v>814.11999999996988</v>
      </c>
    </row>
    <row r="201" spans="1:10" x14ac:dyDescent="0.25">
      <c r="A201" t="s">
        <v>2160</v>
      </c>
      <c r="B201" s="3">
        <v>22000</v>
      </c>
      <c r="C201" s="72" t="s">
        <v>33</v>
      </c>
      <c r="D201" s="72">
        <v>43523</v>
      </c>
      <c r="E201" t="s">
        <v>2571</v>
      </c>
      <c r="F201" s="51">
        <v>22841.8</v>
      </c>
      <c r="G201" s="72">
        <v>43529</v>
      </c>
      <c r="H201" s="70">
        <f t="shared" si="7"/>
        <v>-841.79999999999927</v>
      </c>
      <c r="I201" s="163">
        <f t="shared" si="8"/>
        <v>-27.680000000029395</v>
      </c>
    </row>
    <row r="202" spans="1:10" x14ac:dyDescent="0.25">
      <c r="A202">
        <v>57059</v>
      </c>
      <c r="B202" s="3">
        <v>25000</v>
      </c>
      <c r="C202" s="72" t="s">
        <v>33</v>
      </c>
      <c r="D202" s="72">
        <v>43530</v>
      </c>
      <c r="E202" s="78" t="s">
        <v>2672</v>
      </c>
      <c r="F202" s="51">
        <v>25003.79</v>
      </c>
      <c r="G202" s="72">
        <v>43536</v>
      </c>
      <c r="H202" s="70">
        <f t="shared" si="7"/>
        <v>-3.7900000000008731</v>
      </c>
      <c r="I202" s="163">
        <f t="shared" si="8"/>
        <v>-31.470000000030268</v>
      </c>
    </row>
    <row r="203" spans="1:10" x14ac:dyDescent="0.25">
      <c r="A203">
        <v>57060</v>
      </c>
      <c r="B203" s="3">
        <v>25500</v>
      </c>
      <c r="C203" s="72" t="s">
        <v>460</v>
      </c>
      <c r="D203" s="72">
        <v>43532</v>
      </c>
      <c r="E203" s="78" t="s">
        <v>2713</v>
      </c>
      <c r="F203" s="51">
        <v>26542.5</v>
      </c>
      <c r="G203" s="72">
        <v>43538</v>
      </c>
      <c r="H203" s="70">
        <f t="shared" si="7"/>
        <v>-1042.5</v>
      </c>
      <c r="I203" s="163">
        <f t="shared" si="8"/>
        <v>-1073.9700000000303</v>
      </c>
      <c r="J203" t="s">
        <v>2714</v>
      </c>
    </row>
    <row r="204" spans="1:10" x14ac:dyDescent="0.25">
      <c r="A204">
        <v>57061</v>
      </c>
      <c r="B204" s="3">
        <v>29000</v>
      </c>
      <c r="C204" s="72" t="s">
        <v>33</v>
      </c>
      <c r="D204" s="72">
        <v>43537</v>
      </c>
      <c r="E204" s="78" t="s">
        <v>2741</v>
      </c>
      <c r="F204" s="3">
        <v>29308.62</v>
      </c>
      <c r="G204" s="72">
        <v>43543</v>
      </c>
      <c r="H204" s="70">
        <f t="shared" ref="H204:H209" si="9">B204-F204</f>
        <v>-308.61999999999898</v>
      </c>
      <c r="I204" s="70">
        <f t="shared" ref="I204:I209" si="10">I203+H204</f>
        <v>-1382.5900000000292</v>
      </c>
    </row>
    <row r="205" spans="1:10" x14ac:dyDescent="0.25">
      <c r="A205">
        <v>57062</v>
      </c>
      <c r="B205" s="3">
        <f>28000+3000</f>
        <v>31000</v>
      </c>
      <c r="C205" s="72" t="s">
        <v>45</v>
      </c>
      <c r="D205" s="72">
        <v>43539</v>
      </c>
      <c r="E205" s="78" t="s">
        <v>2779</v>
      </c>
      <c r="F205" s="3">
        <v>31748.720000000001</v>
      </c>
      <c r="G205" s="72">
        <v>43545</v>
      </c>
      <c r="H205" s="70">
        <f t="shared" si="9"/>
        <v>-748.72000000000116</v>
      </c>
      <c r="I205" s="70">
        <f t="shared" si="10"/>
        <v>-2131.3100000000304</v>
      </c>
    </row>
    <row r="206" spans="1:10" x14ac:dyDescent="0.25">
      <c r="A206">
        <v>57063</v>
      </c>
      <c r="B206" s="3">
        <v>35000</v>
      </c>
      <c r="C206" s="72" t="s">
        <v>48</v>
      </c>
      <c r="D206" s="72">
        <v>39891</v>
      </c>
      <c r="E206" s="78" t="s">
        <v>2829</v>
      </c>
      <c r="F206" s="3">
        <v>32489.47</v>
      </c>
      <c r="G206" s="72">
        <v>43549</v>
      </c>
      <c r="H206" s="70">
        <f t="shared" si="9"/>
        <v>2510.5299999999988</v>
      </c>
      <c r="I206" s="70">
        <f t="shared" si="10"/>
        <v>379.21999999996842</v>
      </c>
    </row>
    <row r="207" spans="1:10" x14ac:dyDescent="0.25">
      <c r="A207">
        <v>57064</v>
      </c>
      <c r="B207" s="3">
        <v>33000</v>
      </c>
      <c r="C207" s="72" t="s">
        <v>33</v>
      </c>
      <c r="D207" s="72">
        <v>43544</v>
      </c>
      <c r="E207" s="78" t="s">
        <v>2867</v>
      </c>
      <c r="F207" s="3">
        <v>34083.910000000003</v>
      </c>
      <c r="G207" s="72">
        <v>43550</v>
      </c>
      <c r="H207" s="70">
        <f t="shared" si="9"/>
        <v>-1083.9100000000035</v>
      </c>
      <c r="I207" s="70">
        <f t="shared" si="10"/>
        <v>-704.69000000003507</v>
      </c>
    </row>
    <row r="208" spans="1:10" x14ac:dyDescent="0.25">
      <c r="A208">
        <v>57065</v>
      </c>
      <c r="B208" s="3">
        <v>37000</v>
      </c>
      <c r="C208" s="72" t="s">
        <v>519</v>
      </c>
      <c r="D208" s="72">
        <v>43550</v>
      </c>
      <c r="F208" s="50">
        <v>35200</v>
      </c>
      <c r="G208" s="72">
        <v>43556</v>
      </c>
      <c r="H208" s="70">
        <f t="shared" si="9"/>
        <v>1800</v>
      </c>
      <c r="I208" s="70">
        <f t="shared" si="10"/>
        <v>1095.3099999999649</v>
      </c>
    </row>
    <row r="209" spans="1:9" x14ac:dyDescent="0.25">
      <c r="A209">
        <v>57066</v>
      </c>
      <c r="B209" s="3">
        <v>36000</v>
      </c>
      <c r="C209" s="72" t="s">
        <v>45</v>
      </c>
      <c r="D209" s="72">
        <v>43553</v>
      </c>
      <c r="F209" s="50">
        <v>35500</v>
      </c>
      <c r="G209" s="72">
        <v>43559</v>
      </c>
      <c r="H209" s="70">
        <f t="shared" si="9"/>
        <v>500</v>
      </c>
      <c r="I209" s="70">
        <f t="shared" si="10"/>
        <v>1595.3099999999649</v>
      </c>
    </row>
    <row r="210" spans="1:9" x14ac:dyDescent="0.25">
      <c r="F210" s="50"/>
      <c r="H210" s="70">
        <f t="shared" ref="H210:H216" si="11">B210-F210</f>
        <v>0</v>
      </c>
      <c r="I210" s="70">
        <f t="shared" ref="I210:I216" si="12">I209+H210</f>
        <v>1595.3099999999649</v>
      </c>
    </row>
    <row r="211" spans="1:9" x14ac:dyDescent="0.25">
      <c r="F211" s="50"/>
      <c r="H211" s="70">
        <f t="shared" si="11"/>
        <v>0</v>
      </c>
      <c r="I211" s="70">
        <f t="shared" si="12"/>
        <v>1595.3099999999649</v>
      </c>
    </row>
    <row r="212" spans="1:9" x14ac:dyDescent="0.25">
      <c r="F212" s="50"/>
      <c r="H212" s="70">
        <f t="shared" si="11"/>
        <v>0</v>
      </c>
      <c r="I212" s="70">
        <f t="shared" si="12"/>
        <v>1595.3099999999649</v>
      </c>
    </row>
    <row r="213" spans="1:9" x14ac:dyDescent="0.25">
      <c r="F213" s="50"/>
      <c r="H213" s="70">
        <f t="shared" si="11"/>
        <v>0</v>
      </c>
      <c r="I213" s="70">
        <f t="shared" si="12"/>
        <v>1595.3099999999649</v>
      </c>
    </row>
    <row r="214" spans="1:9" x14ac:dyDescent="0.25">
      <c r="F214" s="50"/>
      <c r="H214" s="70">
        <f t="shared" si="11"/>
        <v>0</v>
      </c>
      <c r="I214" s="70">
        <f t="shared" si="12"/>
        <v>1595.3099999999649</v>
      </c>
    </row>
    <row r="215" spans="1:9" x14ac:dyDescent="0.25">
      <c r="F215" s="50"/>
      <c r="H215" s="70">
        <f t="shared" si="11"/>
        <v>0</v>
      </c>
      <c r="I215" s="70">
        <f t="shared" si="12"/>
        <v>1595.3099999999649</v>
      </c>
    </row>
    <row r="216" spans="1:9" x14ac:dyDescent="0.25">
      <c r="F216" s="50"/>
      <c r="H216" s="70">
        <f t="shared" si="11"/>
        <v>0</v>
      </c>
      <c r="I216" s="70">
        <f t="shared" si="12"/>
        <v>1595.3099999999649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4221-0015-4A14-B89B-23908BC44746}">
  <dimension ref="A1:J21"/>
  <sheetViews>
    <sheetView workbookViewId="0">
      <selection activeCell="C26" sqref="C26"/>
    </sheetView>
  </sheetViews>
  <sheetFormatPr baseColWidth="10" defaultRowHeight="15" x14ac:dyDescent="0.25"/>
  <cols>
    <col min="2" max="2" width="11.42578125" style="3"/>
    <col min="3" max="3" width="5.85546875" customWidth="1"/>
    <col min="6" max="6" width="11.42578125" style="3"/>
    <col min="9" max="9" width="12" customWidth="1"/>
  </cols>
  <sheetData>
    <row r="1" spans="1:10" x14ac:dyDescent="0.25">
      <c r="H1" s="3"/>
      <c r="I1" s="3"/>
    </row>
    <row r="2" spans="1:10" x14ac:dyDescent="0.25">
      <c r="A2" t="s">
        <v>2234</v>
      </c>
      <c r="C2" s="3"/>
      <c r="F2" s="3" t="s">
        <v>208</v>
      </c>
      <c r="G2" s="3"/>
      <c r="H2" s="3"/>
      <c r="I2" s="3"/>
    </row>
    <row r="3" spans="1:10" x14ac:dyDescent="0.25">
      <c r="C3" s="3"/>
      <c r="G3" s="71" t="s">
        <v>209</v>
      </c>
      <c r="H3" s="3"/>
      <c r="I3" s="3"/>
    </row>
    <row r="4" spans="1:10" x14ac:dyDescent="0.25">
      <c r="A4" t="s">
        <v>210</v>
      </c>
      <c r="B4" s="3" t="s">
        <v>211</v>
      </c>
      <c r="C4" s="3" t="s">
        <v>12</v>
      </c>
      <c r="D4" t="s">
        <v>212</v>
      </c>
      <c r="E4" t="s">
        <v>213</v>
      </c>
      <c r="F4" s="3" t="s">
        <v>214</v>
      </c>
      <c r="G4" s="71" t="s">
        <v>215</v>
      </c>
      <c r="H4" s="3" t="s">
        <v>216</v>
      </c>
      <c r="I4" s="3" t="s">
        <v>217</v>
      </c>
    </row>
    <row r="5" spans="1:10" x14ac:dyDescent="0.25">
      <c r="A5" t="s">
        <v>2233</v>
      </c>
      <c r="B5" s="3">
        <v>25000</v>
      </c>
      <c r="C5" s="72" t="s">
        <v>29</v>
      </c>
      <c r="D5" s="72">
        <v>43507</v>
      </c>
      <c r="E5">
        <v>9000730561</v>
      </c>
      <c r="F5" s="3">
        <v>21891.98</v>
      </c>
      <c r="G5" s="72">
        <v>43514</v>
      </c>
      <c r="H5" s="70">
        <f t="shared" ref="H5:H7" si="0">B5-F5</f>
        <v>3108.0200000000004</v>
      </c>
      <c r="I5" s="3">
        <f>B5-F5</f>
        <v>3108.0200000000004</v>
      </c>
    </row>
    <row r="6" spans="1:10" x14ac:dyDescent="0.25">
      <c r="A6" t="s">
        <v>2235</v>
      </c>
      <c r="B6" s="3">
        <v>23000</v>
      </c>
      <c r="C6" t="s">
        <v>48</v>
      </c>
      <c r="D6" s="72">
        <v>43508</v>
      </c>
      <c r="E6">
        <v>9000737600</v>
      </c>
      <c r="F6" s="3">
        <v>21236.44</v>
      </c>
      <c r="G6" s="72">
        <v>43517</v>
      </c>
      <c r="H6" s="70">
        <f t="shared" si="0"/>
        <v>1763.5600000000013</v>
      </c>
      <c r="I6" s="3">
        <f t="shared" ref="I6:I7" si="1">I5+H6</f>
        <v>4871.5800000000017</v>
      </c>
    </row>
    <row r="7" spans="1:10" x14ac:dyDescent="0.25">
      <c r="A7" t="s">
        <v>2236</v>
      </c>
      <c r="B7" s="3">
        <v>22000</v>
      </c>
      <c r="C7" s="3" t="s">
        <v>45</v>
      </c>
      <c r="D7" s="72">
        <v>43511</v>
      </c>
      <c r="E7">
        <v>9000748243</v>
      </c>
      <c r="F7" s="3">
        <v>22227.11</v>
      </c>
      <c r="G7" s="72">
        <v>43521</v>
      </c>
      <c r="H7" s="70">
        <f t="shared" si="0"/>
        <v>-227.11000000000058</v>
      </c>
      <c r="I7" s="3">
        <f t="shared" si="1"/>
        <v>4644.4700000000012</v>
      </c>
    </row>
    <row r="8" spans="1:10" x14ac:dyDescent="0.25">
      <c r="A8" t="s">
        <v>2325</v>
      </c>
      <c r="B8" s="3">
        <v>22000</v>
      </c>
      <c r="C8" s="3" t="s">
        <v>45</v>
      </c>
      <c r="D8" s="72">
        <v>43511</v>
      </c>
      <c r="E8">
        <v>9000746845</v>
      </c>
      <c r="F8" s="3">
        <v>20538.02</v>
      </c>
      <c r="G8" s="72">
        <v>43522</v>
      </c>
      <c r="H8" s="70">
        <f t="shared" ref="H8:H18" si="2">B8-F8</f>
        <v>1461.9799999999996</v>
      </c>
      <c r="I8" s="3">
        <f t="shared" ref="I8:I18" si="3">I7+H8</f>
        <v>6106.4500000000007</v>
      </c>
    </row>
    <row r="9" spans="1:10" x14ac:dyDescent="0.25">
      <c r="A9" t="s">
        <v>2237</v>
      </c>
      <c r="B9" s="3">
        <v>22000</v>
      </c>
      <c r="C9" s="3" t="s">
        <v>48</v>
      </c>
      <c r="D9" s="72">
        <v>43515</v>
      </c>
      <c r="E9">
        <v>9000754882</v>
      </c>
      <c r="F9" s="3">
        <v>21912.46</v>
      </c>
      <c r="G9" s="72">
        <v>43525</v>
      </c>
      <c r="H9" s="70">
        <f t="shared" si="2"/>
        <v>87.540000000000873</v>
      </c>
      <c r="I9" s="3">
        <f t="shared" si="3"/>
        <v>6193.9900000000016</v>
      </c>
    </row>
    <row r="10" spans="1:10" x14ac:dyDescent="0.25">
      <c r="A10" t="s">
        <v>2238</v>
      </c>
      <c r="B10" s="3">
        <v>22000</v>
      </c>
      <c r="C10" s="3" t="s">
        <v>29</v>
      </c>
      <c r="D10" s="72">
        <v>43521</v>
      </c>
      <c r="E10">
        <v>9000764039</v>
      </c>
      <c r="F10" s="3">
        <v>23097.67</v>
      </c>
      <c r="G10" s="72">
        <v>43528</v>
      </c>
      <c r="H10" s="70">
        <f t="shared" si="2"/>
        <v>-1097.6699999999983</v>
      </c>
      <c r="I10" s="3">
        <f t="shared" si="3"/>
        <v>5096.3200000000033</v>
      </c>
    </row>
    <row r="11" spans="1:10" x14ac:dyDescent="0.25">
      <c r="A11" t="s">
        <v>2239</v>
      </c>
      <c r="B11" s="3">
        <v>20000</v>
      </c>
      <c r="C11" s="3" t="s">
        <v>48</v>
      </c>
      <c r="D11" s="72">
        <v>43522</v>
      </c>
      <c r="E11">
        <v>9000770375</v>
      </c>
      <c r="F11" s="3">
        <v>21948.22</v>
      </c>
      <c r="G11" s="72">
        <v>43530</v>
      </c>
      <c r="H11" s="70">
        <f t="shared" si="2"/>
        <v>-1948.2200000000012</v>
      </c>
      <c r="I11" s="3">
        <f t="shared" si="3"/>
        <v>3148.1000000000022</v>
      </c>
    </row>
    <row r="12" spans="1:10" x14ac:dyDescent="0.25">
      <c r="A12" t="s">
        <v>2416</v>
      </c>
      <c r="B12" s="3">
        <v>24000</v>
      </c>
      <c r="C12" s="3" t="s">
        <v>29</v>
      </c>
      <c r="D12" s="72">
        <v>43528</v>
      </c>
      <c r="E12">
        <v>9000778986</v>
      </c>
      <c r="F12" s="3">
        <v>24036.81</v>
      </c>
      <c r="G12" s="72">
        <v>43535</v>
      </c>
      <c r="H12" s="70">
        <f t="shared" si="2"/>
        <v>-36.81000000000131</v>
      </c>
      <c r="I12" s="3">
        <f t="shared" si="3"/>
        <v>3111.2900000000009</v>
      </c>
    </row>
    <row r="13" spans="1:10" x14ac:dyDescent="0.25">
      <c r="A13" t="s">
        <v>2417</v>
      </c>
      <c r="B13" s="3">
        <v>24000</v>
      </c>
      <c r="C13" s="3" t="s">
        <v>48</v>
      </c>
      <c r="D13" s="72">
        <v>43529</v>
      </c>
      <c r="E13">
        <v>9000784546</v>
      </c>
      <c r="F13" s="3">
        <v>26266.59</v>
      </c>
      <c r="G13" s="72">
        <v>43538</v>
      </c>
      <c r="H13" s="70">
        <f t="shared" si="2"/>
        <v>-2266.59</v>
      </c>
      <c r="I13" s="3">
        <f t="shared" si="3"/>
        <v>844.70000000000073</v>
      </c>
    </row>
    <row r="14" spans="1:10" x14ac:dyDescent="0.25">
      <c r="A14" t="s">
        <v>2418</v>
      </c>
      <c r="B14" s="3">
        <v>26180.63</v>
      </c>
      <c r="C14" s="3" t="s">
        <v>45</v>
      </c>
      <c r="D14" s="72">
        <v>43539</v>
      </c>
      <c r="E14">
        <v>9000786960</v>
      </c>
      <c r="F14" s="3">
        <v>27025.33</v>
      </c>
      <c r="G14" s="72">
        <v>43539</v>
      </c>
      <c r="H14" s="70">
        <f t="shared" si="2"/>
        <v>-844.70000000000073</v>
      </c>
      <c r="I14" s="3">
        <f t="shared" si="3"/>
        <v>0</v>
      </c>
    </row>
    <row r="15" spans="1:10" x14ac:dyDescent="0.25">
      <c r="A15" t="s">
        <v>2419</v>
      </c>
      <c r="H15" s="70">
        <f t="shared" si="2"/>
        <v>0</v>
      </c>
      <c r="I15" s="3">
        <f t="shared" si="3"/>
        <v>0</v>
      </c>
      <c r="J15" t="s">
        <v>2727</v>
      </c>
    </row>
    <row r="16" spans="1:10" x14ac:dyDescent="0.25">
      <c r="A16" t="s">
        <v>2420</v>
      </c>
      <c r="H16" s="70">
        <f t="shared" si="2"/>
        <v>0</v>
      </c>
      <c r="I16" s="3">
        <f t="shared" si="3"/>
        <v>0</v>
      </c>
    </row>
    <row r="17" spans="1:9" x14ac:dyDescent="0.25">
      <c r="A17" t="s">
        <v>2421</v>
      </c>
      <c r="H17" s="70">
        <f t="shared" si="2"/>
        <v>0</v>
      </c>
      <c r="I17" s="3">
        <f t="shared" si="3"/>
        <v>0</v>
      </c>
    </row>
    <row r="18" spans="1:9" x14ac:dyDescent="0.25">
      <c r="A18" t="s">
        <v>2422</v>
      </c>
      <c r="H18" s="70">
        <f t="shared" si="2"/>
        <v>0</v>
      </c>
      <c r="I18" s="3">
        <f t="shared" si="3"/>
        <v>0</v>
      </c>
    </row>
    <row r="19" spans="1:9" x14ac:dyDescent="0.25">
      <c r="A19" t="s">
        <v>2423</v>
      </c>
      <c r="H19" s="70">
        <f t="shared" ref="H19:H21" si="4">B19-F19</f>
        <v>0</v>
      </c>
      <c r="I19" s="3">
        <f t="shared" ref="I19:I21" si="5">I18+H19</f>
        <v>0</v>
      </c>
    </row>
    <row r="20" spans="1:9" x14ac:dyDescent="0.25">
      <c r="A20" t="s">
        <v>2535</v>
      </c>
      <c r="H20" s="70">
        <f t="shared" si="4"/>
        <v>0</v>
      </c>
      <c r="I20" s="3">
        <f t="shared" si="5"/>
        <v>0</v>
      </c>
    </row>
    <row r="21" spans="1:9" x14ac:dyDescent="0.25">
      <c r="A21" t="s">
        <v>2536</v>
      </c>
      <c r="H21" s="70">
        <f t="shared" si="4"/>
        <v>0</v>
      </c>
      <c r="I21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pagos</vt:lpstr>
      <vt:lpstr>cierres</vt:lpstr>
      <vt:lpstr>Seaboard</vt:lpstr>
      <vt:lpstr>Tyson</vt:lpstr>
      <vt:lpstr>smithfield</vt:lpstr>
      <vt:lpstr>Proledo</vt:lpstr>
      <vt:lpstr>Zavaleta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cortes</dc:creator>
  <cp:lastModifiedBy>Rouss</cp:lastModifiedBy>
  <cp:lastPrinted>2019-03-30T19:57:42Z</cp:lastPrinted>
  <dcterms:created xsi:type="dcterms:W3CDTF">2018-12-27T20:36:01Z</dcterms:created>
  <dcterms:modified xsi:type="dcterms:W3CDTF">2019-04-01T21:12:09Z</dcterms:modified>
</cp:coreProperties>
</file>