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01 DOCUEMENTOS\CENTRAL  # 04  ABRIL  2019\"/>
    </mc:Choice>
  </mc:AlternateContent>
  <xr:revisionPtr revIDLastSave="0" documentId="13_ncr:1_{69E0B95A-F85E-45DE-B958-D04B311C0517}" xr6:coauthVersionLast="43" xr6:coauthVersionMax="43" xr10:uidLastSave="{00000000-0000-0000-0000-000000000000}"/>
  <bookViews>
    <workbookView xWindow="-120" yWindow="-120" windowWidth="24240" windowHeight="13140" firstSheet="4" activeTab="6" xr2:uid="{00000000-000D-0000-FFFF-FFFF00000000}"/>
  </bookViews>
  <sheets>
    <sheet name="E N E R O   2019   " sheetId="1" r:id="rId1"/>
    <sheet name="SALIDAS  ENERO  2019  " sheetId="2" r:id="rId2"/>
    <sheet name="F E B R E R O     2019   " sheetId="3" r:id="rId3"/>
    <sheet name="SALIDAS  FEBRERO  2019   " sheetId="4" r:id="rId4"/>
    <sheet name="M A R Z O    2019    " sheetId="5" r:id="rId5"/>
    <sheet name="SALIDAS  MARZO   2019   " sheetId="6" r:id="rId6"/>
    <sheet name="ABRIL    2019      " sheetId="7" r:id="rId7"/>
    <sheet name="SALIDAS  ABRIL   2019   " sheetId="8" r:id="rId8"/>
    <sheet name="Hoja5" sheetId="13" r:id="rId9"/>
    <sheet name="Hoja6" sheetId="14" r:id="rId10"/>
    <sheet name="Hoja9" sheetId="15" r:id="rId11"/>
    <sheet name="Hoja10" sheetId="16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1" i="7" l="1"/>
  <c r="H41" i="7"/>
  <c r="L40" i="7" l="1"/>
  <c r="L39" i="7" l="1"/>
  <c r="L36" i="7"/>
  <c r="L35" i="7"/>
  <c r="F42" i="8" l="1"/>
  <c r="F43" i="8"/>
  <c r="F44" i="8"/>
  <c r="F45" i="8"/>
  <c r="F46" i="8"/>
  <c r="F47" i="8"/>
  <c r="F48" i="8"/>
  <c r="L31" i="7" l="1"/>
  <c r="L30" i="7"/>
  <c r="L27" i="7"/>
  <c r="L23" i="7"/>
  <c r="F29" i="8" l="1"/>
  <c r="F30" i="8"/>
  <c r="F31" i="8"/>
  <c r="F32" i="8"/>
  <c r="F33" i="8"/>
  <c r="F34" i="8"/>
  <c r="F35" i="8"/>
  <c r="F36" i="8"/>
  <c r="F37" i="8"/>
  <c r="F38" i="8"/>
  <c r="F39" i="8"/>
  <c r="F40" i="8"/>
  <c r="F41" i="8"/>
  <c r="L21" i="7"/>
  <c r="L17" i="7"/>
  <c r="L15" i="7" l="1"/>
  <c r="L10" i="7"/>
  <c r="L5" i="7"/>
  <c r="E51" i="8" l="1"/>
  <c r="C51" i="8"/>
  <c r="F50" i="8"/>
  <c r="F4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J46" i="7"/>
  <c r="B41" i="7"/>
  <c r="K8" i="7"/>
  <c r="K41" i="7" s="1"/>
  <c r="J43" i="7" l="1"/>
  <c r="E44" i="7" s="1"/>
  <c r="E47" i="7" s="1"/>
  <c r="E49" i="7" s="1"/>
  <c r="J45" i="7" s="1"/>
  <c r="J47" i="7" s="1"/>
  <c r="F51" i="8"/>
  <c r="L21" i="5" l="1"/>
  <c r="L18" i="5" l="1"/>
  <c r="L14" i="5"/>
  <c r="L8" i="5" l="1"/>
  <c r="L5" i="5" l="1"/>
  <c r="L31" i="5" s="1"/>
  <c r="J37" i="5"/>
  <c r="E31" i="6"/>
  <c r="C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H32" i="5"/>
  <c r="E32" i="5"/>
  <c r="B32" i="5"/>
  <c r="K8" i="5"/>
  <c r="K32" i="5" s="1"/>
  <c r="J34" i="5" l="1"/>
  <c r="E35" i="5" s="1"/>
  <c r="E38" i="5" s="1"/>
  <c r="E40" i="5" s="1"/>
  <c r="J36" i="5" s="1"/>
  <c r="J38" i="5" s="1"/>
  <c r="F31" i="6"/>
  <c r="L6" i="3" l="1"/>
  <c r="L27" i="3" l="1"/>
  <c r="L25" i="3"/>
  <c r="L22" i="3"/>
  <c r="L20" i="3"/>
  <c r="L19" i="3"/>
  <c r="L18" i="3" l="1"/>
  <c r="L15" i="3"/>
  <c r="L13" i="3"/>
  <c r="L11" i="3" l="1"/>
  <c r="L8" i="3"/>
  <c r="L7" i="3"/>
  <c r="L32" i="3" s="1"/>
  <c r="E31" i="4" l="1"/>
  <c r="C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38" i="3"/>
  <c r="H33" i="3"/>
  <c r="E33" i="3"/>
  <c r="B33" i="3"/>
  <c r="K8" i="3"/>
  <c r="K33" i="3" s="1"/>
  <c r="J35" i="3" l="1"/>
  <c r="E36" i="3" s="1"/>
  <c r="F31" i="4"/>
  <c r="E39" i="3"/>
  <c r="E41" i="3" s="1"/>
  <c r="J37" i="3" s="1"/>
  <c r="J39" i="3" s="1"/>
  <c r="L37" i="1" l="1"/>
  <c r="F26" i="2" l="1"/>
  <c r="L34" i="1"/>
  <c r="L32" i="1"/>
  <c r="L30" i="1" l="1"/>
  <c r="L25" i="1"/>
  <c r="L23" i="1" l="1"/>
  <c r="L18" i="1" l="1"/>
  <c r="L17" i="1"/>
  <c r="L11" i="1" l="1"/>
  <c r="L10" i="1"/>
  <c r="L9" i="1"/>
  <c r="L7" i="1"/>
  <c r="L45" i="1" s="1"/>
  <c r="E44" i="2" l="1"/>
  <c r="C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J51" i="1"/>
  <c r="H46" i="1"/>
  <c r="E46" i="1"/>
  <c r="B46" i="1"/>
  <c r="K8" i="1"/>
  <c r="K46" i="1" s="1"/>
  <c r="F44" i="2" l="1"/>
  <c r="J48" i="1"/>
  <c r="E49" i="1" s="1"/>
  <c r="E52" i="1" s="1"/>
  <c r="E54" i="1" s="1"/>
  <c r="J50" i="1" s="1"/>
  <c r="J52" i="1" s="1"/>
</calcChain>
</file>

<file path=xl/sharedStrings.xml><?xml version="1.0" encoding="utf-8"?>
<sst xmlns="http://schemas.openxmlformats.org/spreadsheetml/2006/main" count="350" uniqueCount="201">
  <si>
    <t># 1</t>
  </si>
  <si>
    <t>INVENTARIO INICIAL</t>
  </si>
  <si>
    <t>FONDO DE CAJA FIJO  Ene-2017</t>
  </si>
  <si>
    <t xml:space="preserve">VENTAS  </t>
  </si>
  <si>
    <t>G  A  S   T  O  S</t>
  </si>
  <si>
    <t>BANCO</t>
  </si>
  <si>
    <t>TELEFONOS</t>
  </si>
  <si>
    <t>LUZ</t>
  </si>
  <si>
    <t>RENTA</t>
  </si>
  <si>
    <t>VACACIONES</t>
  </si>
  <si>
    <t>.</t>
  </si>
  <si>
    <t xml:space="preserve"> </t>
  </si>
  <si>
    <t>Mantenimiento</t>
  </si>
  <si>
    <t>Camara Comer</t>
  </si>
  <si>
    <t>Rev Basculas</t>
  </si>
  <si>
    <t>TOTAL</t>
  </si>
  <si>
    <t>GRAN TOTAL GASTOS</t>
  </si>
  <si>
    <t>VENTAS NETAS</t>
  </si>
  <si>
    <t>CREDITOS</t>
  </si>
  <si>
    <t>SUB TOTAL 2</t>
  </si>
  <si>
    <t>REMISION OBRADOR</t>
  </si>
  <si>
    <t>Sub Total 1</t>
  </si>
  <si>
    <t>INVENTARIO FINAL</t>
  </si>
  <si>
    <t xml:space="preserve">Sub Total </t>
  </si>
  <si>
    <t>NOMINA 01</t>
  </si>
  <si>
    <t>NOMINA 02</t>
  </si>
  <si>
    <t>NOMINA 03</t>
  </si>
  <si>
    <t>NOMINA 04</t>
  </si>
  <si>
    <t xml:space="preserve">BALANCE       DE      E N E R O            2 0 1 9     HERRADURA </t>
  </si>
  <si>
    <t>S A  L I D A S        HERRADURA</t>
  </si>
  <si>
    <t>FECHA</t>
  </si>
  <si>
    <t>#</t>
  </si>
  <si>
    <t>IMPORTE</t>
  </si>
  <si>
    <t>PAGO</t>
  </si>
  <si>
    <t>SALDO</t>
  </si>
  <si>
    <t>LA LUZ SE VENCE LOS        6 DE CADA BIMESTRE  ESTE ES         05-AGOSTO 2018</t>
  </si>
  <si>
    <t xml:space="preserve">SALIDAS PARA OBRADOR </t>
  </si>
  <si>
    <t>9-Ene,.29</t>
  </si>
  <si>
    <t>DIC--Ene</t>
  </si>
  <si>
    <t>238 B</t>
  </si>
  <si>
    <t>241 B</t>
  </si>
  <si>
    <t>248 B</t>
  </si>
  <si>
    <t>252 B</t>
  </si>
  <si>
    <t>261 B</t>
  </si>
  <si>
    <t>269 B</t>
  </si>
  <si>
    <t>263 B</t>
  </si>
  <si>
    <t>273 B</t>
  </si>
  <si>
    <t>279 B</t>
  </si>
  <si>
    <t>288 B</t>
  </si>
  <si>
    <t>292 B</t>
  </si>
  <si>
    <t>301 B</t>
  </si>
  <si>
    <t>302 B</t>
  </si>
  <si>
    <t>306 B</t>
  </si>
  <si>
    <t>307 B</t>
  </si>
  <si>
    <t>313 B</t>
  </si>
  <si>
    <t>318 B</t>
  </si>
  <si>
    <t>324 B</t>
  </si>
  <si>
    <t>325 B</t>
  </si>
  <si>
    <t>328 B</t>
  </si>
  <si>
    <t>336 B</t>
  </si>
  <si>
    <t>340 B</t>
  </si>
  <si>
    <t>341 B</t>
  </si>
  <si>
    <t>346 B</t>
  </si>
  <si>
    <t>348 B</t>
  </si>
  <si>
    <t>353 B</t>
  </si>
  <si>
    <t>356 B</t>
  </si>
  <si>
    <t>363 B</t>
  </si>
  <si>
    <t>367 B</t>
  </si>
  <si>
    <t>P</t>
  </si>
  <si>
    <t>372 B</t>
  </si>
  <si>
    <t>375 B</t>
  </si>
  <si>
    <t>382 B</t>
  </si>
  <si>
    <t>384 B</t>
  </si>
  <si>
    <t>388 B</t>
  </si>
  <si>
    <t>392 B</t>
  </si>
  <si>
    <t>399 B</t>
  </si>
  <si>
    <t>402 B</t>
  </si>
  <si>
    <t>406 B</t>
  </si>
  <si>
    <t>412 B</t>
  </si>
  <si>
    <t>Fumigacion</t>
  </si>
  <si>
    <t>NOMINA  05</t>
  </si>
  <si>
    <t xml:space="preserve">BALANCE       DE      F E B R E R O             2 0 1 9     HERRADURA </t>
  </si>
  <si>
    <t>NOMINA 06</t>
  </si>
  <si>
    <t>NOMINA 07</t>
  </si>
  <si>
    <t>NOMINA 08</t>
  </si>
  <si>
    <t>NOMINA 09</t>
  </si>
  <si>
    <t>NOMINA  10</t>
  </si>
  <si>
    <t>COMPRAS</t>
  </si>
  <si>
    <t>GANANCIA</t>
  </si>
  <si>
    <t>415 B</t>
  </si>
  <si>
    <t>427 B</t>
  </si>
  <si>
    <t>434 B</t>
  </si>
  <si>
    <t>437 B</t>
  </si>
  <si>
    <t>439 B</t>
  </si>
  <si>
    <t>441 B</t>
  </si>
  <si>
    <t>449 B</t>
  </si>
  <si>
    <t>456 B</t>
  </si>
  <si>
    <t>458 B</t>
  </si>
  <si>
    <t>467 B</t>
  </si>
  <si>
    <t>472 B</t>
  </si>
  <si>
    <t>478 B</t>
  </si>
  <si>
    <t>484 B</t>
  </si>
  <si>
    <t>485 B</t>
  </si>
  <si>
    <t>488 B</t>
  </si>
  <si>
    <t>492 B</t>
  </si>
  <si>
    <t>500 B</t>
  </si>
  <si>
    <t>504 B</t>
  </si>
  <si>
    <t>507 B</t>
  </si>
  <si>
    <t>512 B</t>
  </si>
  <si>
    <t>523 B</t>
  </si>
  <si>
    <t>526 B</t>
  </si>
  <si>
    <t>533 B</t>
  </si>
  <si>
    <t xml:space="preserve">INVENTARIO FINAL  8 Marzo </t>
  </si>
  <si>
    <t>542 B</t>
  </si>
  <si>
    <t>548 B</t>
  </si>
  <si>
    <t>553 B</t>
  </si>
  <si>
    <t>FUMIGACION</t>
  </si>
  <si>
    <t>SOBRANTE</t>
  </si>
  <si>
    <t>FALTANTE</t>
  </si>
  <si>
    <t xml:space="preserve">BALANCE       DE      M A R Z O               2 0 1 9     HERRADURA </t>
  </si>
  <si>
    <t>NOMINA 10</t>
  </si>
  <si>
    <t>NOMINA 11</t>
  </si>
  <si>
    <t>NOMINA 12</t>
  </si>
  <si>
    <t>NOMINA 13</t>
  </si>
  <si>
    <t xml:space="preserve">INVENTARIO FINAL  </t>
  </si>
  <si>
    <t>567 B</t>
  </si>
  <si>
    <t>569 B</t>
  </si>
  <si>
    <t>572 B</t>
  </si>
  <si>
    <t>582 B</t>
  </si>
  <si>
    <t>585 B</t>
  </si>
  <si>
    <t>590 B</t>
  </si>
  <si>
    <t>602 B</t>
  </si>
  <si>
    <t>603 B</t>
  </si>
  <si>
    <t>608 B</t>
  </si>
  <si>
    <t>620 B</t>
  </si>
  <si>
    <t>624 B</t>
  </si>
  <si>
    <t>633 B</t>
  </si>
  <si>
    <t>637 B</t>
  </si>
  <si>
    <t>641 B</t>
  </si>
  <si>
    <t>649 B</t>
  </si>
  <si>
    <t>665 B</t>
  </si>
  <si>
    <t>672 B</t>
  </si>
  <si>
    <t>679 B</t>
  </si>
  <si>
    <t>684 B</t>
  </si>
  <si>
    <t>703 B</t>
  </si>
  <si>
    <t>705 B</t>
  </si>
  <si>
    <t>698 B</t>
  </si>
  <si>
    <t>718 B</t>
  </si>
  <si>
    <t xml:space="preserve">NOMINA  </t>
  </si>
  <si>
    <t>NOMINA 14</t>
  </si>
  <si>
    <t>NOMINA 15</t>
  </si>
  <si>
    <t>NOMINA 16</t>
  </si>
  <si>
    <t>NOMINA 17</t>
  </si>
  <si>
    <t xml:space="preserve">BALANCE       DE      A B R  I L                2 0 1 9     HERRADURA </t>
  </si>
  <si>
    <t>715 B</t>
  </si>
  <si>
    <t>733 B</t>
  </si>
  <si>
    <t>736 B</t>
  </si>
  <si>
    <t>742 B</t>
  </si>
  <si>
    <t>745 B</t>
  </si>
  <si>
    <t>746 B</t>
  </si>
  <si>
    <t>754 B</t>
  </si>
  <si>
    <t>755 B</t>
  </si>
  <si>
    <t>763 B</t>
  </si>
  <si>
    <t>780 B</t>
  </si>
  <si>
    <t>786B</t>
  </si>
  <si>
    <t>788 B</t>
  </si>
  <si>
    <t>798 B</t>
  </si>
  <si>
    <t>799 B</t>
  </si>
  <si>
    <t>804 B</t>
  </si>
  <si>
    <t>806B</t>
  </si>
  <si>
    <t>v.santo</t>
  </si>
  <si>
    <t>Viernes.Santo</t>
  </si>
  <si>
    <t>810 B</t>
  </si>
  <si>
    <t>811 B</t>
  </si>
  <si>
    <t>815 B</t>
  </si>
  <si>
    <t>820 B</t>
  </si>
  <si>
    <t>827 B</t>
  </si>
  <si>
    <t>835 B</t>
  </si>
  <si>
    <t>841 B</t>
  </si>
  <si>
    <t>855 B</t>
  </si>
  <si>
    <t>860 B</t>
  </si>
  <si>
    <t>870 B</t>
  </si>
  <si>
    <t>883 B</t>
  </si>
  <si>
    <t>894 B</t>
  </si>
  <si>
    <t>907 B</t>
  </si>
  <si>
    <t>917 B</t>
  </si>
  <si>
    <t>931 B</t>
  </si>
  <si>
    <t>918 B</t>
  </si>
  <si>
    <t>933 B</t>
  </si>
  <si>
    <t>941 B</t>
  </si>
  <si>
    <t>947 B</t>
  </si>
  <si>
    <t>962 B</t>
  </si>
  <si>
    <t>964 B</t>
  </si>
  <si>
    <t>972 B</t>
  </si>
  <si>
    <t>973 B</t>
  </si>
  <si>
    <t>404 B</t>
  </si>
  <si>
    <t>CENTRAL</t>
  </si>
  <si>
    <t xml:space="preserve">     2,Mayo</t>
  </si>
  <si>
    <t>NOMINA  18</t>
  </si>
  <si>
    <t>982 B</t>
  </si>
  <si>
    <t>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</si>
</sst>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theme="1"/>
      <name val="Calibri Light"/>
      <family val="2"/>
      <scheme val="major"/>
    </font>
    <font>
      <b/>
      <sz val="10"/>
      <color theme="5" tint="-0.249977111117893"/>
      <name val="Calibri"/>
      <family val="2"/>
      <scheme val="minor"/>
    </font>
    <font>
      <b/>
      <sz val="11"/>
      <color theme="1"/>
      <name val="Wingdings 2"/>
      <family val="1"/>
      <charset val="2"/>
    </font>
    <font>
      <b/>
      <sz val="10"/>
      <color rgb="FFC00000"/>
      <name val="Calibri"/>
      <family val="2"/>
      <scheme val="minor"/>
    </font>
    <font>
      <b/>
      <i/>
      <u/>
      <sz val="11"/>
      <color rgb="FF0000FF"/>
      <name val="Calibri Light"/>
      <family val="2"/>
      <scheme val="major"/>
    </font>
    <font>
      <b/>
      <sz val="11"/>
      <color rgb="FF0000FF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4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44" fontId="4" fillId="2" borderId="0" xfId="1" applyFont="1" applyFill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44" fontId="5" fillId="0" borderId="2" xfId="1" applyFont="1" applyBorder="1"/>
    <xf numFmtId="165" fontId="5" fillId="0" borderId="0" xfId="0" applyNumberFormat="1" applyFont="1"/>
    <xf numFmtId="44" fontId="9" fillId="0" borderId="7" xfId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8" xfId="0" applyNumberFormat="1" applyFont="1" applyBorder="1" applyAlignment="1">
      <alignment horizontal="center"/>
    </xf>
    <xf numFmtId="44" fontId="2" fillId="0" borderId="9" xfId="1" applyFont="1" applyBorder="1"/>
    <xf numFmtId="15" fontId="2" fillId="0" borderId="10" xfId="0" applyNumberFormat="1" applyFont="1" applyBorder="1" applyAlignment="1">
      <alignment horizontal="center"/>
    </xf>
    <xf numFmtId="44" fontId="2" fillId="0" borderId="11" xfId="1" applyFont="1" applyBorder="1"/>
    <xf numFmtId="0" fontId="1" fillId="0" borderId="0" xfId="0" applyFont="1"/>
    <xf numFmtId="15" fontId="2" fillId="0" borderId="12" xfId="0" applyNumberFormat="1" applyFont="1" applyBorder="1" applyAlignment="1">
      <alignment horizontal="center"/>
    </xf>
    <xf numFmtId="44" fontId="2" fillId="0" borderId="14" xfId="1" applyFont="1" applyBorder="1"/>
    <xf numFmtId="0" fontId="2" fillId="0" borderId="14" xfId="0" applyFont="1" applyBorder="1"/>
    <xf numFmtId="44" fontId="7" fillId="0" borderId="15" xfId="1" applyFont="1" applyBorder="1" applyAlignment="1">
      <alignment horizontal="center"/>
    </xf>
    <xf numFmtId="0" fontId="2" fillId="0" borderId="0" xfId="0" applyFont="1" applyAlignment="1">
      <alignment horizontal="left"/>
    </xf>
    <xf numFmtId="164" fontId="2" fillId="0" borderId="16" xfId="0" applyNumberFormat="1" applyFont="1" applyBorder="1" applyAlignment="1">
      <alignment horizontal="center"/>
    </xf>
    <xf numFmtId="165" fontId="0" fillId="0" borderId="0" xfId="0" applyNumberFormat="1"/>
    <xf numFmtId="44" fontId="2" fillId="0" borderId="17" xfId="1" applyFont="1" applyBorder="1"/>
    <xf numFmtId="44" fontId="2" fillId="0" borderId="0" xfId="1" applyFont="1"/>
    <xf numFmtId="165" fontId="2" fillId="0" borderId="0" xfId="0" applyNumberFormat="1" applyFont="1"/>
    <xf numFmtId="15" fontId="10" fillId="0" borderId="0" xfId="1" applyNumberFormat="1" applyFont="1"/>
    <xf numFmtId="0" fontId="2" fillId="4" borderId="0" xfId="0" applyFont="1" applyFill="1"/>
    <xf numFmtId="165" fontId="2" fillId="5" borderId="0" xfId="0" applyNumberFormat="1" applyFont="1" applyFill="1"/>
    <xf numFmtId="44" fontId="2" fillId="0" borderId="0" xfId="1" applyFont="1" applyAlignment="1">
      <alignment horizontal="left"/>
    </xf>
    <xf numFmtId="165" fontId="11" fillId="0" borderId="0" xfId="0" applyNumberFormat="1" applyFont="1"/>
    <xf numFmtId="165" fontId="2" fillId="6" borderId="0" xfId="0" applyNumberFormat="1" applyFont="1" applyFill="1"/>
    <xf numFmtId="165" fontId="12" fillId="0" borderId="0" xfId="0" applyNumberFormat="1" applyFont="1"/>
    <xf numFmtId="17" fontId="13" fillId="0" borderId="0" xfId="1" applyNumberFormat="1" applyFont="1" applyAlignment="1">
      <alignment horizontal="center"/>
    </xf>
    <xf numFmtId="44" fontId="10" fillId="0" borderId="0" xfId="1" applyFont="1" applyAlignment="1">
      <alignment horizontal="left"/>
    </xf>
    <xf numFmtId="44" fontId="14" fillId="0" borderId="0" xfId="1" applyFont="1" applyAlignment="1">
      <alignment horizontal="left"/>
    </xf>
    <xf numFmtId="16" fontId="2" fillId="0" borderId="0" xfId="1" applyNumberFormat="1" applyFont="1"/>
    <xf numFmtId="0" fontId="10" fillId="0" borderId="0" xfId="0" applyFont="1"/>
    <xf numFmtId="16" fontId="15" fillId="0" borderId="0" xfId="0" applyNumberFormat="1" applyFont="1" applyAlignment="1">
      <alignment horizontal="center"/>
    </xf>
    <xf numFmtId="0" fontId="14" fillId="0" borderId="0" xfId="0" applyFont="1"/>
    <xf numFmtId="44" fontId="2" fillId="0" borderId="18" xfId="1" applyFont="1" applyBorder="1"/>
    <xf numFmtId="44" fontId="7" fillId="0" borderId="0" xfId="1" applyFont="1" applyAlignment="1">
      <alignment horizontal="left"/>
    </xf>
    <xf numFmtId="165" fontId="16" fillId="0" borderId="0" xfId="0" applyNumberFormat="1" applyFont="1"/>
    <xf numFmtId="44" fontId="14" fillId="0" borderId="0" xfId="1" applyFont="1"/>
    <xf numFmtId="16" fontId="14" fillId="0" borderId="0" xfId="0" applyNumberFormat="1" applyFont="1"/>
    <xf numFmtId="16" fontId="12" fillId="0" borderId="19" xfId="0" applyNumberFormat="1" applyFont="1" applyBorder="1"/>
    <xf numFmtId="16" fontId="5" fillId="0" borderId="19" xfId="0" applyNumberFormat="1" applyFont="1" applyBorder="1"/>
    <xf numFmtId="16" fontId="2" fillId="0" borderId="19" xfId="0" applyNumberFormat="1" applyFont="1" applyBorder="1" applyAlignment="1">
      <alignment horizontal="left"/>
    </xf>
    <xf numFmtId="16" fontId="2" fillId="0" borderId="19" xfId="0" applyNumberFormat="1" applyFont="1" applyBorder="1"/>
    <xf numFmtId="0" fontId="14" fillId="0" borderId="19" xfId="0" applyFont="1" applyBorder="1"/>
    <xf numFmtId="164" fontId="2" fillId="0" borderId="19" xfId="0" applyNumberFormat="1" applyFont="1" applyBorder="1"/>
    <xf numFmtId="0" fontId="10" fillId="0" borderId="19" xfId="0" applyFont="1" applyBorder="1"/>
    <xf numFmtId="0" fontId="2" fillId="0" borderId="19" xfId="0" applyFont="1" applyBorder="1"/>
    <xf numFmtId="16" fontId="13" fillId="0" borderId="19" xfId="0" applyNumberFormat="1" applyFont="1" applyBorder="1"/>
    <xf numFmtId="164" fontId="13" fillId="0" borderId="20" xfId="0" applyNumberFormat="1" applyFont="1" applyBorder="1" applyAlignment="1">
      <alignment horizontal="center"/>
    </xf>
    <xf numFmtId="165" fontId="2" fillId="0" borderId="23" xfId="0" applyNumberFormat="1" applyFont="1" applyBorder="1"/>
    <xf numFmtId="44" fontId="7" fillId="0" borderId="0" xfId="1" applyFont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7" fillId="0" borderId="0" xfId="0" applyFont="1" applyAlignment="1">
      <alignment horizontal="center"/>
    </xf>
    <xf numFmtId="44" fontId="17" fillId="0" borderId="0" xfId="1" applyFont="1"/>
    <xf numFmtId="165" fontId="2" fillId="0" borderId="0" xfId="0" applyNumberFormat="1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44" fontId="19" fillId="0" borderId="0" xfId="1" applyFont="1"/>
    <xf numFmtId="44" fontId="19" fillId="0" borderId="0" xfId="1" applyFont="1" applyAlignment="1">
      <alignment horizontal="left"/>
    </xf>
    <xf numFmtId="44" fontId="0" fillId="0" borderId="28" xfId="1" applyFont="1" applyBorder="1"/>
    <xf numFmtId="44" fontId="2" fillId="0" borderId="29" xfId="1" applyFont="1" applyBorder="1"/>
    <xf numFmtId="0" fontId="0" fillId="0" borderId="29" xfId="0" applyBorder="1"/>
    <xf numFmtId="44" fontId="18" fillId="0" borderId="29" xfId="1" applyFont="1" applyBorder="1" applyAlignment="1">
      <alignment horizontal="center" vertical="center" wrapText="1"/>
    </xf>
    <xf numFmtId="0" fontId="2" fillId="0" borderId="29" xfId="0" applyFont="1" applyBorder="1"/>
    <xf numFmtId="0" fontId="2" fillId="0" borderId="30" xfId="0" applyFont="1" applyBorder="1"/>
    <xf numFmtId="44" fontId="0" fillId="0" borderId="18" xfId="1" applyFont="1" applyBorder="1"/>
    <xf numFmtId="44" fontId="2" fillId="0" borderId="31" xfId="1" applyFont="1" applyBorder="1"/>
    <xf numFmtId="0" fontId="6" fillId="0" borderId="0" xfId="0" applyFont="1" applyAlignment="1">
      <alignment horizontal="center"/>
    </xf>
    <xf numFmtId="44" fontId="20" fillId="0" borderId="1" xfId="1" applyFont="1" applyBorder="1"/>
    <xf numFmtId="44" fontId="0" fillId="0" borderId="24" xfId="1" applyFont="1" applyBorder="1"/>
    <xf numFmtId="0" fontId="5" fillId="0" borderId="1" xfId="0" applyFont="1" applyBorder="1"/>
    <xf numFmtId="44" fontId="5" fillId="0" borderId="1" xfId="1" applyFont="1" applyBorder="1"/>
    <xf numFmtId="0" fontId="0" fillId="0" borderId="1" xfId="0" applyBorder="1"/>
    <xf numFmtId="44" fontId="0" fillId="0" borderId="1" xfId="1" applyFont="1" applyBorder="1"/>
    <xf numFmtId="0" fontId="8" fillId="0" borderId="1" xfId="0" applyFont="1" applyBorder="1" applyAlignment="1">
      <alignment vertical="center"/>
    </xf>
    <xf numFmtId="1" fontId="2" fillId="0" borderId="0" xfId="0" applyNumberFormat="1" applyFont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44" fontId="7" fillId="0" borderId="20" xfId="1" applyFont="1" applyBorder="1" applyAlignment="1">
      <alignment horizontal="center"/>
    </xf>
    <xf numFmtId="44" fontId="7" fillId="0" borderId="4" xfId="1" applyFont="1" applyBorder="1" applyAlignment="1">
      <alignment horizontal="center"/>
    </xf>
    <xf numFmtId="164" fontId="2" fillId="0" borderId="33" xfId="0" applyNumberFormat="1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44" fontId="19" fillId="0" borderId="34" xfId="1" applyFont="1" applyBorder="1"/>
    <xf numFmtId="164" fontId="2" fillId="0" borderId="0" xfId="0" applyNumberFormat="1" applyFont="1"/>
    <xf numFmtId="44" fontId="22" fillId="0" borderId="35" xfId="1" applyFont="1" applyBorder="1"/>
    <xf numFmtId="44" fontId="19" fillId="0" borderId="36" xfId="1" applyFont="1" applyBorder="1"/>
    <xf numFmtId="44" fontId="2" fillId="0" borderId="37" xfId="1" applyFont="1" applyBorder="1"/>
    <xf numFmtId="164" fontId="2" fillId="0" borderId="15" xfId="0" applyNumberFormat="1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44" fontId="22" fillId="0" borderId="37" xfId="1" applyFont="1" applyBorder="1"/>
    <xf numFmtId="0" fontId="21" fillId="0" borderId="36" xfId="0" applyFont="1" applyBorder="1" applyAlignment="1">
      <alignment horizontal="center" wrapText="1"/>
    </xf>
    <xf numFmtId="164" fontId="2" fillId="0" borderId="38" xfId="0" applyNumberFormat="1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164" fontId="7" fillId="4" borderId="39" xfId="0" applyNumberFormat="1" applyFont="1" applyFill="1" applyBorder="1"/>
    <xf numFmtId="164" fontId="7" fillId="4" borderId="40" xfId="0" applyNumberFormat="1" applyFont="1" applyFill="1" applyBorder="1"/>
    <xf numFmtId="44" fontId="2" fillId="4" borderId="38" xfId="1" applyFont="1" applyFill="1" applyBorder="1"/>
    <xf numFmtId="0" fontId="0" fillId="4" borderId="38" xfId="0" applyFill="1" applyBorder="1"/>
    <xf numFmtId="44" fontId="7" fillId="4" borderId="38" xfId="1" applyFont="1" applyFill="1" applyBorder="1"/>
    <xf numFmtId="44" fontId="7" fillId="0" borderId="38" xfId="0" applyNumberFormat="1" applyFont="1" applyBorder="1"/>
    <xf numFmtId="0" fontId="7" fillId="0" borderId="41" xfId="0" applyFont="1" applyBorder="1"/>
    <xf numFmtId="0" fontId="7" fillId="0" borderId="42" xfId="0" applyFont="1" applyBorder="1"/>
    <xf numFmtId="44" fontId="7" fillId="0" borderId="42" xfId="0" applyNumberFormat="1" applyFont="1" applyBorder="1"/>
    <xf numFmtId="44" fontId="8" fillId="0" borderId="42" xfId="0" applyNumberFormat="1" applyFont="1" applyBorder="1"/>
    <xf numFmtId="0" fontId="7" fillId="0" borderId="0" xfId="0" applyFont="1"/>
    <xf numFmtId="44" fontId="2" fillId="8" borderId="11" xfId="1" applyFont="1" applyFill="1" applyBorder="1"/>
    <xf numFmtId="44" fontId="2" fillId="8" borderId="13" xfId="1" applyFont="1" applyFill="1" applyBorder="1"/>
    <xf numFmtId="44" fontId="7" fillId="8" borderId="15" xfId="1" applyFont="1" applyFill="1" applyBorder="1" applyAlignment="1">
      <alignment horizontal="center"/>
    </xf>
    <xf numFmtId="164" fontId="25" fillId="0" borderId="0" xfId="0" applyNumberFormat="1" applyFont="1"/>
    <xf numFmtId="44" fontId="2" fillId="0" borderId="43" xfId="1" applyFont="1" applyBorder="1"/>
    <xf numFmtId="44" fontId="2" fillId="0" borderId="22" xfId="1" applyFont="1" applyBorder="1"/>
    <xf numFmtId="164" fontId="24" fillId="0" borderId="1" xfId="0" applyNumberFormat="1" applyFont="1" applyBorder="1" applyAlignment="1">
      <alignment wrapText="1"/>
    </xf>
    <xf numFmtId="15" fontId="5" fillId="9" borderId="10" xfId="0" applyNumberFormat="1" applyFont="1" applyFill="1" applyBorder="1" applyAlignment="1">
      <alignment horizontal="center"/>
    </xf>
    <xf numFmtId="15" fontId="5" fillId="9" borderId="12" xfId="0" applyNumberFormat="1" applyFont="1" applyFill="1" applyBorder="1" applyAlignment="1">
      <alignment horizontal="center"/>
    </xf>
    <xf numFmtId="0" fontId="27" fillId="0" borderId="26" xfId="0" applyFont="1" applyBorder="1" applyAlignment="1">
      <alignment horizontal="center"/>
    </xf>
    <xf numFmtId="44" fontId="28" fillId="0" borderId="36" xfId="1" applyFont="1" applyBorder="1"/>
    <xf numFmtId="164" fontId="5" fillId="9" borderId="38" xfId="0" applyNumberFormat="1" applyFont="1" applyFill="1" applyBorder="1" applyAlignment="1">
      <alignment horizontal="center"/>
    </xf>
    <xf numFmtId="16" fontId="13" fillId="0" borderId="0" xfId="1" applyNumberFormat="1" applyFont="1" applyAlignment="1">
      <alignment horizontal="center"/>
    </xf>
    <xf numFmtId="16" fontId="13" fillId="0" borderId="0" xfId="1" applyNumberFormat="1" applyFont="1"/>
    <xf numFmtId="15" fontId="5" fillId="9" borderId="44" xfId="0" applyNumberFormat="1" applyFont="1" applyFill="1" applyBorder="1" applyAlignment="1">
      <alignment horizontal="center"/>
    </xf>
    <xf numFmtId="15" fontId="0" fillId="0" borderId="15" xfId="0" applyNumberFormat="1" applyBorder="1"/>
    <xf numFmtId="0" fontId="2" fillId="0" borderId="36" xfId="0" applyFont="1" applyBorder="1"/>
    <xf numFmtId="0" fontId="0" fillId="0" borderId="37" xfId="0" applyBorder="1"/>
    <xf numFmtId="44" fontId="2" fillId="0" borderId="45" xfId="1" applyFont="1" applyBorder="1"/>
    <xf numFmtId="44" fontId="0" fillId="0" borderId="38" xfId="1" applyFont="1" applyBorder="1"/>
    <xf numFmtId="44" fontId="2" fillId="0" borderId="13" xfId="1" applyFont="1" applyBorder="1"/>
    <xf numFmtId="15" fontId="2" fillId="5" borderId="10" xfId="0" applyNumberFormat="1" applyFont="1" applyFill="1" applyBorder="1" applyAlignment="1">
      <alignment horizontal="center"/>
    </xf>
    <xf numFmtId="15" fontId="2" fillId="5" borderId="12" xfId="0" applyNumberFormat="1" applyFont="1" applyFill="1" applyBorder="1" applyAlignment="1">
      <alignment horizontal="center"/>
    </xf>
    <xf numFmtId="44" fontId="8" fillId="0" borderId="45" xfId="1" applyFont="1" applyBorder="1" applyAlignment="1">
      <alignment horizontal="center"/>
    </xf>
    <xf numFmtId="44" fontId="7" fillId="9" borderId="0" xfId="1" applyFont="1" applyFill="1" applyAlignment="1">
      <alignment horizontal="left"/>
    </xf>
    <xf numFmtId="44" fontId="30" fillId="0" borderId="0" xfId="1" applyFont="1" applyAlignment="1">
      <alignment horizontal="left"/>
    </xf>
    <xf numFmtId="44" fontId="5" fillId="0" borderId="0" xfId="1" applyFont="1" applyAlignment="1">
      <alignment horizontal="left"/>
    </xf>
    <xf numFmtId="166" fontId="5" fillId="0" borderId="0" xfId="0" applyNumberFormat="1" applyFont="1"/>
    <xf numFmtId="44" fontId="7" fillId="0" borderId="15" xfId="1" applyFont="1" applyFill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0" fontId="21" fillId="0" borderId="36" xfId="0" applyFont="1" applyFill="1" applyBorder="1" applyAlignment="1">
      <alignment horizontal="center" wrapText="1"/>
    </xf>
    <xf numFmtId="0" fontId="23" fillId="0" borderId="2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44" fontId="7" fillId="5" borderId="15" xfId="1" applyFont="1" applyFill="1" applyBorder="1" applyAlignment="1">
      <alignment horizontal="center"/>
    </xf>
    <xf numFmtId="44" fontId="0" fillId="0" borderId="0" xfId="1" applyFont="1" applyFill="1"/>
    <xf numFmtId="0" fontId="0" fillId="0" borderId="0" xfId="0" applyFill="1"/>
    <xf numFmtId="44" fontId="2" fillId="0" borderId="0" xfId="1" applyFont="1" applyFill="1"/>
    <xf numFmtId="44" fontId="0" fillId="0" borderId="0" xfId="1" applyFont="1" applyFill="1" applyBorder="1"/>
    <xf numFmtId="44" fontId="0" fillId="0" borderId="46" xfId="1" applyFont="1" applyBorder="1"/>
    <xf numFmtId="44" fontId="2" fillId="0" borderId="48" xfId="1" applyFont="1" applyBorder="1"/>
    <xf numFmtId="44" fontId="2" fillId="0" borderId="47" xfId="1" applyFont="1" applyBorder="1"/>
    <xf numFmtId="16" fontId="21" fillId="0" borderId="34" xfId="0" applyNumberFormat="1" applyFont="1" applyBorder="1" applyAlignment="1">
      <alignment horizontal="center"/>
    </xf>
    <xf numFmtId="44" fontId="7" fillId="11" borderId="15" xfId="1" applyFont="1" applyFill="1" applyBorder="1" applyAlignment="1">
      <alignment horizontal="center"/>
    </xf>
    <xf numFmtId="44" fontId="2" fillId="11" borderId="11" xfId="1" applyFont="1" applyFill="1" applyBorder="1"/>
    <xf numFmtId="44" fontId="2" fillId="11" borderId="17" xfId="1" applyFont="1" applyFill="1" applyBorder="1"/>
    <xf numFmtId="44" fontId="2" fillId="0" borderId="17" xfId="1" applyFont="1" applyFill="1" applyBorder="1"/>
    <xf numFmtId="0" fontId="31" fillId="0" borderId="0" xfId="0" applyFont="1"/>
    <xf numFmtId="44" fontId="31" fillId="0" borderId="0" xfId="1" applyFont="1"/>
    <xf numFmtId="44" fontId="19" fillId="0" borderId="36" xfId="1" applyFont="1" applyFill="1" applyBorder="1"/>
    <xf numFmtId="164" fontId="2" fillId="12" borderId="0" xfId="0" applyNumberFormat="1" applyFont="1" applyFill="1"/>
    <xf numFmtId="44" fontId="8" fillId="9" borderId="45" xfId="1" applyFont="1" applyFill="1" applyBorder="1" applyAlignment="1">
      <alignment horizontal="center"/>
    </xf>
    <xf numFmtId="16" fontId="2" fillId="0" borderId="18" xfId="1" applyNumberFormat="1" applyFont="1" applyBorder="1"/>
    <xf numFmtId="0" fontId="13" fillId="0" borderId="0" xfId="0" applyFont="1"/>
    <xf numFmtId="44" fontId="0" fillId="0" borderId="0" xfId="1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44" fontId="5" fillId="0" borderId="0" xfId="1" applyFont="1" applyFill="1" applyAlignment="1">
      <alignment horizontal="left"/>
    </xf>
    <xf numFmtId="44" fontId="2" fillId="0" borderId="0" xfId="1" applyFont="1" applyFill="1" applyAlignment="1">
      <alignment horizontal="left"/>
    </xf>
    <xf numFmtId="44" fontId="10" fillId="0" borderId="0" xfId="1" applyFont="1" applyFill="1" applyAlignment="1">
      <alignment horizontal="left"/>
    </xf>
    <xf numFmtId="44" fontId="14" fillId="0" borderId="0" xfId="1" applyFont="1" applyFill="1" applyAlignment="1">
      <alignment horizontal="left"/>
    </xf>
    <xf numFmtId="44" fontId="7" fillId="0" borderId="0" xfId="1" applyFont="1" applyFill="1" applyAlignment="1">
      <alignment horizontal="left"/>
    </xf>
    <xf numFmtId="44" fontId="19" fillId="0" borderId="0" xfId="1" applyFont="1" applyFill="1" applyAlignment="1">
      <alignment horizontal="left"/>
    </xf>
    <xf numFmtId="44" fontId="7" fillId="0" borderId="0" xfId="1" applyFont="1" applyFill="1" applyBorder="1" applyAlignment="1">
      <alignment horizontal="center"/>
    </xf>
    <xf numFmtId="44" fontId="2" fillId="0" borderId="11" xfId="1" applyFont="1" applyFill="1" applyBorder="1"/>
    <xf numFmtId="0" fontId="8" fillId="5" borderId="0" xfId="0" applyFont="1" applyFill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44" fontId="8" fillId="5" borderId="3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44" fontId="7" fillId="0" borderId="0" xfId="1" applyFont="1" applyAlignment="1">
      <alignment horizontal="center"/>
    </xf>
    <xf numFmtId="44" fontId="7" fillId="0" borderId="21" xfId="1" applyFont="1" applyBorder="1" applyAlignment="1">
      <alignment horizontal="center"/>
    </xf>
    <xf numFmtId="44" fontId="7" fillId="0" borderId="1" xfId="1" applyFont="1" applyBorder="1" applyAlignment="1">
      <alignment horizontal="center" vertical="center"/>
    </xf>
    <xf numFmtId="44" fontId="7" fillId="0" borderId="25" xfId="1" applyFont="1" applyBorder="1" applyAlignment="1">
      <alignment horizontal="center" vertical="center"/>
    </xf>
    <xf numFmtId="165" fontId="18" fillId="0" borderId="26" xfId="0" applyNumberFormat="1" applyFont="1" applyBorder="1" applyAlignment="1">
      <alignment horizontal="center" vertical="center" wrapText="1"/>
    </xf>
    <xf numFmtId="165" fontId="18" fillId="0" borderId="27" xfId="0" applyNumberFormat="1" applyFont="1" applyBorder="1" applyAlignment="1">
      <alignment horizontal="center" vertical="center" wrapText="1"/>
    </xf>
    <xf numFmtId="165" fontId="18" fillId="0" borderId="27" xfId="0" applyNumberFormat="1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165" fontId="18" fillId="0" borderId="29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31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3" fillId="0" borderId="0" xfId="0" applyFont="1"/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44" fontId="26" fillId="0" borderId="0" xfId="1" applyFont="1" applyAlignment="1">
      <alignment horizontal="center"/>
    </xf>
    <xf numFmtId="44" fontId="26" fillId="0" borderId="21" xfId="1" applyFont="1" applyBorder="1" applyAlignment="1">
      <alignment horizontal="center"/>
    </xf>
    <xf numFmtId="44" fontId="8" fillId="0" borderId="28" xfId="1" applyFont="1" applyBorder="1" applyAlignment="1">
      <alignment horizontal="center"/>
    </xf>
    <xf numFmtId="44" fontId="8" fillId="0" borderId="29" xfId="1" applyFont="1" applyBorder="1" applyAlignment="1">
      <alignment horizontal="center"/>
    </xf>
    <xf numFmtId="44" fontId="8" fillId="0" borderId="30" xfId="1" applyFont="1" applyBorder="1" applyAlignment="1">
      <alignment horizontal="center"/>
    </xf>
    <xf numFmtId="0" fontId="8" fillId="7" borderId="28" xfId="0" applyFont="1" applyFill="1" applyBorder="1" applyAlignment="1">
      <alignment horizontal="center" wrapText="1"/>
    </xf>
    <xf numFmtId="0" fontId="8" fillId="7" borderId="29" xfId="0" applyFont="1" applyFill="1" applyBorder="1" applyAlignment="1">
      <alignment horizontal="center" wrapText="1"/>
    </xf>
    <xf numFmtId="0" fontId="8" fillId="7" borderId="30" xfId="0" applyFont="1" applyFill="1" applyBorder="1" applyAlignment="1">
      <alignment horizontal="center" wrapText="1"/>
    </xf>
    <xf numFmtId="0" fontId="8" fillId="7" borderId="18" xfId="0" applyFont="1" applyFill="1" applyBorder="1" applyAlignment="1">
      <alignment horizontal="center" wrapText="1"/>
    </xf>
    <xf numFmtId="0" fontId="8" fillId="7" borderId="0" xfId="0" applyFont="1" applyFill="1" applyAlignment="1">
      <alignment horizontal="center" wrapText="1"/>
    </xf>
    <xf numFmtId="0" fontId="8" fillId="7" borderId="21" xfId="0" applyFont="1" applyFill="1" applyBorder="1" applyAlignment="1">
      <alignment horizontal="center" wrapText="1"/>
    </xf>
    <xf numFmtId="0" fontId="8" fillId="7" borderId="24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0" fontId="8" fillId="7" borderId="25" xfId="0" applyFont="1" applyFill="1" applyBorder="1" applyAlignment="1">
      <alignment horizontal="center" wrapText="1"/>
    </xf>
    <xf numFmtId="164" fontId="29" fillId="10" borderId="1" xfId="0" applyNumberFormat="1" applyFont="1" applyFill="1" applyBorder="1" applyAlignment="1">
      <alignment horizontal="center"/>
    </xf>
    <xf numFmtId="164" fontId="29" fillId="10" borderId="25" xfId="0" applyNumberFormat="1" applyFont="1" applyFill="1" applyBorder="1" applyAlignment="1">
      <alignment horizontal="center"/>
    </xf>
    <xf numFmtId="0" fontId="8" fillId="13" borderId="0" xfId="0" applyFont="1" applyFill="1" applyAlignment="1">
      <alignment horizontal="center" vertical="center"/>
    </xf>
    <xf numFmtId="0" fontId="8" fillId="13" borderId="21" xfId="0" applyFont="1" applyFill="1" applyBorder="1" applyAlignment="1">
      <alignment horizontal="center" vertical="center"/>
    </xf>
    <xf numFmtId="44" fontId="8" fillId="13" borderId="3" xfId="0" applyNumberFormat="1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FF99FF"/>
      <color rgb="FF99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49</xdr:row>
      <xdr:rowOff>95250</xdr:rowOff>
    </xdr:from>
    <xdr:to>
      <xdr:col>7</xdr:col>
      <xdr:colOff>152400</xdr:colOff>
      <xdr:row>53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V="1">
          <a:off x="4171950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80E77997-A439-40E2-8B9D-14BD191E2255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B3D1189E-DA53-4B44-9C4B-0DD3DDDFB9D6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59ED4F97-1F09-479E-8DFE-0BF5F0462CB4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617E42AF-26F7-4CC1-AA06-FD2C39933D7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49AA388B-748A-47D8-A813-E65A64980969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D0A1D935-0B14-4989-967A-3BE8430B4325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A661666-66D0-4E21-BA83-57C7743D2FD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8156F191-BBE7-4539-BB21-83963F5C5550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87BB60FA-1BC1-4C1E-81B5-D04347251C74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3A068009-8F58-4609-9205-3492191A6FA1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E86DD7B8-FF6D-4A54-828A-0975F27D9DED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31080AF6-2006-4C83-B73E-32B7A1A5D3EC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F32FB860-175D-4064-8BD8-59BF490AB6C8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2CF9C31E-EB91-4534-B292-186662BB48F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D59C9AE7-2576-4707-BA53-E5AB702618F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FB1F5ACB-3151-487D-8BB9-BA7E0C00DA74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36</xdr:row>
      <xdr:rowOff>95250</xdr:rowOff>
    </xdr:from>
    <xdr:to>
      <xdr:col>7</xdr:col>
      <xdr:colOff>152400</xdr:colOff>
      <xdr:row>40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E58C8F5-F312-4752-A0CE-8198690E6776}"/>
            </a:ext>
          </a:extLst>
        </xdr:cNvPr>
        <xdr:cNvCxnSpPr/>
      </xdr:nvCxnSpPr>
      <xdr:spPr>
        <a:xfrm flipV="1">
          <a:off x="3569970" y="10283190"/>
          <a:ext cx="1443990" cy="79438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6D4B7376-BD8A-43C6-B4C1-D60584BDF94C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ED68DAD5-802A-4A5F-BDA7-72BA44B35427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1FE62042-E886-4E70-99BB-F9890E91B9A3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39AB7B84-41E1-4A56-BBCF-F1DB057DBE70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93584006-0AB3-4181-8DD1-899089D7F3F5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E69A0985-4FC2-4013-9F42-E89284DF4B5F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B41A8BE-32DA-4222-AA59-7408AB186FF1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46C43735-3325-4289-8AC2-17CD1F42C86B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C6DD8DB3-A4FB-4495-8F3D-550DC4DD9E95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D7B26876-4867-4D55-ADD2-CC03B9E9ABA7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9DF42BA6-7E75-49B6-B82B-4F3F7F25953D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CD4A41FD-2A31-415F-AD58-E8FE6EFB0AF3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269D076E-8AD3-4457-AB23-DFD1EC0B7480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3F6EE14C-44F3-486C-9E50-EE4D8D163159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79490B99-90B4-4F37-89A0-B5B0309E9756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7D31416C-6154-441D-830D-6ADAF1A87A70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95250</xdr:rowOff>
    </xdr:from>
    <xdr:to>
      <xdr:col>7</xdr:col>
      <xdr:colOff>152400</xdr:colOff>
      <xdr:row>39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92755E5D-1559-4702-9195-568086B5F252}"/>
            </a:ext>
          </a:extLst>
        </xdr:cNvPr>
        <xdr:cNvCxnSpPr/>
      </xdr:nvCxnSpPr>
      <xdr:spPr>
        <a:xfrm flipV="1">
          <a:off x="3486150" y="78009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BD26DB44-B168-46AE-AD9B-10A2EB18A2E4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71D9DB34-C45B-4427-8C1F-58FF1A6CF6FB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3BDC2A04-8325-4784-A455-A6C108B45E5B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535ED725-3BFB-435A-B496-E1D0849627BC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191A705F-23A9-4FE8-9D36-6A820E08893D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2617DD01-3050-4A53-95D6-3712F41869A8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F5D05C98-7CAF-4F4B-A7AC-16A4AFAC9A76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35453C7F-76F1-4C54-AC6B-D712F32DBF89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FBF17745-5DAB-4993-B896-7A52F3404EA3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CDBE311C-D3F9-4766-9DF3-180DF6A0E429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AC0D8F49-56AE-4E26-8424-E3814F6A5C48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E1539F69-A6F4-47A0-856A-DCE32248CB61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1AE2ADAB-CC4F-492E-913A-231DF4F1597E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430D694B-71FC-4C7C-80A3-D3053563D0BF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18A41E22-616F-4649-A907-B141F739902A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741C9633-31D4-4372-93CB-7061F15BCB71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44</xdr:row>
      <xdr:rowOff>95250</xdr:rowOff>
    </xdr:from>
    <xdr:to>
      <xdr:col>7</xdr:col>
      <xdr:colOff>152400</xdr:colOff>
      <xdr:row>48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B29390C-9B32-454D-9D3E-13F60B4F19D2}"/>
            </a:ext>
          </a:extLst>
        </xdr:cNvPr>
        <xdr:cNvCxnSpPr/>
      </xdr:nvCxnSpPr>
      <xdr:spPr>
        <a:xfrm flipV="1">
          <a:off x="3476625" y="759142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M58"/>
  <sheetViews>
    <sheetView workbookViewId="0">
      <selection activeCell="I7" sqref="I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0.42578125" style="14" customWidth="1"/>
  </cols>
  <sheetData>
    <row r="1" spans="1:13" ht="23.25" x14ac:dyDescent="0.35">
      <c r="A1" s="1"/>
      <c r="B1" s="197" t="s">
        <v>28</v>
      </c>
      <c r="C1" s="197"/>
      <c r="D1" s="197"/>
      <c r="E1" s="197"/>
      <c r="F1" s="197"/>
      <c r="G1" s="197"/>
      <c r="H1" s="197"/>
      <c r="I1" s="197"/>
      <c r="J1" s="197"/>
      <c r="L1" s="3" t="s">
        <v>0</v>
      </c>
      <c r="M1" s="4"/>
    </row>
    <row r="2" spans="1:13" x14ac:dyDescent="0.25">
      <c r="A2" s="1"/>
      <c r="B2" s="5"/>
      <c r="D2" s="7"/>
      <c r="E2" s="8"/>
      <c r="L2" s="9"/>
      <c r="M2" s="4"/>
    </row>
    <row r="3" spans="1:13" ht="19.5" customHeight="1" thickBot="1" x14ac:dyDescent="0.35">
      <c r="A3" s="204" t="s">
        <v>1</v>
      </c>
      <c r="B3" s="205"/>
      <c r="C3" s="10"/>
      <c r="D3" s="198" t="s">
        <v>2</v>
      </c>
      <c r="E3" s="198"/>
      <c r="F3" s="198"/>
      <c r="G3" s="199">
        <v>2000</v>
      </c>
      <c r="H3" s="199"/>
      <c r="I3" s="5"/>
      <c r="L3" s="9"/>
      <c r="M3" s="4"/>
    </row>
    <row r="4" spans="1:13" ht="20.25" thickTop="1" thickBot="1" x14ac:dyDescent="0.35">
      <c r="A4" s="120"/>
      <c r="B4" s="11">
        <v>227176.14</v>
      </c>
      <c r="C4" s="12"/>
      <c r="D4" s="200" t="s">
        <v>3</v>
      </c>
      <c r="E4" s="201"/>
      <c r="H4" s="202" t="s">
        <v>4</v>
      </c>
      <c r="I4" s="203"/>
      <c r="J4" s="203"/>
      <c r="K4" s="203"/>
      <c r="L4" s="13" t="s">
        <v>5</v>
      </c>
    </row>
    <row r="5" spans="1:13" ht="17.25" thickTop="1" thickBot="1" x14ac:dyDescent="0.3">
      <c r="A5" s="15"/>
      <c r="B5" s="16">
        <v>0</v>
      </c>
      <c r="C5" s="12"/>
      <c r="D5" s="17">
        <v>43466</v>
      </c>
      <c r="E5" s="114">
        <v>0</v>
      </c>
      <c r="F5" s="19"/>
      <c r="G5" s="20">
        <v>43466</v>
      </c>
      <c r="H5" s="115">
        <v>0</v>
      </c>
      <c r="I5" s="21"/>
      <c r="J5" s="22"/>
      <c r="K5" s="22"/>
      <c r="L5" s="116">
        <v>0</v>
      </c>
      <c r="M5" s="24"/>
    </row>
    <row r="6" spans="1:13" ht="16.5" thickBot="1" x14ac:dyDescent="0.3">
      <c r="A6" s="25"/>
      <c r="B6" s="16">
        <v>0</v>
      </c>
      <c r="C6" s="12"/>
      <c r="D6" s="17">
        <v>43467</v>
      </c>
      <c r="E6" s="18">
        <v>84416.43</v>
      </c>
      <c r="F6" s="26"/>
      <c r="G6" s="20">
        <v>43467</v>
      </c>
      <c r="H6" s="27">
        <v>0</v>
      </c>
      <c r="I6" s="28"/>
      <c r="J6" s="2" t="s">
        <v>6</v>
      </c>
      <c r="K6" s="29">
        <v>549</v>
      </c>
      <c r="L6" s="23">
        <v>101082</v>
      </c>
      <c r="M6" s="24"/>
    </row>
    <row r="7" spans="1:13" ht="16.5" thickBot="1" x14ac:dyDescent="0.3">
      <c r="A7" s="25"/>
      <c r="B7" s="16">
        <v>0</v>
      </c>
      <c r="C7" s="12"/>
      <c r="D7" s="17">
        <v>43468</v>
      </c>
      <c r="E7" s="18">
        <v>80838.84</v>
      </c>
      <c r="G7" s="20">
        <v>43468</v>
      </c>
      <c r="H7" s="27">
        <v>0</v>
      </c>
      <c r="I7" s="30">
        <v>43819</v>
      </c>
      <c r="J7" s="31" t="s">
        <v>7</v>
      </c>
      <c r="K7" s="32">
        <v>8629.5</v>
      </c>
      <c r="L7" s="23">
        <f>5000+75839</f>
        <v>80839</v>
      </c>
      <c r="M7" s="33"/>
    </row>
    <row r="8" spans="1:13" ht="16.5" thickBot="1" x14ac:dyDescent="0.3">
      <c r="A8" s="25"/>
      <c r="B8" s="16">
        <v>0</v>
      </c>
      <c r="C8" s="34"/>
      <c r="D8" s="17">
        <v>43469</v>
      </c>
      <c r="E8" s="18">
        <v>115317.32</v>
      </c>
      <c r="G8" s="20">
        <v>43469</v>
      </c>
      <c r="H8" s="27">
        <v>60</v>
      </c>
      <c r="I8" s="28"/>
      <c r="J8" s="2" t="s">
        <v>8</v>
      </c>
      <c r="K8" s="35">
        <f>7187.5+7187.5+7187.5+7187.5</f>
        <v>28750</v>
      </c>
      <c r="L8" s="23">
        <v>114387.5</v>
      </c>
      <c r="M8" s="33"/>
    </row>
    <row r="9" spans="1:13" ht="16.5" thickBot="1" x14ac:dyDescent="0.3">
      <c r="A9" s="25"/>
      <c r="B9" s="16">
        <v>0</v>
      </c>
      <c r="C9" s="36"/>
      <c r="D9" s="17">
        <v>43470</v>
      </c>
      <c r="E9" s="18">
        <v>99559.6</v>
      </c>
      <c r="G9" s="20">
        <v>43470</v>
      </c>
      <c r="H9" s="27">
        <v>0</v>
      </c>
      <c r="I9" s="126">
        <v>43471</v>
      </c>
      <c r="J9" s="2" t="s">
        <v>24</v>
      </c>
      <c r="K9" s="29">
        <v>10035.790000000001</v>
      </c>
      <c r="L9" s="23">
        <f>30000+30000+20000+19560</f>
        <v>99560</v>
      </c>
      <c r="M9" s="33"/>
    </row>
    <row r="10" spans="1:13" ht="16.5" thickBot="1" x14ac:dyDescent="0.3">
      <c r="A10" s="25"/>
      <c r="B10" s="16">
        <v>0</v>
      </c>
      <c r="C10" s="34"/>
      <c r="D10" s="17">
        <v>43471</v>
      </c>
      <c r="E10" s="18">
        <v>134376.01</v>
      </c>
      <c r="G10" s="20">
        <v>43471</v>
      </c>
      <c r="H10" s="27">
        <v>0</v>
      </c>
      <c r="I10" s="37">
        <v>43478</v>
      </c>
      <c r="J10" s="2" t="s">
        <v>25</v>
      </c>
      <c r="K10" s="29">
        <v>9150.08</v>
      </c>
      <c r="L10" s="23">
        <f>100000+25000+9376</f>
        <v>134376</v>
      </c>
      <c r="M10" s="38"/>
    </row>
    <row r="11" spans="1:13" ht="16.5" thickBot="1" x14ac:dyDescent="0.3">
      <c r="A11" s="25"/>
      <c r="B11" s="16">
        <v>0</v>
      </c>
      <c r="C11" s="34"/>
      <c r="D11" s="17">
        <v>43472</v>
      </c>
      <c r="E11" s="18">
        <v>105955.58</v>
      </c>
      <c r="G11" s="20">
        <v>43472</v>
      </c>
      <c r="H11" s="27">
        <v>0</v>
      </c>
      <c r="I11" s="127">
        <v>43485</v>
      </c>
      <c r="J11" s="2" t="s">
        <v>26</v>
      </c>
      <c r="K11" s="29">
        <v>9150.08</v>
      </c>
      <c r="L11" s="23">
        <f>96000+9955</f>
        <v>105955</v>
      </c>
      <c r="M11" s="33"/>
    </row>
    <row r="12" spans="1:13" ht="16.5" thickBot="1" x14ac:dyDescent="0.3">
      <c r="A12" s="25"/>
      <c r="B12" s="16">
        <v>0</v>
      </c>
      <c r="C12" s="34"/>
      <c r="D12" s="17">
        <v>43473</v>
      </c>
      <c r="E12" s="18">
        <v>43640.61</v>
      </c>
      <c r="G12" s="20">
        <v>43473</v>
      </c>
      <c r="H12" s="27">
        <v>0</v>
      </c>
      <c r="I12" s="127">
        <v>43492</v>
      </c>
      <c r="J12" s="2" t="s">
        <v>27</v>
      </c>
      <c r="K12" s="29">
        <v>9150.08</v>
      </c>
      <c r="L12" s="23">
        <v>43641</v>
      </c>
      <c r="M12" s="39"/>
    </row>
    <row r="13" spans="1:13" ht="16.5" thickBot="1" x14ac:dyDescent="0.3">
      <c r="A13" s="25"/>
      <c r="B13" s="16">
        <v>0</v>
      </c>
      <c r="C13" s="34"/>
      <c r="D13" s="17">
        <v>43474</v>
      </c>
      <c r="E13" s="18">
        <v>51366.68</v>
      </c>
      <c r="G13" s="20">
        <v>43474</v>
      </c>
      <c r="H13" s="27">
        <v>0</v>
      </c>
      <c r="I13" s="127">
        <v>43498</v>
      </c>
      <c r="J13" s="2" t="s">
        <v>80</v>
      </c>
      <c r="K13" s="29">
        <v>9150.08</v>
      </c>
      <c r="L13" s="23">
        <v>49567</v>
      </c>
      <c r="M13" s="33"/>
    </row>
    <row r="14" spans="1:13" ht="16.5" thickBot="1" x14ac:dyDescent="0.3">
      <c r="A14" s="25"/>
      <c r="B14" s="16">
        <v>0</v>
      </c>
      <c r="C14" s="36"/>
      <c r="D14" s="17">
        <v>43475</v>
      </c>
      <c r="E14" s="18">
        <v>45956.83</v>
      </c>
      <c r="G14" s="20">
        <v>43475</v>
      </c>
      <c r="H14" s="27">
        <v>0</v>
      </c>
      <c r="I14" s="40"/>
      <c r="J14" s="41" t="s">
        <v>9</v>
      </c>
      <c r="K14" s="29">
        <v>0</v>
      </c>
      <c r="L14" s="23">
        <v>45957</v>
      </c>
      <c r="M14" s="33"/>
    </row>
    <row r="15" spans="1:13" ht="16.5" thickBot="1" x14ac:dyDescent="0.3">
      <c r="A15" s="25"/>
      <c r="B15" s="16">
        <v>0</v>
      </c>
      <c r="C15" s="36"/>
      <c r="D15" s="17">
        <v>43476</v>
      </c>
      <c r="E15" s="18">
        <v>85642.86</v>
      </c>
      <c r="G15" s="20">
        <v>43476</v>
      </c>
      <c r="H15" s="27">
        <v>0</v>
      </c>
      <c r="I15" s="28"/>
      <c r="J15" s="42"/>
      <c r="K15" s="29">
        <v>0</v>
      </c>
      <c r="L15" s="23">
        <v>85583</v>
      </c>
      <c r="M15" s="33"/>
    </row>
    <row r="16" spans="1:13" ht="16.5" thickBot="1" x14ac:dyDescent="0.3">
      <c r="A16" s="25"/>
      <c r="B16" s="16">
        <v>0</v>
      </c>
      <c r="C16" s="36"/>
      <c r="D16" s="17">
        <v>43477</v>
      </c>
      <c r="E16" s="18">
        <v>73495.31</v>
      </c>
      <c r="G16" s="20">
        <v>43477</v>
      </c>
      <c r="H16" s="27">
        <v>0</v>
      </c>
      <c r="I16" s="28"/>
      <c r="J16" s="43"/>
      <c r="K16" s="8">
        <v>0</v>
      </c>
      <c r="L16" s="23">
        <v>73495.5</v>
      </c>
      <c r="M16" s="33"/>
    </row>
    <row r="17" spans="1:13" ht="16.5" thickBot="1" x14ac:dyDescent="0.3">
      <c r="A17" s="25"/>
      <c r="B17" s="16">
        <v>0</v>
      </c>
      <c r="C17" s="36"/>
      <c r="D17" s="17">
        <v>43478</v>
      </c>
      <c r="E17" s="18">
        <v>100182.14</v>
      </c>
      <c r="G17" s="20">
        <v>43478</v>
      </c>
      <c r="H17" s="27">
        <v>0</v>
      </c>
      <c r="I17" s="44"/>
      <c r="K17" s="8">
        <v>0</v>
      </c>
      <c r="L17" s="23">
        <f>99982+200</f>
        <v>100182</v>
      </c>
      <c r="M17" s="33"/>
    </row>
    <row r="18" spans="1:13" ht="16.5" thickBot="1" x14ac:dyDescent="0.3">
      <c r="A18" s="25"/>
      <c r="B18" s="16">
        <v>0</v>
      </c>
      <c r="C18" s="34"/>
      <c r="D18" s="17">
        <v>43479</v>
      </c>
      <c r="E18" s="18">
        <v>80505.06</v>
      </c>
      <c r="G18" s="20">
        <v>43479</v>
      </c>
      <c r="H18" s="27">
        <v>0</v>
      </c>
      <c r="I18" s="44"/>
      <c r="K18" s="8">
        <v>0</v>
      </c>
      <c r="L18" s="23">
        <f>56505.5+24000</f>
        <v>80505.5</v>
      </c>
      <c r="M18" s="33"/>
    </row>
    <row r="19" spans="1:13" ht="16.5" thickBot="1" x14ac:dyDescent="0.3">
      <c r="A19" s="25"/>
      <c r="B19" s="16">
        <v>0</v>
      </c>
      <c r="C19" s="36"/>
      <c r="D19" s="17">
        <v>43480</v>
      </c>
      <c r="E19" s="18">
        <v>38828.769999999997</v>
      </c>
      <c r="G19" s="20">
        <v>43480</v>
      </c>
      <c r="H19" s="27">
        <v>0</v>
      </c>
      <c r="I19" s="28"/>
      <c r="K19" s="8">
        <v>0</v>
      </c>
      <c r="L19" s="23">
        <v>38829</v>
      </c>
      <c r="M19" s="45"/>
    </row>
    <row r="20" spans="1:13" ht="16.5" thickBot="1" x14ac:dyDescent="0.3">
      <c r="A20" s="25"/>
      <c r="B20" s="16">
        <v>0</v>
      </c>
      <c r="C20" s="46"/>
      <c r="D20" s="17">
        <v>43481</v>
      </c>
      <c r="E20" s="18">
        <v>48948.94</v>
      </c>
      <c r="G20" s="20">
        <v>43481</v>
      </c>
      <c r="H20" s="27">
        <v>0</v>
      </c>
      <c r="I20" s="47"/>
      <c r="J20" s="48"/>
      <c r="K20" s="28" t="s">
        <v>10</v>
      </c>
      <c r="L20" s="23">
        <v>48949</v>
      </c>
      <c r="M20" s="45"/>
    </row>
    <row r="21" spans="1:13" ht="16.5" thickBot="1" x14ac:dyDescent="0.3">
      <c r="A21" s="25"/>
      <c r="B21" s="16">
        <v>0</v>
      </c>
      <c r="C21" s="46"/>
      <c r="D21" s="17">
        <v>43482</v>
      </c>
      <c r="E21" s="18">
        <v>67412.820000000007</v>
      </c>
      <c r="G21" s="20">
        <v>43482</v>
      </c>
      <c r="H21" s="27">
        <v>36</v>
      </c>
      <c r="I21" s="33"/>
      <c r="J21" s="49"/>
      <c r="K21" s="28"/>
      <c r="L21" s="23">
        <v>67377</v>
      </c>
      <c r="M21" s="33"/>
    </row>
    <row r="22" spans="1:13" ht="16.5" thickBot="1" x14ac:dyDescent="0.3">
      <c r="A22" s="25"/>
      <c r="B22" s="16">
        <v>0</v>
      </c>
      <c r="C22" s="36"/>
      <c r="D22" s="17">
        <v>43483</v>
      </c>
      <c r="E22" s="18">
        <v>60301.51</v>
      </c>
      <c r="G22" s="20">
        <v>43483</v>
      </c>
      <c r="H22" s="27">
        <v>30</v>
      </c>
      <c r="I22" s="47" t="s">
        <v>11</v>
      </c>
      <c r="J22" s="50"/>
      <c r="K22" s="28">
        <v>0</v>
      </c>
      <c r="L22" s="23">
        <v>60271.5</v>
      </c>
      <c r="M22" s="45"/>
    </row>
    <row r="23" spans="1:13" ht="16.5" thickBot="1" x14ac:dyDescent="0.3">
      <c r="A23" s="25"/>
      <c r="B23" s="16">
        <v>0</v>
      </c>
      <c r="C23" s="36"/>
      <c r="D23" s="17">
        <v>43484</v>
      </c>
      <c r="E23" s="18">
        <v>93345.64</v>
      </c>
      <c r="G23" s="20">
        <v>43484</v>
      </c>
      <c r="H23" s="27">
        <v>0</v>
      </c>
      <c r="I23" s="28"/>
      <c r="J23" s="49"/>
      <c r="K23" s="28">
        <v>0</v>
      </c>
      <c r="L23" s="23">
        <f>30000+63346</f>
        <v>93346</v>
      </c>
      <c r="M23" s="33"/>
    </row>
    <row r="24" spans="1:13" ht="16.5" thickBot="1" x14ac:dyDescent="0.3">
      <c r="A24" s="25"/>
      <c r="B24" s="16">
        <v>0</v>
      </c>
      <c r="C24" s="36"/>
      <c r="D24" s="17">
        <v>43485</v>
      </c>
      <c r="E24" s="18">
        <v>92560.52</v>
      </c>
      <c r="G24" s="20">
        <v>43485</v>
      </c>
      <c r="H24" s="27">
        <v>0</v>
      </c>
      <c r="I24" s="28"/>
      <c r="J24" s="51"/>
      <c r="K24" s="28">
        <v>0</v>
      </c>
      <c r="L24" s="23">
        <v>92560</v>
      </c>
      <c r="M24" s="33"/>
    </row>
    <row r="25" spans="1:13" ht="16.5" thickBot="1" x14ac:dyDescent="0.3">
      <c r="A25" s="25"/>
      <c r="B25" s="16">
        <v>0</v>
      </c>
      <c r="C25" s="46"/>
      <c r="D25" s="17">
        <v>43486</v>
      </c>
      <c r="E25" s="18">
        <v>79490.5</v>
      </c>
      <c r="G25" s="20">
        <v>43486</v>
      </c>
      <c r="H25" s="27">
        <v>115</v>
      </c>
      <c r="I25" s="28"/>
      <c r="J25" s="52"/>
      <c r="K25" s="28"/>
      <c r="L25" s="23">
        <f>50000+29375.5</f>
        <v>79375.5</v>
      </c>
      <c r="M25" s="33"/>
    </row>
    <row r="26" spans="1:13" ht="16.5" thickBot="1" x14ac:dyDescent="0.3">
      <c r="A26" s="25"/>
      <c r="B26" s="16">
        <v>0</v>
      </c>
      <c r="C26" s="36"/>
      <c r="D26" s="17">
        <v>43487</v>
      </c>
      <c r="E26" s="18">
        <v>54332.55</v>
      </c>
      <c r="G26" s="20">
        <v>43487</v>
      </c>
      <c r="H26" s="27">
        <v>0</v>
      </c>
      <c r="I26" s="28" t="s">
        <v>38</v>
      </c>
      <c r="J26" s="53" t="s">
        <v>12</v>
      </c>
      <c r="K26" s="28">
        <v>1800</v>
      </c>
      <c r="L26" s="23">
        <v>54332.5</v>
      </c>
      <c r="M26" s="33"/>
    </row>
    <row r="27" spans="1:13" ht="16.5" thickBot="1" x14ac:dyDescent="0.3">
      <c r="A27" s="25"/>
      <c r="B27" s="16">
        <v>0</v>
      </c>
      <c r="C27" s="36"/>
      <c r="D27" s="17">
        <v>43488</v>
      </c>
      <c r="E27" s="18">
        <v>42899.74</v>
      </c>
      <c r="G27" s="20">
        <v>43488</v>
      </c>
      <c r="H27" s="27">
        <v>0</v>
      </c>
      <c r="I27" s="28"/>
      <c r="J27" s="54" t="s">
        <v>37</v>
      </c>
      <c r="K27" s="28">
        <v>0</v>
      </c>
      <c r="L27" s="23">
        <v>42900</v>
      </c>
      <c r="M27" s="33"/>
    </row>
    <row r="28" spans="1:13" ht="16.5" thickBot="1" x14ac:dyDescent="0.3">
      <c r="A28" s="25"/>
      <c r="B28" s="16">
        <v>0</v>
      </c>
      <c r="C28" s="36"/>
      <c r="D28" s="17">
        <v>43489</v>
      </c>
      <c r="E28" s="18">
        <v>43197.56</v>
      </c>
      <c r="G28" s="20">
        <v>43489</v>
      </c>
      <c r="H28" s="27">
        <v>0</v>
      </c>
      <c r="I28" s="28"/>
      <c r="J28" s="55" t="s">
        <v>13</v>
      </c>
      <c r="K28" s="28">
        <v>0</v>
      </c>
      <c r="L28" s="23">
        <v>43197.5</v>
      </c>
      <c r="M28" s="33"/>
    </row>
    <row r="29" spans="1:13" ht="16.5" thickBot="1" x14ac:dyDescent="0.3">
      <c r="A29" s="25"/>
      <c r="B29" s="16">
        <v>0</v>
      </c>
      <c r="C29" s="36"/>
      <c r="D29" s="17">
        <v>43490</v>
      </c>
      <c r="E29" s="18">
        <v>89195.06</v>
      </c>
      <c r="G29" s="20">
        <v>43490</v>
      </c>
      <c r="H29" s="27">
        <v>10</v>
      </c>
      <c r="I29" s="28" t="s">
        <v>11</v>
      </c>
      <c r="J29" s="52"/>
      <c r="K29" s="28">
        <v>0</v>
      </c>
      <c r="L29" s="23">
        <v>89185</v>
      </c>
      <c r="M29" s="33"/>
    </row>
    <row r="30" spans="1:13" ht="16.5" thickBot="1" x14ac:dyDescent="0.3">
      <c r="A30" s="25"/>
      <c r="B30" s="16">
        <v>0</v>
      </c>
      <c r="C30" s="46"/>
      <c r="D30" s="17">
        <v>43491</v>
      </c>
      <c r="E30" s="18">
        <v>85520.61</v>
      </c>
      <c r="G30" s="20">
        <v>43491</v>
      </c>
      <c r="H30" s="27">
        <v>0</v>
      </c>
      <c r="I30" s="28"/>
      <c r="J30" s="56" t="s">
        <v>14</v>
      </c>
      <c r="K30" s="28">
        <v>0</v>
      </c>
      <c r="L30" s="23">
        <f>50520+35000</f>
        <v>85520</v>
      </c>
      <c r="M30" s="33"/>
    </row>
    <row r="31" spans="1:13" ht="16.5" thickBot="1" x14ac:dyDescent="0.3">
      <c r="A31" s="25"/>
      <c r="B31" s="16">
        <v>0</v>
      </c>
      <c r="C31" s="46"/>
      <c r="D31" s="17">
        <v>43492</v>
      </c>
      <c r="E31" s="18">
        <v>75669.960000000006</v>
      </c>
      <c r="G31" s="20">
        <v>43492</v>
      </c>
      <c r="H31" s="27">
        <v>0</v>
      </c>
      <c r="I31" s="40"/>
      <c r="J31" s="57"/>
      <c r="K31" s="28">
        <v>0</v>
      </c>
      <c r="L31" s="23">
        <v>75670</v>
      </c>
      <c r="M31" s="33"/>
    </row>
    <row r="32" spans="1:13" ht="16.5" thickBot="1" x14ac:dyDescent="0.3">
      <c r="A32" s="25"/>
      <c r="B32" s="16">
        <v>0</v>
      </c>
      <c r="C32" s="34"/>
      <c r="D32" s="17">
        <v>43493</v>
      </c>
      <c r="E32" s="18">
        <v>69835.350000000006</v>
      </c>
      <c r="G32" s="20">
        <v>43493</v>
      </c>
      <c r="H32" s="27">
        <v>90</v>
      </c>
      <c r="I32" s="40"/>
      <c r="J32" s="56"/>
      <c r="K32" s="29">
        <v>0</v>
      </c>
      <c r="L32" s="23">
        <f>49745+20000</f>
        <v>69745</v>
      </c>
      <c r="M32" s="33"/>
    </row>
    <row r="33" spans="1:13" ht="16.5" thickBot="1" x14ac:dyDescent="0.3">
      <c r="A33" s="25"/>
      <c r="B33" s="16">
        <v>0</v>
      </c>
      <c r="C33" s="34"/>
      <c r="D33" s="17">
        <v>43494</v>
      </c>
      <c r="E33" s="18">
        <v>49010.8</v>
      </c>
      <c r="G33" s="20">
        <v>43494</v>
      </c>
      <c r="H33" s="27">
        <v>0</v>
      </c>
      <c r="I33" s="28"/>
      <c r="J33" s="56"/>
      <c r="K33" s="29"/>
      <c r="L33" s="23">
        <v>49011</v>
      </c>
      <c r="M33" s="33"/>
    </row>
    <row r="34" spans="1:13" ht="16.5" thickBot="1" x14ac:dyDescent="0.3">
      <c r="A34" s="25"/>
      <c r="B34" s="16">
        <v>0</v>
      </c>
      <c r="C34" s="46"/>
      <c r="D34" s="17">
        <v>43495</v>
      </c>
      <c r="E34" s="18">
        <v>74802</v>
      </c>
      <c r="G34" s="20">
        <v>43495</v>
      </c>
      <c r="H34" s="27">
        <v>36</v>
      </c>
      <c r="I34" s="28"/>
      <c r="J34" s="56"/>
      <c r="K34" s="29"/>
      <c r="L34" s="23">
        <f>55000+19766</f>
        <v>74766</v>
      </c>
      <c r="M34" s="33"/>
    </row>
    <row r="35" spans="1:13" ht="16.5" thickBot="1" x14ac:dyDescent="0.3">
      <c r="A35" s="25"/>
      <c r="B35" s="16">
        <v>0</v>
      </c>
      <c r="C35" s="12"/>
      <c r="D35" s="17">
        <v>43496</v>
      </c>
      <c r="E35" s="18">
        <v>48590.400000000001</v>
      </c>
      <c r="G35" s="20">
        <v>43496</v>
      </c>
      <c r="H35" s="27">
        <v>0</v>
      </c>
      <c r="I35" s="28"/>
      <c r="J35" s="56"/>
      <c r="K35" s="29"/>
      <c r="L35" s="23">
        <v>48590</v>
      </c>
      <c r="M35" s="33"/>
    </row>
    <row r="36" spans="1:13" ht="16.5" thickBot="1" x14ac:dyDescent="0.3">
      <c r="A36" s="1"/>
      <c r="B36" s="16">
        <v>0</v>
      </c>
      <c r="C36" s="12"/>
      <c r="D36" s="121">
        <v>43497</v>
      </c>
      <c r="E36" s="118">
        <v>88434.27</v>
      </c>
      <c r="G36" s="122">
        <v>43497</v>
      </c>
      <c r="H36" s="119">
        <v>0</v>
      </c>
      <c r="I36" s="28"/>
      <c r="J36" s="56"/>
      <c r="K36" s="29"/>
      <c r="L36" s="23">
        <v>88434.5</v>
      </c>
      <c r="M36" s="33"/>
    </row>
    <row r="37" spans="1:13" ht="16.5" thickBot="1" x14ac:dyDescent="0.3">
      <c r="A37" s="1"/>
      <c r="B37" s="16">
        <v>0</v>
      </c>
      <c r="C37" s="12"/>
      <c r="D37" s="121">
        <v>43498</v>
      </c>
      <c r="E37" s="118">
        <v>134429.10999999999</v>
      </c>
      <c r="G37" s="122">
        <v>43498</v>
      </c>
      <c r="H37" s="119">
        <v>0</v>
      </c>
      <c r="I37" s="28"/>
      <c r="J37" s="56"/>
      <c r="K37" s="29"/>
      <c r="L37" s="23">
        <f>70000+64429</f>
        <v>134429</v>
      </c>
      <c r="M37" s="33"/>
    </row>
    <row r="38" spans="1:13" ht="16.5" thickBot="1" x14ac:dyDescent="0.3">
      <c r="A38" s="1"/>
      <c r="B38" s="16">
        <v>0</v>
      </c>
      <c r="C38" s="12"/>
      <c r="D38" s="121">
        <v>43499</v>
      </c>
      <c r="E38" s="118">
        <v>81125.11</v>
      </c>
      <c r="G38" s="122">
        <v>43499</v>
      </c>
      <c r="H38" s="119">
        <v>0</v>
      </c>
      <c r="I38" s="28"/>
      <c r="J38" s="56"/>
      <c r="K38" s="29"/>
      <c r="L38" s="23">
        <v>81125</v>
      </c>
      <c r="M38" s="33"/>
    </row>
    <row r="39" spans="1:13" ht="16.5" thickBot="1" x14ac:dyDescent="0.3">
      <c r="A39" s="1"/>
      <c r="B39" s="16">
        <v>0</v>
      </c>
      <c r="C39" s="12"/>
      <c r="D39" s="121">
        <v>43500</v>
      </c>
      <c r="E39" s="118">
        <v>86953.88</v>
      </c>
      <c r="G39" s="122">
        <v>43500</v>
      </c>
      <c r="H39" s="119">
        <v>110</v>
      </c>
      <c r="I39" s="28"/>
      <c r="J39" s="56"/>
      <c r="K39" s="29"/>
      <c r="L39" s="23">
        <v>86844</v>
      </c>
      <c r="M39" s="33"/>
    </row>
    <row r="40" spans="1:13" ht="16.5" thickBot="1" x14ac:dyDescent="0.3">
      <c r="A40" s="1"/>
      <c r="B40" s="16">
        <v>0</v>
      </c>
      <c r="C40" s="12"/>
      <c r="D40" s="121">
        <v>43501</v>
      </c>
      <c r="E40" s="118">
        <v>43511.62</v>
      </c>
      <c r="G40" s="122">
        <v>43501</v>
      </c>
      <c r="H40" s="119">
        <v>0</v>
      </c>
      <c r="I40" s="28"/>
      <c r="J40" s="56"/>
      <c r="K40" s="29"/>
      <c r="L40" s="23">
        <v>43511.5</v>
      </c>
      <c r="M40" s="33"/>
    </row>
    <row r="41" spans="1:13" ht="16.5" thickBot="1" x14ac:dyDescent="0.3">
      <c r="A41" s="1"/>
      <c r="B41" s="16">
        <v>0</v>
      </c>
      <c r="C41" s="12"/>
      <c r="D41" s="121">
        <v>43502</v>
      </c>
      <c r="E41" s="118">
        <v>51371.4</v>
      </c>
      <c r="G41" s="122">
        <v>43502</v>
      </c>
      <c r="H41" s="119">
        <v>120.8</v>
      </c>
      <c r="I41" s="28"/>
      <c r="J41" s="56" t="s">
        <v>79</v>
      </c>
      <c r="K41" s="29">
        <v>870</v>
      </c>
      <c r="L41" s="23">
        <v>50380.5</v>
      </c>
      <c r="M41" s="33"/>
    </row>
    <row r="42" spans="1:13" ht="16.5" thickBot="1" x14ac:dyDescent="0.3">
      <c r="A42" s="1"/>
      <c r="B42" s="16">
        <v>0</v>
      </c>
      <c r="C42" s="12"/>
      <c r="D42" s="121">
        <v>43503</v>
      </c>
      <c r="E42" s="118">
        <v>62217.26</v>
      </c>
      <c r="G42" s="122">
        <v>43503</v>
      </c>
      <c r="H42" s="119">
        <v>0</v>
      </c>
      <c r="I42" s="28"/>
      <c r="J42" s="52">
        <v>43502</v>
      </c>
      <c r="K42" s="29"/>
      <c r="L42" s="23">
        <v>62217</v>
      </c>
      <c r="M42" s="33"/>
    </row>
    <row r="43" spans="1:13" ht="16.5" thickBot="1" x14ac:dyDescent="0.3">
      <c r="A43" s="1"/>
      <c r="B43" s="16">
        <v>0</v>
      </c>
      <c r="C43" s="12"/>
      <c r="D43" s="121">
        <v>43504</v>
      </c>
      <c r="E43" s="118">
        <v>79672.429999999993</v>
      </c>
      <c r="G43" s="122">
        <v>43504</v>
      </c>
      <c r="H43" s="119">
        <v>96</v>
      </c>
      <c r="I43" s="28"/>
      <c r="J43" s="56"/>
      <c r="K43" s="29"/>
      <c r="L43" s="23">
        <v>79576.5</v>
      </c>
      <c r="M43" s="33"/>
    </row>
    <row r="44" spans="1:13" ht="16.5" thickBot="1" x14ac:dyDescent="0.3">
      <c r="A44" s="1"/>
      <c r="B44" s="16">
        <v>0</v>
      </c>
      <c r="C44" s="12"/>
      <c r="D44" s="128">
        <v>43505</v>
      </c>
      <c r="E44" s="118">
        <v>78362.3</v>
      </c>
      <c r="G44" s="122">
        <v>43505</v>
      </c>
      <c r="H44" s="119">
        <v>0</v>
      </c>
      <c r="I44" s="28"/>
      <c r="J44" s="56"/>
      <c r="K44" s="29"/>
      <c r="L44" s="23">
        <v>79362.5</v>
      </c>
      <c r="M44" s="33"/>
    </row>
    <row r="45" spans="1:13" ht="16.5" thickBot="1" x14ac:dyDescent="0.3">
      <c r="A45" s="58"/>
      <c r="B45" s="16">
        <v>0</v>
      </c>
      <c r="C45" s="12"/>
      <c r="D45" s="130"/>
      <c r="E45" s="132">
        <v>0</v>
      </c>
      <c r="F45" s="131"/>
      <c r="G45" s="129"/>
      <c r="H45" s="133"/>
      <c r="I45" s="5"/>
      <c r="J45" s="56"/>
      <c r="K45" s="59"/>
      <c r="L45" s="60">
        <f>SUM(L5:L44)</f>
        <v>2934636</v>
      </c>
      <c r="M45" s="4"/>
    </row>
    <row r="46" spans="1:13" ht="15.75" thickBot="1" x14ac:dyDescent="0.3">
      <c r="A46" s="61" t="s">
        <v>15</v>
      </c>
      <c r="B46" s="62">
        <f>SUM(B5:B45)</f>
        <v>0</v>
      </c>
      <c r="D46" s="63" t="s">
        <v>15</v>
      </c>
      <c r="E46" s="64">
        <f>SUM(E5:E45)</f>
        <v>2921273.3799999994</v>
      </c>
      <c r="G46" s="7" t="s">
        <v>15</v>
      </c>
      <c r="H46" s="132">
        <f>SUM(H5:H45)</f>
        <v>703.8</v>
      </c>
      <c r="I46" s="28"/>
      <c r="J46" s="65" t="s">
        <v>15</v>
      </c>
      <c r="K46" s="29">
        <f>SUM(K5:K45)</f>
        <v>87234.61</v>
      </c>
      <c r="L46" s="9"/>
      <c r="M46" s="4"/>
    </row>
    <row r="47" spans="1:13" x14ac:dyDescent="0.25">
      <c r="A47" s="1"/>
      <c r="B47" s="5"/>
      <c r="E47" s="5"/>
      <c r="I47" s="5"/>
      <c r="L47" s="9"/>
      <c r="M47" s="4"/>
    </row>
    <row r="48" spans="1:13" ht="16.5" thickBot="1" x14ac:dyDescent="0.3">
      <c r="A48" s="1"/>
      <c r="B48" s="5">
        <v>0</v>
      </c>
      <c r="E48" s="5"/>
      <c r="G48" s="187" t="s">
        <v>16</v>
      </c>
      <c r="H48" s="188"/>
      <c r="I48" s="66"/>
      <c r="J48" s="189">
        <f>H46+K46</f>
        <v>87938.41</v>
      </c>
      <c r="K48" s="190"/>
      <c r="L48" s="67"/>
      <c r="M48" s="68"/>
    </row>
    <row r="49" spans="1:13" ht="15.75" x14ac:dyDescent="0.25">
      <c r="A49" s="1"/>
      <c r="B49" s="69"/>
      <c r="C49" s="191" t="s">
        <v>17</v>
      </c>
      <c r="D49" s="191"/>
      <c r="E49" s="70">
        <f>E46-J48</f>
        <v>2833334.9699999993</v>
      </c>
      <c r="F49" s="71"/>
      <c r="G49" s="71"/>
      <c r="H49" s="72"/>
      <c r="I49" s="72"/>
      <c r="J49" s="73"/>
      <c r="K49" s="74"/>
      <c r="L49" s="67"/>
      <c r="M49" s="68"/>
    </row>
    <row r="50" spans="1:13" x14ac:dyDescent="0.25">
      <c r="A50" s="1"/>
      <c r="B50" s="75"/>
      <c r="D50" s="2" t="s">
        <v>18</v>
      </c>
      <c r="E50" s="28">
        <v>44873.4</v>
      </c>
      <c r="H50" s="192" t="s">
        <v>19</v>
      </c>
      <c r="I50" s="192"/>
      <c r="J50" s="192">
        <f>E54</f>
        <v>420646.88999999932</v>
      </c>
      <c r="K50" s="193"/>
      <c r="L50" s="67"/>
      <c r="M50" s="68"/>
    </row>
    <row r="51" spans="1:13" ht="15.75" thickBot="1" x14ac:dyDescent="0.3">
      <c r="A51" s="1"/>
      <c r="B51" s="75" t="s">
        <v>11</v>
      </c>
      <c r="C51" s="6" t="s">
        <v>20</v>
      </c>
      <c r="E51" s="76">
        <v>-2647472.86</v>
      </c>
      <c r="H51" s="194" t="s">
        <v>1</v>
      </c>
      <c r="I51" s="194"/>
      <c r="J51" s="195">
        <f>-B4</f>
        <v>-227176.14</v>
      </c>
      <c r="K51" s="196"/>
      <c r="L51" s="67"/>
      <c r="M51" s="68"/>
    </row>
    <row r="52" spans="1:13" ht="20.25" thickTop="1" thickBot="1" x14ac:dyDescent="0.3">
      <c r="A52" s="1"/>
      <c r="B52" s="75"/>
      <c r="D52" s="2" t="s">
        <v>21</v>
      </c>
      <c r="E52" s="28">
        <f>SUM(E49:E51)</f>
        <v>230735.50999999931</v>
      </c>
      <c r="H52" s="179" t="s">
        <v>88</v>
      </c>
      <c r="I52" s="180"/>
      <c r="J52" s="181">
        <f>SUM(J49:K51)</f>
        <v>193470.7499999993</v>
      </c>
      <c r="K52" s="182"/>
      <c r="L52" s="67"/>
      <c r="M52" s="68"/>
    </row>
    <row r="53" spans="1:13" ht="16.5" thickBot="1" x14ac:dyDescent="0.3">
      <c r="A53" s="1"/>
      <c r="B53" s="75"/>
      <c r="C53" s="10" t="s">
        <v>22</v>
      </c>
      <c r="D53" s="77"/>
      <c r="E53" s="78">
        <v>189911.38</v>
      </c>
      <c r="J53" s="183"/>
      <c r="K53" s="184"/>
      <c r="L53" s="67"/>
      <c r="M53" s="68"/>
    </row>
    <row r="54" spans="1:13" ht="19.5" thickBot="1" x14ac:dyDescent="0.3">
      <c r="A54" s="1"/>
      <c r="B54" s="79"/>
      <c r="C54" s="80"/>
      <c r="D54" s="80" t="s">
        <v>23</v>
      </c>
      <c r="E54" s="81">
        <f>E53+E52</f>
        <v>420646.88999999932</v>
      </c>
      <c r="F54" s="82"/>
      <c r="G54" s="82"/>
      <c r="H54" s="83"/>
      <c r="I54" s="84"/>
      <c r="J54" s="185"/>
      <c r="K54" s="186"/>
      <c r="L54" s="67"/>
      <c r="M54" s="68"/>
    </row>
    <row r="58" spans="1:13" x14ac:dyDescent="0.25">
      <c r="D58" s="2" t="s">
        <v>11</v>
      </c>
    </row>
  </sheetData>
  <mergeCells count="17">
    <mergeCell ref="B1:J1"/>
    <mergeCell ref="D3:F3"/>
    <mergeCell ref="G3:H3"/>
    <mergeCell ref="D4:E4"/>
    <mergeCell ref="H4:K4"/>
    <mergeCell ref="A3:B3"/>
    <mergeCell ref="C49:D49"/>
    <mergeCell ref="H50:I50"/>
    <mergeCell ref="J50:K50"/>
    <mergeCell ref="H51:I51"/>
    <mergeCell ref="J51:K51"/>
    <mergeCell ref="H52:I52"/>
    <mergeCell ref="J52:K52"/>
    <mergeCell ref="J53:K53"/>
    <mergeCell ref="J54:K54"/>
    <mergeCell ref="G48:H48"/>
    <mergeCell ref="J48:K48"/>
  </mergeCells>
  <pageMargins left="0.31496062992125984" right="0.11811023622047245" top="0.55118110236220474" bottom="0.55118110236220474" header="0.31496062992125984" footer="0.31496062992125984"/>
  <pageSetup scale="7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F4EF9-F82A-4E04-B69E-F826264E934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D668-51B9-4216-AF25-842781FDC70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4983-0DCF-42AA-8C66-476DCB65EC0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J44"/>
  <sheetViews>
    <sheetView topLeftCell="A22" workbookViewId="0">
      <selection activeCell="E39" sqref="E39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21.75" thickBot="1" x14ac:dyDescent="0.4">
      <c r="A1" s="218" t="s">
        <v>87</v>
      </c>
      <c r="B1" s="219"/>
      <c r="C1" s="206" t="s">
        <v>29</v>
      </c>
      <c r="D1" s="207"/>
      <c r="E1" s="208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09" t="s">
        <v>35</v>
      </c>
      <c r="I2" s="210"/>
      <c r="J2" s="211"/>
    </row>
    <row r="3" spans="1:10" x14ac:dyDescent="0.25">
      <c r="A3" s="90">
        <v>43467</v>
      </c>
      <c r="B3" s="91" t="s">
        <v>39</v>
      </c>
      <c r="C3" s="92">
        <v>4671</v>
      </c>
      <c r="D3" s="117" t="s">
        <v>68</v>
      </c>
      <c r="E3" s="92"/>
      <c r="F3" s="94">
        <f t="shared" ref="F3:F43" si="0">C3-E3</f>
        <v>4671</v>
      </c>
      <c r="H3" s="212"/>
      <c r="I3" s="213"/>
      <c r="J3" s="214"/>
    </row>
    <row r="4" spans="1:10" x14ac:dyDescent="0.25">
      <c r="A4" s="90">
        <v>43468</v>
      </c>
      <c r="B4" s="91" t="s">
        <v>40</v>
      </c>
      <c r="C4" s="92">
        <v>119952.62</v>
      </c>
      <c r="D4" s="117" t="s">
        <v>68</v>
      </c>
      <c r="E4" s="95"/>
      <c r="F4" s="96">
        <f t="shared" si="0"/>
        <v>119952.62</v>
      </c>
      <c r="H4" s="212"/>
      <c r="I4" s="213"/>
      <c r="J4" s="214"/>
    </row>
    <row r="5" spans="1:10" ht="15.75" thickBot="1" x14ac:dyDescent="0.3">
      <c r="A5" s="97">
        <v>43469</v>
      </c>
      <c r="B5" s="98" t="s">
        <v>41</v>
      </c>
      <c r="C5" s="95">
        <v>145607</v>
      </c>
      <c r="D5" s="117" t="s">
        <v>68</v>
      </c>
      <c r="E5" s="95"/>
      <c r="F5" s="96">
        <f t="shared" si="0"/>
        <v>145607</v>
      </c>
      <c r="H5" s="215"/>
      <c r="I5" s="216"/>
      <c r="J5" s="217"/>
    </row>
    <row r="6" spans="1:10" x14ac:dyDescent="0.25">
      <c r="A6" s="97">
        <v>43470</v>
      </c>
      <c r="B6" s="98" t="s">
        <v>42</v>
      </c>
      <c r="C6" s="95">
        <v>152507.84</v>
      </c>
      <c r="D6" s="117" t="s">
        <v>68</v>
      </c>
      <c r="E6" s="95"/>
      <c r="F6" s="99">
        <f t="shared" si="0"/>
        <v>152507.84</v>
      </c>
    </row>
    <row r="7" spans="1:10" x14ac:dyDescent="0.25">
      <c r="A7" s="97">
        <v>43472</v>
      </c>
      <c r="B7" s="98" t="s">
        <v>43</v>
      </c>
      <c r="C7" s="95">
        <v>40644</v>
      </c>
      <c r="D7" s="117" t="s">
        <v>68</v>
      </c>
      <c r="E7" s="95"/>
      <c r="F7" s="99">
        <f t="shared" si="0"/>
        <v>40644</v>
      </c>
    </row>
    <row r="8" spans="1:10" x14ac:dyDescent="0.25">
      <c r="A8" s="97">
        <v>43473</v>
      </c>
      <c r="B8" s="98" t="s">
        <v>45</v>
      </c>
      <c r="C8" s="95">
        <v>61536.5</v>
      </c>
      <c r="D8" s="117" t="s">
        <v>68</v>
      </c>
      <c r="E8" s="95"/>
      <c r="F8" s="99">
        <f t="shared" si="0"/>
        <v>61536.5</v>
      </c>
    </row>
    <row r="9" spans="1:10" x14ac:dyDescent="0.25">
      <c r="A9" s="97">
        <v>43474</v>
      </c>
      <c r="B9" s="98" t="s">
        <v>44</v>
      </c>
      <c r="C9" s="95">
        <v>62011.3</v>
      </c>
      <c r="D9" s="117" t="s">
        <v>68</v>
      </c>
      <c r="E9" s="95"/>
      <c r="F9" s="99">
        <f t="shared" si="0"/>
        <v>62011.3</v>
      </c>
    </row>
    <row r="10" spans="1:10" x14ac:dyDescent="0.25">
      <c r="A10" s="97">
        <v>43475</v>
      </c>
      <c r="B10" s="98" t="s">
        <v>46</v>
      </c>
      <c r="C10" s="95">
        <v>93969.68</v>
      </c>
      <c r="D10" s="117" t="s">
        <v>68</v>
      </c>
      <c r="E10" s="95"/>
      <c r="F10" s="99">
        <f t="shared" si="0"/>
        <v>93969.68</v>
      </c>
    </row>
    <row r="11" spans="1:10" x14ac:dyDescent="0.25">
      <c r="A11" s="97">
        <v>43476</v>
      </c>
      <c r="B11" s="100" t="s">
        <v>47</v>
      </c>
      <c r="C11" s="95">
        <v>132791.54999999999</v>
      </c>
      <c r="D11" s="117" t="s">
        <v>68</v>
      </c>
      <c r="E11" s="95"/>
      <c r="F11" s="99">
        <f t="shared" si="0"/>
        <v>132791.54999999999</v>
      </c>
    </row>
    <row r="12" spans="1:10" x14ac:dyDescent="0.25">
      <c r="A12" s="97">
        <v>43477</v>
      </c>
      <c r="B12" s="98" t="s">
        <v>48</v>
      </c>
      <c r="C12" s="95">
        <v>75186</v>
      </c>
      <c r="D12" s="117" t="s">
        <v>68</v>
      </c>
      <c r="E12" s="95"/>
      <c r="F12" s="99">
        <f t="shared" si="0"/>
        <v>75186</v>
      </c>
    </row>
    <row r="13" spans="1:10" x14ac:dyDescent="0.25">
      <c r="A13" s="101">
        <v>43479</v>
      </c>
      <c r="B13" s="102" t="s">
        <v>49</v>
      </c>
      <c r="C13" s="95">
        <v>39188.449999999997</v>
      </c>
      <c r="D13" s="117" t="s">
        <v>68</v>
      </c>
      <c r="E13" s="95"/>
      <c r="F13" s="99">
        <f t="shared" si="0"/>
        <v>39188.449999999997</v>
      </c>
    </row>
    <row r="14" spans="1:10" x14ac:dyDescent="0.25">
      <c r="A14" s="101">
        <v>43481</v>
      </c>
      <c r="B14" s="102" t="s">
        <v>50</v>
      </c>
      <c r="C14" s="95">
        <v>41898.78</v>
      </c>
      <c r="D14" s="117" t="s">
        <v>68</v>
      </c>
      <c r="E14" s="95"/>
      <c r="F14" s="99">
        <f t="shared" si="0"/>
        <v>41898.78</v>
      </c>
    </row>
    <row r="15" spans="1:10" x14ac:dyDescent="0.25">
      <c r="A15" s="101">
        <v>43481</v>
      </c>
      <c r="B15" s="102" t="s">
        <v>51</v>
      </c>
      <c r="C15" s="95">
        <v>34874</v>
      </c>
      <c r="D15" s="117" t="s">
        <v>68</v>
      </c>
      <c r="E15" s="95"/>
      <c r="F15" s="99">
        <f t="shared" si="0"/>
        <v>34874</v>
      </c>
    </row>
    <row r="16" spans="1:10" x14ac:dyDescent="0.25">
      <c r="A16" s="101">
        <v>43482</v>
      </c>
      <c r="B16" s="102" t="s">
        <v>52</v>
      </c>
      <c r="C16" s="95">
        <v>124767.16</v>
      </c>
      <c r="D16" s="117" t="s">
        <v>68</v>
      </c>
      <c r="E16" s="95"/>
      <c r="F16" s="99">
        <f t="shared" si="0"/>
        <v>124767.16</v>
      </c>
    </row>
    <row r="17" spans="1:6" x14ac:dyDescent="0.25">
      <c r="A17" s="101">
        <v>43482</v>
      </c>
      <c r="B17" s="102" t="s">
        <v>53</v>
      </c>
      <c r="C17" s="95">
        <v>1294.5999999999999</v>
      </c>
      <c r="D17" s="117" t="s">
        <v>68</v>
      </c>
      <c r="E17" s="95"/>
      <c r="F17" s="99">
        <f t="shared" si="0"/>
        <v>1294.5999999999999</v>
      </c>
    </row>
    <row r="18" spans="1:6" x14ac:dyDescent="0.25">
      <c r="A18" s="101">
        <v>43483</v>
      </c>
      <c r="B18" s="102" t="s">
        <v>54</v>
      </c>
      <c r="C18" s="95">
        <v>136304.79999999999</v>
      </c>
      <c r="D18" s="117" t="s">
        <v>68</v>
      </c>
      <c r="E18" s="95"/>
      <c r="F18" s="99">
        <f t="shared" si="0"/>
        <v>136304.79999999999</v>
      </c>
    </row>
    <row r="19" spans="1:6" x14ac:dyDescent="0.25">
      <c r="A19" s="101">
        <v>43484</v>
      </c>
      <c r="B19" s="102" t="s">
        <v>55</v>
      </c>
      <c r="C19" s="95">
        <v>50318</v>
      </c>
      <c r="D19" s="117" t="s">
        <v>68</v>
      </c>
      <c r="E19" s="95"/>
      <c r="F19" s="99">
        <f t="shared" si="0"/>
        <v>50318</v>
      </c>
    </row>
    <row r="20" spans="1:6" x14ac:dyDescent="0.25">
      <c r="A20" s="101">
        <v>43485</v>
      </c>
      <c r="B20" s="102" t="s">
        <v>56</v>
      </c>
      <c r="C20" s="95">
        <v>3634.6</v>
      </c>
      <c r="D20" s="117" t="s">
        <v>68</v>
      </c>
      <c r="E20" s="95"/>
      <c r="F20" s="99">
        <f t="shared" si="0"/>
        <v>3634.6</v>
      </c>
    </row>
    <row r="21" spans="1:6" x14ac:dyDescent="0.25">
      <c r="A21" s="101">
        <v>43486</v>
      </c>
      <c r="B21" s="102" t="s">
        <v>57</v>
      </c>
      <c r="C21" s="95">
        <v>130712.54</v>
      </c>
      <c r="D21" s="117" t="s">
        <v>68</v>
      </c>
      <c r="E21" s="95"/>
      <c r="F21" s="99">
        <f t="shared" si="0"/>
        <v>130712.54</v>
      </c>
    </row>
    <row r="22" spans="1:6" x14ac:dyDescent="0.25">
      <c r="A22" s="101">
        <v>43486</v>
      </c>
      <c r="B22" s="102" t="s">
        <v>58</v>
      </c>
      <c r="C22" s="95">
        <v>9822.9</v>
      </c>
      <c r="D22" s="117" t="s">
        <v>68</v>
      </c>
      <c r="E22" s="95"/>
      <c r="F22" s="99">
        <f t="shared" si="0"/>
        <v>9822.9</v>
      </c>
    </row>
    <row r="23" spans="1:6" x14ac:dyDescent="0.25">
      <c r="A23" s="101">
        <v>43489</v>
      </c>
      <c r="B23" s="102" t="s">
        <v>59</v>
      </c>
      <c r="C23" s="95">
        <v>182837.5</v>
      </c>
      <c r="D23" s="117" t="s">
        <v>68</v>
      </c>
      <c r="E23" s="95"/>
      <c r="F23" s="99">
        <f t="shared" si="0"/>
        <v>182837.5</v>
      </c>
    </row>
    <row r="24" spans="1:6" x14ac:dyDescent="0.25">
      <c r="A24" s="101">
        <v>43490</v>
      </c>
      <c r="B24" s="102" t="s">
        <v>60</v>
      </c>
      <c r="C24" s="95">
        <v>80349.149999999994</v>
      </c>
      <c r="D24" s="117" t="s">
        <v>68</v>
      </c>
      <c r="E24" s="95"/>
      <c r="F24" s="99">
        <f t="shared" si="0"/>
        <v>80349.149999999994</v>
      </c>
    </row>
    <row r="25" spans="1:6" x14ac:dyDescent="0.25">
      <c r="A25" s="101">
        <v>43490</v>
      </c>
      <c r="B25" s="102" t="s">
        <v>61</v>
      </c>
      <c r="C25" s="95">
        <v>1164</v>
      </c>
      <c r="D25" s="117" t="s">
        <v>68</v>
      </c>
      <c r="E25" s="95"/>
      <c r="F25" s="99">
        <f t="shared" si="0"/>
        <v>1164</v>
      </c>
    </row>
    <row r="26" spans="1:6" x14ac:dyDescent="0.25">
      <c r="A26" s="101"/>
      <c r="B26" s="102"/>
      <c r="C26" s="95"/>
      <c r="D26" s="117" t="s">
        <v>68</v>
      </c>
      <c r="E26" s="95"/>
      <c r="F26" s="99">
        <f t="shared" si="0"/>
        <v>0</v>
      </c>
    </row>
    <row r="27" spans="1:6" x14ac:dyDescent="0.25">
      <c r="A27" s="101">
        <v>43490</v>
      </c>
      <c r="B27" s="102" t="s">
        <v>62</v>
      </c>
      <c r="C27" s="95">
        <v>2800</v>
      </c>
      <c r="D27" s="117" t="s">
        <v>68</v>
      </c>
      <c r="E27" s="95"/>
      <c r="F27" s="99">
        <f t="shared" si="0"/>
        <v>2800</v>
      </c>
    </row>
    <row r="28" spans="1:6" x14ac:dyDescent="0.25">
      <c r="A28" s="101">
        <v>43491</v>
      </c>
      <c r="B28" s="102" t="s">
        <v>63</v>
      </c>
      <c r="C28" s="95">
        <v>115029.7</v>
      </c>
      <c r="D28" s="117" t="s">
        <v>68</v>
      </c>
      <c r="E28" s="95"/>
      <c r="F28" s="99">
        <f t="shared" si="0"/>
        <v>115029.7</v>
      </c>
    </row>
    <row r="29" spans="1:6" x14ac:dyDescent="0.25">
      <c r="A29" s="101">
        <v>43492</v>
      </c>
      <c r="B29" s="102" t="s">
        <v>64</v>
      </c>
      <c r="C29" s="95">
        <v>2995.2</v>
      </c>
      <c r="D29" s="117" t="s">
        <v>68</v>
      </c>
      <c r="E29" s="95"/>
      <c r="F29" s="99">
        <f t="shared" si="0"/>
        <v>2995.2</v>
      </c>
    </row>
    <row r="30" spans="1:6" x14ac:dyDescent="0.25">
      <c r="A30" s="101">
        <v>43493</v>
      </c>
      <c r="B30" s="102" t="s">
        <v>65</v>
      </c>
      <c r="C30" s="95">
        <v>40438.800000000003</v>
      </c>
      <c r="D30" s="117" t="s">
        <v>68</v>
      </c>
      <c r="E30" s="95"/>
      <c r="F30" s="99">
        <f t="shared" si="0"/>
        <v>40438.800000000003</v>
      </c>
    </row>
    <row r="31" spans="1:6" x14ac:dyDescent="0.25">
      <c r="A31" s="101">
        <v>43495</v>
      </c>
      <c r="B31" s="102" t="s">
        <v>66</v>
      </c>
      <c r="C31" s="95">
        <v>35327</v>
      </c>
      <c r="D31" s="117" t="s">
        <v>68</v>
      </c>
      <c r="E31" s="95"/>
      <c r="F31" s="99">
        <f t="shared" si="0"/>
        <v>35327</v>
      </c>
    </row>
    <row r="32" spans="1:6" x14ac:dyDescent="0.25">
      <c r="A32" s="101">
        <v>43496</v>
      </c>
      <c r="B32" s="102" t="s">
        <v>67</v>
      </c>
      <c r="C32" s="95">
        <v>145984.19</v>
      </c>
      <c r="D32" s="117" t="s">
        <v>68</v>
      </c>
      <c r="E32" s="95"/>
      <c r="F32" s="99">
        <f t="shared" si="0"/>
        <v>145984.19</v>
      </c>
    </row>
    <row r="33" spans="1:6" x14ac:dyDescent="0.25">
      <c r="A33" s="125">
        <v>43497</v>
      </c>
      <c r="B33" s="123" t="s">
        <v>69</v>
      </c>
      <c r="C33" s="124">
        <v>27222</v>
      </c>
      <c r="D33" s="93"/>
      <c r="E33" s="95"/>
      <c r="F33" s="99">
        <f t="shared" si="0"/>
        <v>27222</v>
      </c>
    </row>
    <row r="34" spans="1:6" x14ac:dyDescent="0.25">
      <c r="A34" s="125">
        <v>43498</v>
      </c>
      <c r="B34" s="123" t="s">
        <v>70</v>
      </c>
      <c r="C34" s="124">
        <v>118271.08</v>
      </c>
      <c r="D34" s="93"/>
      <c r="E34" s="95"/>
      <c r="F34" s="99">
        <f t="shared" si="0"/>
        <v>118271.08</v>
      </c>
    </row>
    <row r="35" spans="1:6" x14ac:dyDescent="0.25">
      <c r="A35" s="125">
        <v>43499</v>
      </c>
      <c r="B35" s="123" t="s">
        <v>71</v>
      </c>
      <c r="C35" s="124">
        <v>37684</v>
      </c>
      <c r="D35" s="93"/>
      <c r="E35" s="95"/>
      <c r="F35" s="99">
        <f t="shared" si="0"/>
        <v>37684</v>
      </c>
    </row>
    <row r="36" spans="1:6" x14ac:dyDescent="0.25">
      <c r="A36" s="125">
        <v>43499</v>
      </c>
      <c r="B36" s="123" t="s">
        <v>72</v>
      </c>
      <c r="C36" s="124">
        <v>40213.800000000003</v>
      </c>
      <c r="D36" s="93"/>
      <c r="E36" s="95"/>
      <c r="F36" s="99">
        <f t="shared" si="0"/>
        <v>40213.800000000003</v>
      </c>
    </row>
    <row r="37" spans="1:6" x14ac:dyDescent="0.25">
      <c r="A37" s="125">
        <v>43500</v>
      </c>
      <c r="B37" s="123" t="s">
        <v>73</v>
      </c>
      <c r="C37" s="124">
        <v>54760.6</v>
      </c>
      <c r="D37" s="93"/>
      <c r="E37" s="95"/>
      <c r="F37" s="99">
        <f t="shared" si="0"/>
        <v>54760.6</v>
      </c>
    </row>
    <row r="38" spans="1:6" x14ac:dyDescent="0.25">
      <c r="A38" s="125">
        <v>43804</v>
      </c>
      <c r="B38" s="123" t="s">
        <v>74</v>
      </c>
      <c r="C38" s="124">
        <v>34905.519999999997</v>
      </c>
      <c r="D38" s="93"/>
      <c r="E38" s="95"/>
      <c r="F38" s="99">
        <f t="shared" si="0"/>
        <v>34905.519999999997</v>
      </c>
    </row>
    <row r="39" spans="1:6" x14ac:dyDescent="0.25">
      <c r="A39" s="125">
        <v>43502</v>
      </c>
      <c r="B39" s="123" t="s">
        <v>75</v>
      </c>
      <c r="C39" s="124">
        <v>138103</v>
      </c>
      <c r="D39" s="93"/>
      <c r="E39" s="95"/>
      <c r="F39" s="99">
        <f t="shared" si="0"/>
        <v>138103</v>
      </c>
    </row>
    <row r="40" spans="1:6" x14ac:dyDescent="0.25">
      <c r="A40" s="125">
        <v>43503</v>
      </c>
      <c r="B40" s="123" t="s">
        <v>76</v>
      </c>
      <c r="C40" s="124">
        <v>4057</v>
      </c>
      <c r="D40" s="93"/>
      <c r="E40" s="95"/>
      <c r="F40" s="99">
        <f t="shared" si="0"/>
        <v>4057</v>
      </c>
    </row>
    <row r="41" spans="1:6" x14ac:dyDescent="0.25">
      <c r="A41" s="125">
        <v>43504</v>
      </c>
      <c r="B41" s="123" t="s">
        <v>77</v>
      </c>
      <c r="C41" s="124">
        <v>94832.84</v>
      </c>
      <c r="D41" s="93"/>
      <c r="E41" s="95"/>
      <c r="F41" s="99">
        <f t="shared" si="0"/>
        <v>94832.84</v>
      </c>
    </row>
    <row r="42" spans="1:6" x14ac:dyDescent="0.25">
      <c r="A42" s="125">
        <v>43505</v>
      </c>
      <c r="B42" s="123" t="s">
        <v>78</v>
      </c>
      <c r="C42" s="124">
        <v>71118.559999999998</v>
      </c>
      <c r="D42" s="93"/>
      <c r="E42" s="95"/>
      <c r="F42" s="99">
        <f t="shared" si="0"/>
        <v>71118.559999999998</v>
      </c>
    </row>
    <row r="43" spans="1:6" ht="16.5" thickBot="1" x14ac:dyDescent="0.3">
      <c r="A43" s="103" t="s">
        <v>36</v>
      </c>
      <c r="B43" s="104"/>
      <c r="C43" s="105"/>
      <c r="D43" s="106"/>
      <c r="E43" s="107">
        <v>42314.400000000001</v>
      </c>
      <c r="F43" s="108">
        <f t="shared" si="0"/>
        <v>-42314.400000000001</v>
      </c>
    </row>
    <row r="44" spans="1:6" s="113" customFormat="1" ht="19.5" thickBot="1" x14ac:dyDescent="0.35">
      <c r="A44" s="109"/>
      <c r="B44" s="110"/>
      <c r="C44" s="111">
        <f>SUM(C3:C43)</f>
        <v>2689787.26</v>
      </c>
      <c r="D44" s="111"/>
      <c r="E44" s="112">
        <f>SUM(E3:E43)</f>
        <v>42314.400000000001</v>
      </c>
      <c r="F44" s="112">
        <f>SUM(F3:F43)</f>
        <v>2647472.86</v>
      </c>
    </row>
  </sheetData>
  <sortState ref="A8:C9">
    <sortCondition ref="B8:B9"/>
  </sortState>
  <mergeCells count="3">
    <mergeCell ref="C1:E1"/>
    <mergeCell ref="H2:J5"/>
    <mergeCell ref="A1:B1"/>
  </mergeCells>
  <pageMargins left="0.70866141732283472" right="0.11811023622047245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45"/>
  <sheetViews>
    <sheetView topLeftCell="A19" workbookViewId="0">
      <selection activeCell="H42" sqref="H42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5703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5703125" style="2"/>
    <col min="12" max="12" width="22.5703125" style="5" customWidth="1"/>
    <col min="13" max="13" width="15.28515625" style="14" customWidth="1"/>
  </cols>
  <sheetData>
    <row r="1" spans="1:13" ht="23.25" x14ac:dyDescent="0.35">
      <c r="A1" s="1"/>
      <c r="B1" s="197" t="s">
        <v>81</v>
      </c>
      <c r="C1" s="197"/>
      <c r="D1" s="197"/>
      <c r="E1" s="197"/>
      <c r="F1" s="197"/>
      <c r="G1" s="197"/>
      <c r="H1" s="197"/>
      <c r="I1" s="197"/>
      <c r="J1" s="197"/>
      <c r="L1" s="3" t="s">
        <v>0</v>
      </c>
      <c r="M1" s="4"/>
    </row>
    <row r="2" spans="1:13" x14ac:dyDescent="0.25">
      <c r="A2" s="1"/>
      <c r="B2" s="5"/>
      <c r="D2" s="7"/>
      <c r="E2" s="8"/>
      <c r="L2" s="9"/>
      <c r="M2" s="4"/>
    </row>
    <row r="3" spans="1:13" ht="19.5" customHeight="1" thickBot="1" x14ac:dyDescent="0.35">
      <c r="A3" s="204" t="s">
        <v>1</v>
      </c>
      <c r="B3" s="205"/>
      <c r="C3" s="10"/>
      <c r="D3" s="198" t="s">
        <v>2</v>
      </c>
      <c r="E3" s="198"/>
      <c r="F3" s="198"/>
      <c r="G3" s="199">
        <v>2000</v>
      </c>
      <c r="H3" s="199"/>
      <c r="I3" s="5"/>
      <c r="L3" s="9"/>
      <c r="M3" s="4"/>
    </row>
    <row r="4" spans="1:13" ht="20.25" thickTop="1" thickBot="1" x14ac:dyDescent="0.35">
      <c r="A4" s="120"/>
      <c r="B4" s="11">
        <v>189911.38</v>
      </c>
      <c r="C4" s="12"/>
      <c r="D4" s="200" t="s">
        <v>3</v>
      </c>
      <c r="E4" s="201"/>
      <c r="H4" s="202" t="s">
        <v>4</v>
      </c>
      <c r="I4" s="203"/>
      <c r="J4" s="203"/>
      <c r="K4" s="203"/>
      <c r="L4" s="13" t="s">
        <v>5</v>
      </c>
    </row>
    <row r="5" spans="1:13" ht="17.25" thickTop="1" thickBot="1" x14ac:dyDescent="0.3">
      <c r="A5" s="15"/>
      <c r="B5" s="16">
        <v>0</v>
      </c>
      <c r="C5" s="12"/>
      <c r="D5" s="17">
        <v>43506</v>
      </c>
      <c r="E5" s="18">
        <v>41150.699999999997</v>
      </c>
      <c r="F5" s="19"/>
      <c r="G5" s="20">
        <v>43506</v>
      </c>
      <c r="H5" s="134">
        <v>0</v>
      </c>
      <c r="I5" s="21"/>
      <c r="J5" s="22"/>
      <c r="K5" s="22"/>
      <c r="L5" s="23">
        <v>70225</v>
      </c>
      <c r="M5" s="24"/>
    </row>
    <row r="6" spans="1:13" ht="16.5" thickBot="1" x14ac:dyDescent="0.3">
      <c r="A6" s="25"/>
      <c r="B6" s="16">
        <v>0</v>
      </c>
      <c r="C6" s="12"/>
      <c r="D6" s="17">
        <v>43507</v>
      </c>
      <c r="E6" s="18">
        <v>58062.2</v>
      </c>
      <c r="F6" s="26"/>
      <c r="G6" s="20">
        <v>43507</v>
      </c>
      <c r="H6" s="27">
        <v>90</v>
      </c>
      <c r="I6" s="28"/>
      <c r="J6" s="2" t="s">
        <v>6</v>
      </c>
      <c r="K6" s="29">
        <v>549</v>
      </c>
      <c r="L6" s="23">
        <f>67771.5+200</f>
        <v>67971.5</v>
      </c>
      <c r="M6" s="140"/>
    </row>
    <row r="7" spans="1:13" ht="16.5" thickBot="1" x14ac:dyDescent="0.3">
      <c r="A7" s="25"/>
      <c r="B7" s="16">
        <v>0</v>
      </c>
      <c r="C7" s="12"/>
      <c r="D7" s="17">
        <v>43508</v>
      </c>
      <c r="E7" s="18">
        <v>47182.9</v>
      </c>
      <c r="G7" s="20">
        <v>43508</v>
      </c>
      <c r="H7" s="27">
        <v>11.95</v>
      </c>
      <c r="I7" s="30">
        <v>43521</v>
      </c>
      <c r="J7" s="31" t="s">
        <v>7</v>
      </c>
      <c r="K7" s="32">
        <v>6705</v>
      </c>
      <c r="L7" s="23">
        <f>25000+22171</f>
        <v>47171</v>
      </c>
      <c r="M7" s="33"/>
    </row>
    <row r="8" spans="1:13" ht="16.5" thickBot="1" x14ac:dyDescent="0.3">
      <c r="A8" s="25"/>
      <c r="B8" s="16">
        <v>0</v>
      </c>
      <c r="C8" s="34"/>
      <c r="D8" s="17">
        <v>43509</v>
      </c>
      <c r="E8" s="18">
        <v>25799.3</v>
      </c>
      <c r="G8" s="20">
        <v>43509</v>
      </c>
      <c r="H8" s="27">
        <v>0</v>
      </c>
      <c r="I8" s="28"/>
      <c r="J8" s="2" t="s">
        <v>8</v>
      </c>
      <c r="K8" s="35">
        <f>7187.5+7187.5+7187.5+7187.5</f>
        <v>28750</v>
      </c>
      <c r="L8" s="23">
        <f>20000+5800</f>
        <v>25800</v>
      </c>
      <c r="M8" s="33"/>
    </row>
    <row r="9" spans="1:13" ht="16.5" thickBot="1" x14ac:dyDescent="0.3">
      <c r="A9" s="25"/>
      <c r="B9" s="16">
        <v>0</v>
      </c>
      <c r="C9" s="36"/>
      <c r="D9" s="17">
        <v>43510</v>
      </c>
      <c r="E9" s="18">
        <v>37753.85</v>
      </c>
      <c r="G9" s="20">
        <v>43510</v>
      </c>
      <c r="H9" s="27">
        <v>0</v>
      </c>
      <c r="I9" s="126">
        <v>43506</v>
      </c>
      <c r="J9" s="2" t="s">
        <v>82</v>
      </c>
      <c r="K9" s="29">
        <v>8842.02</v>
      </c>
      <c r="L9" s="23">
        <v>43552.5</v>
      </c>
      <c r="M9" s="33"/>
    </row>
    <row r="10" spans="1:13" ht="16.5" thickBot="1" x14ac:dyDescent="0.3">
      <c r="A10" s="25"/>
      <c r="B10" s="16">
        <v>0</v>
      </c>
      <c r="C10" s="34"/>
      <c r="D10" s="17">
        <v>43511</v>
      </c>
      <c r="E10" s="18">
        <v>74722.7</v>
      </c>
      <c r="G10" s="20">
        <v>43511</v>
      </c>
      <c r="H10" s="27">
        <v>0</v>
      </c>
      <c r="I10" s="126">
        <v>43513</v>
      </c>
      <c r="J10" s="2" t="s">
        <v>83</v>
      </c>
      <c r="K10" s="29">
        <v>9150.08</v>
      </c>
      <c r="L10" s="23">
        <v>74723</v>
      </c>
      <c r="M10" s="38"/>
    </row>
    <row r="11" spans="1:13" ht="16.5" thickBot="1" x14ac:dyDescent="0.3">
      <c r="A11" s="25"/>
      <c r="B11" s="16">
        <v>0</v>
      </c>
      <c r="C11" s="34"/>
      <c r="D11" s="17">
        <v>43512</v>
      </c>
      <c r="E11" s="18">
        <v>66227.17</v>
      </c>
      <c r="G11" s="20">
        <v>43512</v>
      </c>
      <c r="H11" s="27">
        <v>0</v>
      </c>
      <c r="I11" s="126">
        <v>43520</v>
      </c>
      <c r="J11" s="2" t="s">
        <v>84</v>
      </c>
      <c r="K11" s="29">
        <v>8864.7000000000007</v>
      </c>
      <c r="L11" s="23">
        <f>25000+41227</f>
        <v>66227</v>
      </c>
      <c r="M11" s="33"/>
    </row>
    <row r="12" spans="1:13" ht="16.5" thickBot="1" x14ac:dyDescent="0.3">
      <c r="A12" s="25"/>
      <c r="B12" s="16">
        <v>0</v>
      </c>
      <c r="C12" s="34"/>
      <c r="D12" s="17">
        <v>43513</v>
      </c>
      <c r="E12" s="18">
        <v>92846.15</v>
      </c>
      <c r="G12" s="20">
        <v>43513</v>
      </c>
      <c r="H12" s="27">
        <v>0</v>
      </c>
      <c r="I12" s="126">
        <v>43527</v>
      </c>
      <c r="J12" s="2" t="s">
        <v>85</v>
      </c>
      <c r="K12" s="29">
        <v>8556.68</v>
      </c>
      <c r="L12" s="23">
        <v>92846</v>
      </c>
      <c r="M12" s="39"/>
    </row>
    <row r="13" spans="1:13" ht="16.5" thickBot="1" x14ac:dyDescent="0.3">
      <c r="A13" s="25"/>
      <c r="B13" s="16">
        <v>0</v>
      </c>
      <c r="C13" s="34"/>
      <c r="D13" s="17">
        <v>43514</v>
      </c>
      <c r="E13" s="18">
        <v>84057.45</v>
      </c>
      <c r="G13" s="20">
        <v>43514</v>
      </c>
      <c r="H13" s="27">
        <v>100</v>
      </c>
      <c r="I13" s="126"/>
      <c r="J13" s="2" t="s">
        <v>86</v>
      </c>
      <c r="K13" s="29">
        <v>0</v>
      </c>
      <c r="L13" s="23">
        <f>20000+63958</f>
        <v>83958</v>
      </c>
      <c r="M13" s="33"/>
    </row>
    <row r="14" spans="1:13" ht="16.5" thickBot="1" x14ac:dyDescent="0.3">
      <c r="A14" s="25"/>
      <c r="B14" s="16">
        <v>0</v>
      </c>
      <c r="C14" s="36"/>
      <c r="D14" s="17">
        <v>43515</v>
      </c>
      <c r="E14" s="18">
        <v>27665.87</v>
      </c>
      <c r="G14" s="20">
        <v>43515</v>
      </c>
      <c r="H14" s="27">
        <v>0</v>
      </c>
      <c r="I14" s="126"/>
      <c r="J14" s="41" t="s">
        <v>9</v>
      </c>
      <c r="K14" s="29">
        <v>0</v>
      </c>
      <c r="L14" s="23">
        <v>27666</v>
      </c>
      <c r="M14" s="33"/>
    </row>
    <row r="15" spans="1:13" ht="16.5" thickBot="1" x14ac:dyDescent="0.3">
      <c r="A15" s="25"/>
      <c r="B15" s="16">
        <v>0</v>
      </c>
      <c r="C15" s="36"/>
      <c r="D15" s="17">
        <v>43516</v>
      </c>
      <c r="E15" s="18">
        <v>58318.01</v>
      </c>
      <c r="G15" s="20">
        <v>43516</v>
      </c>
      <c r="H15" s="27">
        <v>0</v>
      </c>
      <c r="I15" s="28"/>
      <c r="J15" s="42"/>
      <c r="K15" s="29">
        <v>0</v>
      </c>
      <c r="L15" s="23">
        <f>30000+28318</f>
        <v>58318</v>
      </c>
      <c r="M15" s="33"/>
    </row>
    <row r="16" spans="1:13" ht="16.5" thickBot="1" x14ac:dyDescent="0.3">
      <c r="A16" s="25"/>
      <c r="B16" s="16">
        <v>0</v>
      </c>
      <c r="C16" s="36"/>
      <c r="D16" s="17">
        <v>43517</v>
      </c>
      <c r="E16" s="18">
        <v>47899.839999999997</v>
      </c>
      <c r="G16" s="20">
        <v>43517</v>
      </c>
      <c r="H16" s="27">
        <v>0</v>
      </c>
      <c r="I16" s="28"/>
      <c r="J16" s="43"/>
      <c r="K16" s="8">
        <v>0</v>
      </c>
      <c r="L16" s="23">
        <v>47900</v>
      </c>
      <c r="M16" s="33"/>
    </row>
    <row r="17" spans="1:14" ht="16.5" thickBot="1" x14ac:dyDescent="0.3">
      <c r="A17" s="25"/>
      <c r="B17" s="16">
        <v>0</v>
      </c>
      <c r="C17" s="36"/>
      <c r="D17" s="17">
        <v>43518</v>
      </c>
      <c r="E17" s="18">
        <v>54086.96</v>
      </c>
      <c r="G17" s="20">
        <v>43518</v>
      </c>
      <c r="H17" s="27">
        <v>0</v>
      </c>
      <c r="I17" s="44"/>
      <c r="K17" s="8">
        <v>0</v>
      </c>
      <c r="L17" s="23">
        <v>54087</v>
      </c>
      <c r="M17" s="33"/>
    </row>
    <row r="18" spans="1:14" ht="16.5" thickBot="1" x14ac:dyDescent="0.3">
      <c r="A18" s="25"/>
      <c r="B18" s="16">
        <v>0</v>
      </c>
      <c r="C18" s="34"/>
      <c r="D18" s="17">
        <v>43519</v>
      </c>
      <c r="E18" s="18">
        <v>84494.45</v>
      </c>
      <c r="G18" s="20">
        <v>43519</v>
      </c>
      <c r="H18" s="27">
        <v>36</v>
      </c>
      <c r="I18" s="44"/>
      <c r="K18" s="8">
        <v>0</v>
      </c>
      <c r="L18" s="23">
        <f>58558.5+25000</f>
        <v>83558.5</v>
      </c>
      <c r="M18" s="33"/>
    </row>
    <row r="19" spans="1:14" ht="16.5" thickBot="1" x14ac:dyDescent="0.3">
      <c r="A19" s="25"/>
      <c r="B19" s="16">
        <v>0</v>
      </c>
      <c r="C19" s="36"/>
      <c r="D19" s="17">
        <v>43520</v>
      </c>
      <c r="E19" s="18">
        <v>99364.87</v>
      </c>
      <c r="G19" s="20">
        <v>43520</v>
      </c>
      <c r="H19" s="27">
        <v>0</v>
      </c>
      <c r="I19" s="28"/>
      <c r="K19" s="8">
        <v>0</v>
      </c>
      <c r="L19" s="23">
        <f>85000+14365</f>
        <v>99365</v>
      </c>
      <c r="M19" s="45"/>
    </row>
    <row r="20" spans="1:14" ht="16.5" thickBot="1" x14ac:dyDescent="0.3">
      <c r="A20" s="25"/>
      <c r="B20" s="16">
        <v>0</v>
      </c>
      <c r="C20" s="46"/>
      <c r="D20" s="17">
        <v>43521</v>
      </c>
      <c r="E20" s="18">
        <v>44451.88</v>
      </c>
      <c r="G20" s="20">
        <v>43521</v>
      </c>
      <c r="H20" s="27">
        <v>90</v>
      </c>
      <c r="I20" s="47"/>
      <c r="J20" s="48"/>
      <c r="K20" s="28" t="s">
        <v>10</v>
      </c>
      <c r="L20" s="23">
        <f>20000+24362</f>
        <v>44362</v>
      </c>
      <c r="M20" s="45"/>
    </row>
    <row r="21" spans="1:14" ht="16.5" thickBot="1" x14ac:dyDescent="0.3">
      <c r="A21" s="25"/>
      <c r="B21" s="16">
        <v>0</v>
      </c>
      <c r="C21" s="46"/>
      <c r="D21" s="17">
        <v>43522</v>
      </c>
      <c r="E21" s="18">
        <v>31791.85</v>
      </c>
      <c r="G21" s="20">
        <v>43522</v>
      </c>
      <c r="H21" s="27">
        <v>0</v>
      </c>
      <c r="I21" s="33"/>
      <c r="J21" s="49"/>
      <c r="K21" s="28"/>
      <c r="L21" s="23">
        <v>31792</v>
      </c>
      <c r="M21" s="33"/>
    </row>
    <row r="22" spans="1:14" ht="16.5" thickBot="1" x14ac:dyDescent="0.3">
      <c r="A22" s="25"/>
      <c r="B22" s="16">
        <v>0</v>
      </c>
      <c r="C22" s="36"/>
      <c r="D22" s="17">
        <v>43523</v>
      </c>
      <c r="E22" s="18">
        <v>48642.7</v>
      </c>
      <c r="G22" s="20">
        <v>43523</v>
      </c>
      <c r="H22" s="27">
        <v>0</v>
      </c>
      <c r="I22" s="47" t="s">
        <v>11</v>
      </c>
      <c r="J22" s="50"/>
      <c r="K22" s="28">
        <v>0</v>
      </c>
      <c r="L22" s="23">
        <f>45000+3642.5</f>
        <v>48642.5</v>
      </c>
      <c r="M22" s="45"/>
    </row>
    <row r="23" spans="1:14" ht="16.5" thickBot="1" x14ac:dyDescent="0.3">
      <c r="A23" s="25"/>
      <c r="B23" s="16">
        <v>0</v>
      </c>
      <c r="C23" s="36"/>
      <c r="D23" s="17">
        <v>43524</v>
      </c>
      <c r="E23" s="18">
        <v>44472.41</v>
      </c>
      <c r="G23" s="20">
        <v>43524</v>
      </c>
      <c r="H23" s="27">
        <v>0</v>
      </c>
      <c r="I23" s="28"/>
      <c r="J23" s="49"/>
      <c r="K23" s="28">
        <v>0</v>
      </c>
      <c r="L23" s="23">
        <v>44472.5</v>
      </c>
      <c r="M23" s="33"/>
    </row>
    <row r="24" spans="1:14" ht="16.5" thickBot="1" x14ac:dyDescent="0.3">
      <c r="A24" s="25"/>
      <c r="B24" s="16">
        <v>0</v>
      </c>
      <c r="C24" s="36"/>
      <c r="D24" s="135">
        <v>43525</v>
      </c>
      <c r="E24" s="18">
        <v>57112.66</v>
      </c>
      <c r="G24" s="136">
        <v>43525</v>
      </c>
      <c r="H24" s="27">
        <v>40</v>
      </c>
      <c r="I24" s="28"/>
      <c r="J24" s="56"/>
      <c r="K24" s="28">
        <v>0</v>
      </c>
      <c r="L24" s="23">
        <v>57073</v>
      </c>
      <c r="M24" s="33"/>
    </row>
    <row r="25" spans="1:14" ht="16.5" thickBot="1" x14ac:dyDescent="0.3">
      <c r="A25" s="25"/>
      <c r="B25" s="16">
        <v>0</v>
      </c>
      <c r="C25" s="46"/>
      <c r="D25" s="135">
        <v>43526</v>
      </c>
      <c r="E25" s="18">
        <v>78132.78</v>
      </c>
      <c r="G25" s="136">
        <v>43526</v>
      </c>
      <c r="H25" s="27">
        <v>0</v>
      </c>
      <c r="I25" s="28"/>
      <c r="J25" s="52"/>
      <c r="K25" s="28"/>
      <c r="L25" s="23">
        <f>35000+43133</f>
        <v>78133</v>
      </c>
      <c r="M25" s="33"/>
    </row>
    <row r="26" spans="1:14" ht="16.5" thickBot="1" x14ac:dyDescent="0.3">
      <c r="A26" s="25"/>
      <c r="B26" s="16">
        <v>0</v>
      </c>
      <c r="C26" s="36"/>
      <c r="D26" s="135">
        <v>43527</v>
      </c>
      <c r="E26" s="18">
        <v>86014.24</v>
      </c>
      <c r="G26" s="136">
        <v>43527</v>
      </c>
      <c r="H26" s="27">
        <v>0</v>
      </c>
      <c r="I26" s="40">
        <v>43519</v>
      </c>
      <c r="J26" s="53" t="s">
        <v>12</v>
      </c>
      <c r="K26" s="28">
        <v>900</v>
      </c>
      <c r="L26" s="23">
        <v>86014</v>
      </c>
      <c r="M26" s="33"/>
    </row>
    <row r="27" spans="1:14" ht="16.5" thickBot="1" x14ac:dyDescent="0.3">
      <c r="A27" s="25"/>
      <c r="B27" s="16">
        <v>0</v>
      </c>
      <c r="C27" s="36"/>
      <c r="D27" s="135">
        <v>43528</v>
      </c>
      <c r="E27" s="18">
        <v>81432.55</v>
      </c>
      <c r="G27" s="136">
        <v>43528</v>
      </c>
      <c r="H27" s="27">
        <v>0</v>
      </c>
      <c r="I27" s="28"/>
      <c r="J27" s="54"/>
      <c r="K27" s="28">
        <v>0</v>
      </c>
      <c r="L27" s="23">
        <f>60000+21432.5</f>
        <v>81432.5</v>
      </c>
      <c r="M27" s="33"/>
    </row>
    <row r="28" spans="1:14" ht="16.5" thickBot="1" x14ac:dyDescent="0.3">
      <c r="A28" s="25"/>
      <c r="B28" s="16">
        <v>0</v>
      </c>
      <c r="C28" s="36"/>
      <c r="D28" s="135">
        <v>43529</v>
      </c>
      <c r="E28" s="18">
        <v>25924.35</v>
      </c>
      <c r="G28" s="136">
        <v>43529</v>
      </c>
      <c r="H28" s="27">
        <v>0</v>
      </c>
      <c r="I28" s="28"/>
      <c r="J28" s="55" t="s">
        <v>13</v>
      </c>
      <c r="K28" s="28">
        <v>0</v>
      </c>
      <c r="L28" s="23">
        <v>25924.5</v>
      </c>
      <c r="M28" s="33"/>
    </row>
    <row r="29" spans="1:14" ht="16.5" thickBot="1" x14ac:dyDescent="0.3">
      <c r="A29" s="1"/>
      <c r="B29" s="16">
        <v>0</v>
      </c>
      <c r="C29" s="36"/>
      <c r="D29" s="135">
        <v>43530</v>
      </c>
      <c r="E29" s="70">
        <v>46492.94</v>
      </c>
      <c r="G29" s="136">
        <v>43530</v>
      </c>
      <c r="H29" s="27">
        <v>0</v>
      </c>
      <c r="I29" s="40">
        <v>43530</v>
      </c>
      <c r="J29" s="55" t="s">
        <v>116</v>
      </c>
      <c r="K29" s="28">
        <v>870</v>
      </c>
      <c r="L29" s="23">
        <v>52903.5</v>
      </c>
      <c r="M29" s="33"/>
    </row>
    <row r="30" spans="1:14" ht="16.5" thickBot="1" x14ac:dyDescent="0.3">
      <c r="A30" s="1"/>
      <c r="B30" s="16">
        <v>0</v>
      </c>
      <c r="C30" s="36"/>
      <c r="D30" s="135">
        <v>43531</v>
      </c>
      <c r="E30" s="70">
        <v>57227.21</v>
      </c>
      <c r="G30" s="136">
        <v>43531</v>
      </c>
      <c r="H30" s="27">
        <v>0</v>
      </c>
      <c r="I30" s="28"/>
      <c r="J30" s="55"/>
      <c r="K30" s="28"/>
      <c r="L30" s="23">
        <v>71477</v>
      </c>
      <c r="M30" s="138">
        <v>14250</v>
      </c>
      <c r="N30" t="s">
        <v>117</v>
      </c>
    </row>
    <row r="31" spans="1:14" ht="16.5" thickBot="1" x14ac:dyDescent="0.3">
      <c r="A31" s="1"/>
      <c r="B31" s="16">
        <v>0</v>
      </c>
      <c r="C31" s="36"/>
      <c r="D31" s="135">
        <v>43532</v>
      </c>
      <c r="E31" s="70">
        <v>59286.32</v>
      </c>
      <c r="G31" s="136">
        <v>43532</v>
      </c>
      <c r="H31" s="27">
        <v>0</v>
      </c>
      <c r="I31" s="28"/>
      <c r="J31" s="55"/>
      <c r="K31" s="28"/>
      <c r="L31" s="23">
        <v>45000</v>
      </c>
      <c r="M31" s="139">
        <v>-14250</v>
      </c>
      <c r="N31" t="s">
        <v>118</v>
      </c>
    </row>
    <row r="32" spans="1:14" ht="19.5" thickBot="1" x14ac:dyDescent="0.35">
      <c r="A32" s="58"/>
      <c r="B32" s="16">
        <v>0</v>
      </c>
      <c r="C32" s="12"/>
      <c r="D32" s="130"/>
      <c r="E32" s="132">
        <v>0</v>
      </c>
      <c r="F32" s="131"/>
      <c r="G32" s="129">
        <v>52903</v>
      </c>
      <c r="H32" s="133"/>
      <c r="I32" s="5"/>
      <c r="J32" s="56"/>
      <c r="K32" s="29"/>
      <c r="L32" s="137">
        <f>SUM(L5:L31)</f>
        <v>1610595</v>
      </c>
      <c r="M32" s="4"/>
    </row>
    <row r="33" spans="1:13" ht="15.75" thickBot="1" x14ac:dyDescent="0.3">
      <c r="A33" s="61"/>
      <c r="B33" s="62">
        <f>SUM(B5:B32)</f>
        <v>0</v>
      </c>
      <c r="D33" s="63" t="s">
        <v>15</v>
      </c>
      <c r="E33" s="64">
        <f>SUM(E5:E32)</f>
        <v>1560614.3099999998</v>
      </c>
      <c r="G33" s="7" t="s">
        <v>15</v>
      </c>
      <c r="H33" s="132">
        <f>SUM(H5:H32)</f>
        <v>367.95</v>
      </c>
      <c r="I33" s="28"/>
      <c r="J33" s="65" t="s">
        <v>15</v>
      </c>
      <c r="K33" s="29">
        <f>SUM(K5:K32)</f>
        <v>73187.48000000001</v>
      </c>
      <c r="L33" s="9"/>
      <c r="M33" s="4"/>
    </row>
    <row r="34" spans="1:13" x14ac:dyDescent="0.25">
      <c r="A34" s="1"/>
      <c r="B34" s="5"/>
      <c r="E34" s="5"/>
      <c r="I34" s="5"/>
      <c r="L34" s="9"/>
      <c r="M34" s="4"/>
    </row>
    <row r="35" spans="1:13" ht="16.5" thickBot="1" x14ac:dyDescent="0.3">
      <c r="A35" s="1"/>
      <c r="B35" s="5">
        <v>0</v>
      </c>
      <c r="E35" s="5"/>
      <c r="G35" s="187" t="s">
        <v>16</v>
      </c>
      <c r="H35" s="188"/>
      <c r="I35" s="66"/>
      <c r="J35" s="189">
        <f>H33+K33</f>
        <v>73555.430000000008</v>
      </c>
      <c r="K35" s="190"/>
      <c r="L35" s="67"/>
      <c r="M35" s="68"/>
    </row>
    <row r="36" spans="1:13" ht="15.75" x14ac:dyDescent="0.25">
      <c r="A36" s="1"/>
      <c r="B36" s="69"/>
      <c r="C36" s="191" t="s">
        <v>17</v>
      </c>
      <c r="D36" s="191"/>
      <c r="E36" s="70">
        <f>E33-J35</f>
        <v>1487058.88</v>
      </c>
      <c r="F36" s="71"/>
      <c r="G36" s="71"/>
      <c r="H36" s="72"/>
      <c r="I36" s="72"/>
      <c r="J36" s="73"/>
      <c r="K36" s="74"/>
      <c r="L36" s="67"/>
      <c r="M36" s="68"/>
    </row>
    <row r="37" spans="1:13" x14ac:dyDescent="0.25">
      <c r="A37" s="1"/>
      <c r="B37" s="75"/>
      <c r="D37" s="2" t="s">
        <v>18</v>
      </c>
      <c r="E37" s="28">
        <v>30941.599999999999</v>
      </c>
      <c r="H37" s="192" t="s">
        <v>19</v>
      </c>
      <c r="I37" s="192"/>
      <c r="J37" s="192">
        <f>E41</f>
        <v>248440.28999999986</v>
      </c>
      <c r="K37" s="193"/>
      <c r="L37" s="67"/>
      <c r="M37" s="68"/>
    </row>
    <row r="38" spans="1:13" ht="15.75" thickBot="1" x14ac:dyDescent="0.3">
      <c r="A38" s="1"/>
      <c r="B38" s="75" t="s">
        <v>11</v>
      </c>
      <c r="C38" s="6" t="s">
        <v>20</v>
      </c>
      <c r="E38" s="76">
        <v>-1536641.35</v>
      </c>
      <c r="H38" s="194" t="s">
        <v>1</v>
      </c>
      <c r="I38" s="194"/>
      <c r="J38" s="195">
        <f>-B4</f>
        <v>-189911.38</v>
      </c>
      <c r="K38" s="196"/>
      <c r="L38" s="67"/>
      <c r="M38" s="68"/>
    </row>
    <row r="39" spans="1:13" ht="20.25" thickTop="1" thickBot="1" x14ac:dyDescent="0.3">
      <c r="A39" s="1"/>
      <c r="B39" s="75"/>
      <c r="D39" s="2" t="s">
        <v>21</v>
      </c>
      <c r="E39" s="28">
        <f>SUM(E36:E38)</f>
        <v>-18640.870000000112</v>
      </c>
      <c r="H39" s="179" t="s">
        <v>88</v>
      </c>
      <c r="I39" s="180"/>
      <c r="J39" s="181">
        <f>SUM(J36:K38)</f>
        <v>58528.909999999858</v>
      </c>
      <c r="K39" s="182"/>
      <c r="L39" s="67"/>
      <c r="M39" s="68"/>
    </row>
    <row r="40" spans="1:13" ht="16.5" thickBot="1" x14ac:dyDescent="0.3">
      <c r="A40" s="1"/>
      <c r="B40" s="75"/>
      <c r="C40" s="10" t="s">
        <v>112</v>
      </c>
      <c r="D40" s="77"/>
      <c r="E40" s="78">
        <v>267081.15999999997</v>
      </c>
      <c r="J40" s="183"/>
      <c r="K40" s="184"/>
      <c r="L40" s="67"/>
      <c r="M40" s="68"/>
    </row>
    <row r="41" spans="1:13" ht="19.5" thickBot="1" x14ac:dyDescent="0.3">
      <c r="A41" s="1"/>
      <c r="B41" s="79"/>
      <c r="C41" s="80"/>
      <c r="D41" s="80" t="s">
        <v>23</v>
      </c>
      <c r="E41" s="81">
        <f>E40+E39</f>
        <v>248440.28999999986</v>
      </c>
      <c r="F41" s="82"/>
      <c r="G41" s="82"/>
      <c r="H41" s="83"/>
      <c r="I41" s="84"/>
      <c r="J41" s="185"/>
      <c r="K41" s="186"/>
      <c r="L41" s="67"/>
      <c r="M41" s="68"/>
    </row>
    <row r="45" spans="1:13" x14ac:dyDescent="0.25">
      <c r="D45" s="2" t="s">
        <v>11</v>
      </c>
    </row>
  </sheetData>
  <mergeCells count="17">
    <mergeCell ref="B1:J1"/>
    <mergeCell ref="A3:B3"/>
    <mergeCell ref="D3:F3"/>
    <mergeCell ref="G3:H3"/>
    <mergeCell ref="D4:E4"/>
    <mergeCell ref="H4:K4"/>
    <mergeCell ref="C36:D36"/>
    <mergeCell ref="H37:I37"/>
    <mergeCell ref="J37:K37"/>
    <mergeCell ref="H38:I38"/>
    <mergeCell ref="J38:K38"/>
    <mergeCell ref="H39:I39"/>
    <mergeCell ref="J39:K39"/>
    <mergeCell ref="J40:K40"/>
    <mergeCell ref="J41:K41"/>
    <mergeCell ref="G35:H35"/>
    <mergeCell ref="J35:K35"/>
  </mergeCells>
  <pageMargins left="0.70866141732283472" right="0.11811023622047245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J31"/>
  <sheetViews>
    <sheetView workbookViewId="0">
      <selection activeCell="C38" sqref="C38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06" t="s">
        <v>29</v>
      </c>
      <c r="D1" s="207"/>
      <c r="E1" s="208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09" t="s">
        <v>35</v>
      </c>
      <c r="I2" s="210"/>
      <c r="J2" s="211"/>
    </row>
    <row r="3" spans="1:10" x14ac:dyDescent="0.25">
      <c r="A3" s="90">
        <v>43507</v>
      </c>
      <c r="B3" s="91" t="s">
        <v>89</v>
      </c>
      <c r="C3" s="92">
        <v>92187</v>
      </c>
      <c r="D3" s="117"/>
      <c r="E3" s="92"/>
      <c r="F3" s="94">
        <f t="shared" ref="F3:F30" si="0">C3-E3</f>
        <v>92187</v>
      </c>
      <c r="H3" s="212"/>
      <c r="I3" s="213"/>
      <c r="J3" s="214"/>
    </row>
    <row r="4" spans="1:10" x14ac:dyDescent="0.25">
      <c r="A4" s="90">
        <v>43509</v>
      </c>
      <c r="B4" s="91" t="s">
        <v>90</v>
      </c>
      <c r="C4" s="92">
        <v>60452</v>
      </c>
      <c r="D4" s="117"/>
      <c r="E4" s="95"/>
      <c r="F4" s="96">
        <f t="shared" si="0"/>
        <v>60452</v>
      </c>
      <c r="H4" s="212"/>
      <c r="I4" s="213"/>
      <c r="J4" s="214"/>
    </row>
    <row r="5" spans="1:10" ht="15.75" thickBot="1" x14ac:dyDescent="0.3">
      <c r="A5" s="97">
        <v>43510</v>
      </c>
      <c r="B5" s="98" t="s">
        <v>91</v>
      </c>
      <c r="C5" s="95">
        <v>118963</v>
      </c>
      <c r="D5" s="117"/>
      <c r="E5" s="95"/>
      <c r="F5" s="96">
        <f t="shared" si="0"/>
        <v>118963</v>
      </c>
      <c r="H5" s="215"/>
      <c r="I5" s="216"/>
      <c r="J5" s="217"/>
    </row>
    <row r="6" spans="1:10" x14ac:dyDescent="0.25">
      <c r="A6" s="97">
        <v>43511</v>
      </c>
      <c r="B6" s="98" t="s">
        <v>92</v>
      </c>
      <c r="C6" s="95">
        <v>42438.84</v>
      </c>
      <c r="D6" s="117"/>
      <c r="E6" s="95"/>
      <c r="F6" s="99">
        <f t="shared" si="0"/>
        <v>42438.84</v>
      </c>
    </row>
    <row r="7" spans="1:10" x14ac:dyDescent="0.25">
      <c r="A7" s="97">
        <v>43511</v>
      </c>
      <c r="B7" s="98" t="s">
        <v>93</v>
      </c>
      <c r="C7" s="95">
        <v>4472</v>
      </c>
      <c r="D7" s="117"/>
      <c r="E7" s="95"/>
      <c r="F7" s="99">
        <f t="shared" si="0"/>
        <v>4472</v>
      </c>
    </row>
    <row r="8" spans="1:10" x14ac:dyDescent="0.25">
      <c r="A8" s="97">
        <v>43512</v>
      </c>
      <c r="B8" s="98" t="s">
        <v>94</v>
      </c>
      <c r="C8" s="95">
        <v>90362.68</v>
      </c>
      <c r="D8" s="117"/>
      <c r="E8" s="95"/>
      <c r="F8" s="99">
        <f t="shared" si="0"/>
        <v>90362.68</v>
      </c>
    </row>
    <row r="9" spans="1:10" x14ac:dyDescent="0.25">
      <c r="A9" s="97">
        <v>43513</v>
      </c>
      <c r="B9" s="98" t="s">
        <v>95</v>
      </c>
      <c r="C9" s="95">
        <v>941</v>
      </c>
      <c r="D9" s="117"/>
      <c r="E9" s="95"/>
      <c r="F9" s="99">
        <f t="shared" si="0"/>
        <v>941</v>
      </c>
    </row>
    <row r="10" spans="1:10" x14ac:dyDescent="0.25">
      <c r="A10" s="97">
        <v>43514</v>
      </c>
      <c r="B10" s="98" t="s">
        <v>96</v>
      </c>
      <c r="C10" s="95">
        <v>109512.62</v>
      </c>
      <c r="D10" s="117"/>
      <c r="E10" s="95"/>
      <c r="F10" s="99">
        <f t="shared" si="0"/>
        <v>109512.62</v>
      </c>
    </row>
    <row r="11" spans="1:10" x14ac:dyDescent="0.25">
      <c r="A11" s="97">
        <v>43514</v>
      </c>
      <c r="B11" s="100" t="s">
        <v>97</v>
      </c>
      <c r="C11" s="95">
        <v>3989.6</v>
      </c>
      <c r="D11" s="117"/>
      <c r="E11" s="95"/>
      <c r="F11" s="99">
        <f t="shared" si="0"/>
        <v>3989.6</v>
      </c>
    </row>
    <row r="12" spans="1:10" x14ac:dyDescent="0.25">
      <c r="A12" s="97">
        <v>43515</v>
      </c>
      <c r="B12" s="98" t="s">
        <v>98</v>
      </c>
      <c r="C12" s="95">
        <v>55102.5</v>
      </c>
      <c r="D12" s="117"/>
      <c r="E12" s="95"/>
      <c r="F12" s="99">
        <f t="shared" si="0"/>
        <v>55102.5</v>
      </c>
    </row>
    <row r="13" spans="1:10" x14ac:dyDescent="0.25">
      <c r="A13" s="101">
        <v>43517</v>
      </c>
      <c r="B13" s="102" t="s">
        <v>99</v>
      </c>
      <c r="C13" s="95">
        <v>93239.8</v>
      </c>
      <c r="D13" s="117"/>
      <c r="E13" s="95"/>
      <c r="F13" s="99">
        <f t="shared" si="0"/>
        <v>93239.8</v>
      </c>
    </row>
    <row r="14" spans="1:10" x14ac:dyDescent="0.25">
      <c r="A14" s="101">
        <v>43518</v>
      </c>
      <c r="B14" s="102" t="s">
        <v>100</v>
      </c>
      <c r="C14" s="95">
        <v>2626</v>
      </c>
      <c r="D14" s="117"/>
      <c r="E14" s="95"/>
      <c r="F14" s="99">
        <f t="shared" si="0"/>
        <v>2626</v>
      </c>
    </row>
    <row r="15" spans="1:10" x14ac:dyDescent="0.25">
      <c r="A15" s="101">
        <v>43519</v>
      </c>
      <c r="B15" s="102" t="s">
        <v>101</v>
      </c>
      <c r="C15" s="95">
        <v>44940</v>
      </c>
      <c r="D15" s="117"/>
      <c r="E15" s="95"/>
      <c r="F15" s="99">
        <f t="shared" si="0"/>
        <v>44940</v>
      </c>
    </row>
    <row r="16" spans="1:10" x14ac:dyDescent="0.25">
      <c r="A16" s="101">
        <v>43519</v>
      </c>
      <c r="B16" s="102" t="s">
        <v>102</v>
      </c>
      <c r="C16" s="95">
        <v>38844</v>
      </c>
      <c r="D16" s="117"/>
      <c r="E16" s="95"/>
      <c r="F16" s="99">
        <f t="shared" si="0"/>
        <v>38844</v>
      </c>
    </row>
    <row r="17" spans="1:6" x14ac:dyDescent="0.25">
      <c r="A17" s="101">
        <v>43519</v>
      </c>
      <c r="B17" s="102" t="s">
        <v>103</v>
      </c>
      <c r="C17" s="95">
        <v>28639.5</v>
      </c>
      <c r="D17" s="117"/>
      <c r="E17" s="95"/>
      <c r="F17" s="99">
        <f t="shared" si="0"/>
        <v>28639.5</v>
      </c>
    </row>
    <row r="18" spans="1:6" x14ac:dyDescent="0.25">
      <c r="A18" s="101">
        <v>43521</v>
      </c>
      <c r="B18" s="102" t="s">
        <v>104</v>
      </c>
      <c r="C18" s="95">
        <v>99361.4</v>
      </c>
      <c r="D18" s="117"/>
      <c r="E18" s="95"/>
      <c r="F18" s="99">
        <f t="shared" si="0"/>
        <v>99361.4</v>
      </c>
    </row>
    <row r="19" spans="1:6" x14ac:dyDescent="0.25">
      <c r="A19" s="101">
        <v>43518</v>
      </c>
      <c r="B19" s="102" t="s">
        <v>105</v>
      </c>
      <c r="C19" s="95">
        <v>46528</v>
      </c>
      <c r="D19" s="117"/>
      <c r="E19" s="95"/>
      <c r="F19" s="99">
        <f t="shared" si="0"/>
        <v>46528</v>
      </c>
    </row>
    <row r="20" spans="1:6" x14ac:dyDescent="0.25">
      <c r="A20" s="101">
        <v>43523</v>
      </c>
      <c r="B20" s="102" t="s">
        <v>106</v>
      </c>
      <c r="C20" s="95">
        <v>909</v>
      </c>
      <c r="D20" s="117"/>
      <c r="E20" s="95"/>
      <c r="F20" s="99">
        <f t="shared" si="0"/>
        <v>909</v>
      </c>
    </row>
    <row r="21" spans="1:6" x14ac:dyDescent="0.25">
      <c r="A21" s="101">
        <v>43524</v>
      </c>
      <c r="B21" s="102" t="s">
        <v>107</v>
      </c>
      <c r="C21" s="95">
        <v>126518</v>
      </c>
      <c r="D21" s="117"/>
      <c r="E21" s="95"/>
      <c r="F21" s="99">
        <f t="shared" si="0"/>
        <v>126518</v>
      </c>
    </row>
    <row r="22" spans="1:6" x14ac:dyDescent="0.25">
      <c r="A22" s="101">
        <v>43525</v>
      </c>
      <c r="B22" s="102" t="s">
        <v>108</v>
      </c>
      <c r="C22" s="95">
        <v>75632.3</v>
      </c>
      <c r="D22" s="117"/>
      <c r="E22" s="95"/>
      <c r="F22" s="99">
        <f t="shared" si="0"/>
        <v>75632.3</v>
      </c>
    </row>
    <row r="23" spans="1:6" x14ac:dyDescent="0.25">
      <c r="A23" s="101">
        <v>43525</v>
      </c>
      <c r="B23" s="102" t="s">
        <v>109</v>
      </c>
      <c r="C23" s="95">
        <v>5555.6</v>
      </c>
      <c r="D23" s="117"/>
      <c r="E23" s="95"/>
      <c r="F23" s="99">
        <f t="shared" si="0"/>
        <v>5555.6</v>
      </c>
    </row>
    <row r="24" spans="1:6" x14ac:dyDescent="0.25">
      <c r="A24" s="101">
        <v>43526</v>
      </c>
      <c r="B24" s="102" t="s">
        <v>110</v>
      </c>
      <c r="C24" s="95">
        <v>87203.6</v>
      </c>
      <c r="D24" s="117"/>
      <c r="E24" s="95"/>
      <c r="F24" s="99">
        <f t="shared" si="0"/>
        <v>87203.6</v>
      </c>
    </row>
    <row r="25" spans="1:6" x14ac:dyDescent="0.25">
      <c r="A25" s="101">
        <v>43528</v>
      </c>
      <c r="B25" s="102" t="s">
        <v>111</v>
      </c>
      <c r="C25" s="95">
        <v>100212.04</v>
      </c>
      <c r="D25" s="117"/>
      <c r="E25" s="95"/>
      <c r="F25" s="99">
        <f t="shared" si="0"/>
        <v>100212.04</v>
      </c>
    </row>
    <row r="26" spans="1:6" x14ac:dyDescent="0.25">
      <c r="A26" s="101">
        <v>43530</v>
      </c>
      <c r="B26" s="102" t="s">
        <v>113</v>
      </c>
      <c r="C26" s="95">
        <v>72174.86</v>
      </c>
      <c r="D26" s="117"/>
      <c r="E26" s="95"/>
      <c r="F26" s="99">
        <f t="shared" si="0"/>
        <v>72174.86</v>
      </c>
    </row>
    <row r="27" spans="1:6" x14ac:dyDescent="0.25">
      <c r="A27" s="101">
        <v>43531</v>
      </c>
      <c r="B27" s="102" t="s">
        <v>114</v>
      </c>
      <c r="C27" s="95">
        <v>119565.52</v>
      </c>
      <c r="D27" s="93"/>
      <c r="E27" s="95"/>
      <c r="F27" s="99">
        <f t="shared" si="0"/>
        <v>119565.52</v>
      </c>
    </row>
    <row r="28" spans="1:6" x14ac:dyDescent="0.25">
      <c r="A28" s="101">
        <v>43532</v>
      </c>
      <c r="B28" s="102" t="s">
        <v>115</v>
      </c>
      <c r="C28" s="95">
        <v>63764.99</v>
      </c>
      <c r="D28" s="93"/>
      <c r="E28" s="95"/>
      <c r="F28" s="99">
        <f t="shared" si="0"/>
        <v>63764.99</v>
      </c>
    </row>
    <row r="29" spans="1:6" x14ac:dyDescent="0.25">
      <c r="A29" s="101"/>
      <c r="B29" s="102"/>
      <c r="C29" s="95"/>
      <c r="D29" s="93"/>
      <c r="E29" s="95"/>
      <c r="F29" s="99">
        <f t="shared" si="0"/>
        <v>0</v>
      </c>
    </row>
    <row r="30" spans="1:6" ht="16.5" thickBot="1" x14ac:dyDescent="0.3">
      <c r="A30" s="103" t="s">
        <v>36</v>
      </c>
      <c r="B30" s="104"/>
      <c r="C30" s="105"/>
      <c r="D30" s="106"/>
      <c r="E30" s="107">
        <v>47494.5</v>
      </c>
      <c r="F30" s="108">
        <f t="shared" si="0"/>
        <v>-47494.5</v>
      </c>
    </row>
    <row r="31" spans="1:6" s="113" customFormat="1" ht="19.5" thickBot="1" x14ac:dyDescent="0.35">
      <c r="A31" s="109"/>
      <c r="B31" s="110"/>
      <c r="C31" s="111">
        <f>SUM(C3:C30)</f>
        <v>1584135.8500000003</v>
      </c>
      <c r="D31" s="111"/>
      <c r="E31" s="112">
        <f>SUM(E3:E30)</f>
        <v>47494.5</v>
      </c>
      <c r="F31" s="112">
        <f>SUM(F3:F30)</f>
        <v>1536641.3500000003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O44"/>
  <sheetViews>
    <sheetView workbookViewId="0">
      <selection activeCell="E7" sqref="E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5.28515625" style="14" customWidth="1"/>
  </cols>
  <sheetData>
    <row r="1" spans="1:15" ht="23.25" x14ac:dyDescent="0.35">
      <c r="A1" s="1"/>
      <c r="B1" s="197" t="s">
        <v>119</v>
      </c>
      <c r="C1" s="197"/>
      <c r="D1" s="197"/>
      <c r="E1" s="197"/>
      <c r="F1" s="197"/>
      <c r="G1" s="197"/>
      <c r="H1" s="197"/>
      <c r="I1" s="197"/>
      <c r="J1" s="197"/>
      <c r="L1" s="3" t="s">
        <v>0</v>
      </c>
      <c r="M1" s="4"/>
    </row>
    <row r="2" spans="1:15" x14ac:dyDescent="0.25">
      <c r="A2" s="1"/>
      <c r="B2" s="5"/>
      <c r="D2" s="7"/>
      <c r="E2" s="8"/>
      <c r="L2" s="9"/>
      <c r="M2" s="4"/>
    </row>
    <row r="3" spans="1:15" ht="19.5" customHeight="1" thickBot="1" x14ac:dyDescent="0.35">
      <c r="A3" s="204" t="s">
        <v>1</v>
      </c>
      <c r="B3" s="205"/>
      <c r="C3" s="10"/>
      <c r="D3" s="198" t="s">
        <v>2</v>
      </c>
      <c r="E3" s="198"/>
      <c r="F3" s="198"/>
      <c r="G3" s="199">
        <v>2000</v>
      </c>
      <c r="H3" s="199"/>
      <c r="I3" s="5"/>
      <c r="L3" s="9"/>
      <c r="M3" s="4"/>
    </row>
    <row r="4" spans="1:15" ht="20.25" thickTop="1" thickBot="1" x14ac:dyDescent="0.35">
      <c r="A4" s="120"/>
      <c r="B4" s="11">
        <v>267081.15999999997</v>
      </c>
      <c r="C4" s="141">
        <v>43532</v>
      </c>
      <c r="D4" s="200" t="s">
        <v>3</v>
      </c>
      <c r="E4" s="201"/>
      <c r="H4" s="202" t="s">
        <v>4</v>
      </c>
      <c r="I4" s="203"/>
      <c r="J4" s="203"/>
      <c r="K4" s="203"/>
      <c r="L4" s="13" t="s">
        <v>5</v>
      </c>
      <c r="N4" s="150"/>
      <c r="O4" s="150"/>
    </row>
    <row r="5" spans="1:15" ht="17.25" thickTop="1" thickBot="1" x14ac:dyDescent="0.3">
      <c r="A5" s="15"/>
      <c r="B5" s="16">
        <v>0</v>
      </c>
      <c r="C5" s="12"/>
      <c r="D5" s="17">
        <v>43533</v>
      </c>
      <c r="E5" s="18">
        <v>66596</v>
      </c>
      <c r="F5" s="19"/>
      <c r="G5" s="20">
        <v>43533</v>
      </c>
      <c r="H5" s="134">
        <v>0</v>
      </c>
      <c r="I5" s="21"/>
      <c r="J5" s="22"/>
      <c r="K5" s="22"/>
      <c r="L5" s="148">
        <f>30000+39117</f>
        <v>69117</v>
      </c>
      <c r="M5" s="24"/>
      <c r="N5" s="149"/>
      <c r="O5" s="150"/>
    </row>
    <row r="6" spans="1:15" ht="16.5" thickBot="1" x14ac:dyDescent="0.3">
      <c r="A6" s="25"/>
      <c r="B6" s="16">
        <v>0</v>
      </c>
      <c r="C6" s="12"/>
      <c r="D6" s="17">
        <v>43534</v>
      </c>
      <c r="E6" s="18">
        <v>69680.94</v>
      </c>
      <c r="F6" s="26"/>
      <c r="G6" s="20">
        <v>43534</v>
      </c>
      <c r="H6" s="27">
        <v>0</v>
      </c>
      <c r="I6" s="28"/>
      <c r="J6" s="2" t="s">
        <v>6</v>
      </c>
      <c r="K6" s="29">
        <v>549</v>
      </c>
      <c r="L6" s="148">
        <v>89275</v>
      </c>
      <c r="M6" s="140"/>
      <c r="N6" s="149"/>
      <c r="O6" s="150"/>
    </row>
    <row r="7" spans="1:15" ht="16.5" thickBot="1" x14ac:dyDescent="0.3">
      <c r="A7" s="25"/>
      <c r="B7" s="16">
        <v>0</v>
      </c>
      <c r="C7" s="12"/>
      <c r="D7" s="17">
        <v>43535</v>
      </c>
      <c r="E7" s="18">
        <v>78888.399999999994</v>
      </c>
      <c r="G7" s="20">
        <v>43535</v>
      </c>
      <c r="H7" s="27">
        <v>90</v>
      </c>
      <c r="I7" s="30">
        <v>43521</v>
      </c>
      <c r="J7" s="31" t="s">
        <v>7</v>
      </c>
      <c r="K7" s="32">
        <v>6705</v>
      </c>
      <c r="L7" s="23">
        <v>78798.5</v>
      </c>
      <c r="M7" s="33"/>
      <c r="N7" s="152"/>
      <c r="O7" s="150"/>
    </row>
    <row r="8" spans="1:15" ht="16.5" thickBot="1" x14ac:dyDescent="0.3">
      <c r="A8" s="25"/>
      <c r="B8" s="16">
        <v>0</v>
      </c>
      <c r="C8" s="34"/>
      <c r="D8" s="17">
        <v>43536</v>
      </c>
      <c r="E8" s="18">
        <v>43139.05</v>
      </c>
      <c r="G8" s="20">
        <v>43536</v>
      </c>
      <c r="H8" s="27">
        <v>0</v>
      </c>
      <c r="I8" s="28"/>
      <c r="J8" s="2" t="s">
        <v>8</v>
      </c>
      <c r="K8" s="35">
        <f>7187.5+7187.5+7187.5+7187.5</f>
        <v>28750</v>
      </c>
      <c r="L8" s="23">
        <f>20000+23139</f>
        <v>43139</v>
      </c>
      <c r="M8" s="33"/>
      <c r="N8" s="151"/>
      <c r="O8" s="150"/>
    </row>
    <row r="9" spans="1:15" ht="16.5" thickBot="1" x14ac:dyDescent="0.3">
      <c r="A9" s="25"/>
      <c r="B9" s="16">
        <v>0</v>
      </c>
      <c r="C9" s="36"/>
      <c r="D9" s="17">
        <v>43537</v>
      </c>
      <c r="E9" s="18">
        <v>53310.13</v>
      </c>
      <c r="G9" s="20">
        <v>43537</v>
      </c>
      <c r="H9" s="27">
        <v>0</v>
      </c>
      <c r="I9" s="126">
        <v>43533</v>
      </c>
      <c r="J9" s="2" t="s">
        <v>120</v>
      </c>
      <c r="K9" s="29">
        <v>9378.65</v>
      </c>
      <c r="L9" s="23">
        <v>53310</v>
      </c>
      <c r="M9" s="33"/>
      <c r="N9" s="150"/>
      <c r="O9" s="150"/>
    </row>
    <row r="10" spans="1:15" ht="16.5" thickBot="1" x14ac:dyDescent="0.3">
      <c r="A10" s="25"/>
      <c r="B10" s="16">
        <v>0</v>
      </c>
      <c r="C10" s="34"/>
      <c r="D10" s="17">
        <v>43538</v>
      </c>
      <c r="E10" s="18">
        <v>39116.339999999997</v>
      </c>
      <c r="G10" s="20">
        <v>43538</v>
      </c>
      <c r="H10" s="27">
        <v>0</v>
      </c>
      <c r="I10" s="126">
        <v>43540</v>
      </c>
      <c r="J10" s="2" t="s">
        <v>121</v>
      </c>
      <c r="K10" s="29">
        <v>9231.41</v>
      </c>
      <c r="L10" s="23">
        <v>39116.5</v>
      </c>
      <c r="M10" s="38"/>
      <c r="N10" s="150"/>
      <c r="O10" s="150"/>
    </row>
    <row r="11" spans="1:15" ht="16.5" thickBot="1" x14ac:dyDescent="0.3">
      <c r="A11" s="25"/>
      <c r="B11" s="16">
        <v>0</v>
      </c>
      <c r="C11" s="34"/>
      <c r="D11" s="17">
        <v>43539</v>
      </c>
      <c r="E11" s="18">
        <v>54248.65</v>
      </c>
      <c r="G11" s="20">
        <v>43539</v>
      </c>
      <c r="H11" s="27">
        <v>0</v>
      </c>
      <c r="I11" s="126">
        <v>43547</v>
      </c>
      <c r="J11" s="2" t="s">
        <v>122</v>
      </c>
      <c r="K11" s="29">
        <v>9499.16</v>
      </c>
      <c r="L11" s="148">
        <v>63085</v>
      </c>
      <c r="M11" s="33"/>
      <c r="N11" s="149"/>
      <c r="O11" s="150"/>
    </row>
    <row r="12" spans="1:15" ht="16.5" thickBot="1" x14ac:dyDescent="0.3">
      <c r="A12" s="25"/>
      <c r="B12" s="16">
        <v>0</v>
      </c>
      <c r="C12" s="34"/>
      <c r="D12" s="17">
        <v>43540</v>
      </c>
      <c r="E12" s="18">
        <v>69342.559999999998</v>
      </c>
      <c r="G12" s="20">
        <v>43540</v>
      </c>
      <c r="H12" s="27">
        <v>0</v>
      </c>
      <c r="I12" s="126">
        <v>43554</v>
      </c>
      <c r="J12" s="2" t="s">
        <v>123</v>
      </c>
      <c r="K12" s="29">
        <v>7300.88</v>
      </c>
      <c r="L12" s="23">
        <v>69342.5</v>
      </c>
      <c r="M12" s="39"/>
      <c r="N12" s="150"/>
      <c r="O12" s="150"/>
    </row>
    <row r="13" spans="1:15" ht="16.5" thickBot="1" x14ac:dyDescent="0.3">
      <c r="A13" s="25"/>
      <c r="B13" s="16">
        <v>0</v>
      </c>
      <c r="C13" s="34"/>
      <c r="D13" s="17">
        <v>43541</v>
      </c>
      <c r="E13" s="18">
        <v>87870.67</v>
      </c>
      <c r="G13" s="20">
        <v>43541</v>
      </c>
      <c r="H13" s="27">
        <v>0</v>
      </c>
      <c r="I13" s="126"/>
      <c r="J13" s="2" t="s">
        <v>148</v>
      </c>
      <c r="K13" s="29">
        <v>0</v>
      </c>
      <c r="L13" s="23">
        <v>87870.5</v>
      </c>
      <c r="M13" s="33"/>
      <c r="N13" s="150"/>
      <c r="O13" s="150"/>
    </row>
    <row r="14" spans="1:15" ht="16.5" thickBot="1" x14ac:dyDescent="0.3">
      <c r="A14" s="25"/>
      <c r="B14" s="16">
        <v>0</v>
      </c>
      <c r="C14" s="36"/>
      <c r="D14" s="17">
        <v>43542</v>
      </c>
      <c r="E14" s="18">
        <v>105903.82</v>
      </c>
      <c r="G14" s="20">
        <v>43542</v>
      </c>
      <c r="H14" s="27">
        <v>110</v>
      </c>
      <c r="I14" s="126"/>
      <c r="J14" s="41" t="s">
        <v>9</v>
      </c>
      <c r="K14" s="29">
        <v>0</v>
      </c>
      <c r="L14" s="23">
        <f>74894+30000</f>
        <v>104894</v>
      </c>
      <c r="M14" s="33"/>
      <c r="N14" s="150"/>
      <c r="O14" s="150"/>
    </row>
    <row r="15" spans="1:15" ht="16.5" thickBot="1" x14ac:dyDescent="0.3">
      <c r="A15" s="25"/>
      <c r="B15" s="16">
        <v>0</v>
      </c>
      <c r="C15" s="36"/>
      <c r="D15" s="17">
        <v>43543</v>
      </c>
      <c r="E15" s="18">
        <v>36535.949999999997</v>
      </c>
      <c r="G15" s="20">
        <v>43543</v>
      </c>
      <c r="H15" s="27">
        <v>36</v>
      </c>
      <c r="I15" s="28"/>
      <c r="J15" s="42"/>
      <c r="K15" s="29">
        <v>0</v>
      </c>
      <c r="L15" s="142">
        <v>36500</v>
      </c>
      <c r="M15" s="33"/>
      <c r="N15" s="150"/>
      <c r="O15" s="150"/>
    </row>
    <row r="16" spans="1:15" ht="16.5" thickBot="1" x14ac:dyDescent="0.3">
      <c r="A16" s="25"/>
      <c r="B16" s="16">
        <v>0</v>
      </c>
      <c r="C16" s="36"/>
      <c r="D16" s="17">
        <v>43544</v>
      </c>
      <c r="E16" s="18">
        <v>33284</v>
      </c>
      <c r="G16" s="20">
        <v>43544</v>
      </c>
      <c r="H16" s="27">
        <v>0</v>
      </c>
      <c r="I16" s="28"/>
      <c r="J16" s="43"/>
      <c r="K16" s="8">
        <v>0</v>
      </c>
      <c r="L16" s="23">
        <v>33284</v>
      </c>
      <c r="M16" s="33"/>
      <c r="N16" s="150"/>
      <c r="O16" s="149"/>
    </row>
    <row r="17" spans="1:15" ht="16.5" thickBot="1" x14ac:dyDescent="0.3">
      <c r="A17" s="25"/>
      <c r="B17" s="16">
        <v>0</v>
      </c>
      <c r="C17" s="36"/>
      <c r="D17" s="17">
        <v>43545</v>
      </c>
      <c r="E17" s="18">
        <v>55964.25</v>
      </c>
      <c r="G17" s="20">
        <v>43545</v>
      </c>
      <c r="H17" s="27">
        <v>0</v>
      </c>
      <c r="I17" s="44"/>
      <c r="K17" s="8">
        <v>0</v>
      </c>
      <c r="L17" s="23">
        <v>55964</v>
      </c>
      <c r="M17" s="33"/>
      <c r="N17" s="150"/>
      <c r="O17" s="150"/>
    </row>
    <row r="18" spans="1:15" ht="16.5" thickBot="1" x14ac:dyDescent="0.3">
      <c r="A18" s="25"/>
      <c r="B18" s="16">
        <v>0</v>
      </c>
      <c r="C18" s="34"/>
      <c r="D18" s="17">
        <v>43546</v>
      </c>
      <c r="E18" s="18">
        <v>58794.3</v>
      </c>
      <c r="G18" s="20">
        <v>43546</v>
      </c>
      <c r="H18" s="27">
        <v>0</v>
      </c>
      <c r="I18" s="44"/>
      <c r="K18" s="8">
        <v>0</v>
      </c>
      <c r="L18" s="23">
        <f>33794.5+25000</f>
        <v>58794.5</v>
      </c>
      <c r="M18" s="33"/>
    </row>
    <row r="19" spans="1:15" ht="16.5" thickBot="1" x14ac:dyDescent="0.3">
      <c r="A19" s="25"/>
      <c r="B19" s="16">
        <v>0</v>
      </c>
      <c r="C19" s="36"/>
      <c r="D19" s="17">
        <v>43547</v>
      </c>
      <c r="E19" s="18">
        <v>77263.75</v>
      </c>
      <c r="G19" s="20">
        <v>43547</v>
      </c>
      <c r="H19" s="27">
        <v>0</v>
      </c>
      <c r="I19" s="28"/>
      <c r="K19" s="8">
        <v>0</v>
      </c>
      <c r="L19" s="23">
        <v>77264</v>
      </c>
      <c r="M19" s="45"/>
    </row>
    <row r="20" spans="1:15" ht="16.5" thickBot="1" x14ac:dyDescent="0.3">
      <c r="A20" s="25"/>
      <c r="B20" s="16">
        <v>0</v>
      </c>
      <c r="C20" s="46"/>
      <c r="D20" s="17">
        <v>43548</v>
      </c>
      <c r="E20" s="18">
        <v>74450.990000000005</v>
      </c>
      <c r="G20" s="20">
        <v>43548</v>
      </c>
      <c r="H20" s="27">
        <v>0</v>
      </c>
      <c r="I20" s="47"/>
      <c r="J20" s="48"/>
      <c r="K20" s="28" t="s">
        <v>10</v>
      </c>
      <c r="L20" s="23">
        <v>74451</v>
      </c>
      <c r="M20" s="45"/>
    </row>
    <row r="21" spans="1:15" ht="16.5" thickBot="1" x14ac:dyDescent="0.3">
      <c r="A21" s="25"/>
      <c r="B21" s="16">
        <v>0</v>
      </c>
      <c r="C21" s="46"/>
      <c r="D21" s="17">
        <v>43549</v>
      </c>
      <c r="E21" s="18">
        <v>70384.789999999994</v>
      </c>
      <c r="G21" s="20">
        <v>43549</v>
      </c>
      <c r="H21" s="27">
        <v>90</v>
      </c>
      <c r="I21" s="33"/>
      <c r="J21" s="49"/>
      <c r="K21" s="28"/>
      <c r="L21" s="142">
        <f>50000+20294.5</f>
        <v>70294.5</v>
      </c>
      <c r="M21" s="33"/>
    </row>
    <row r="22" spans="1:15" ht="16.5" thickBot="1" x14ac:dyDescent="0.3">
      <c r="A22" s="25"/>
      <c r="B22" s="16">
        <v>0</v>
      </c>
      <c r="C22" s="36"/>
      <c r="D22" s="17">
        <v>43550</v>
      </c>
      <c r="E22" s="18">
        <v>33186.400000000001</v>
      </c>
      <c r="G22" s="20">
        <v>43550</v>
      </c>
      <c r="H22" s="27">
        <v>0</v>
      </c>
      <c r="I22" s="47" t="s">
        <v>11</v>
      </c>
      <c r="J22" s="50"/>
      <c r="K22" s="28">
        <v>0</v>
      </c>
      <c r="L22" s="23">
        <v>33186.5</v>
      </c>
      <c r="M22" s="45"/>
    </row>
    <row r="23" spans="1:15" ht="16.5" thickBot="1" x14ac:dyDescent="0.3">
      <c r="A23" s="25"/>
      <c r="B23" s="16">
        <v>0</v>
      </c>
      <c r="C23" s="36"/>
      <c r="D23" s="17">
        <v>43551</v>
      </c>
      <c r="E23" s="18">
        <v>48412.85</v>
      </c>
      <c r="G23" s="20">
        <v>43551</v>
      </c>
      <c r="H23" s="27">
        <v>0</v>
      </c>
      <c r="I23" s="28"/>
      <c r="J23" s="49"/>
      <c r="K23" s="28">
        <v>0</v>
      </c>
      <c r="L23" s="23">
        <v>48413</v>
      </c>
      <c r="M23" s="33"/>
    </row>
    <row r="24" spans="1:15" ht="16.5" thickBot="1" x14ac:dyDescent="0.3">
      <c r="A24" s="25"/>
      <c r="B24" s="16">
        <v>0</v>
      </c>
      <c r="C24" s="36"/>
      <c r="D24" s="17">
        <v>43552</v>
      </c>
      <c r="E24" s="18">
        <v>35969.19</v>
      </c>
      <c r="G24" s="20">
        <v>43552</v>
      </c>
      <c r="H24" s="27">
        <v>0</v>
      </c>
      <c r="I24" s="28"/>
      <c r="J24" s="56"/>
      <c r="K24" s="28">
        <v>0</v>
      </c>
      <c r="L24" s="23">
        <v>35969</v>
      </c>
      <c r="M24" s="33"/>
    </row>
    <row r="25" spans="1:15" ht="16.5" thickBot="1" x14ac:dyDescent="0.3">
      <c r="A25" s="25"/>
      <c r="B25" s="16">
        <v>0</v>
      </c>
      <c r="C25" s="46"/>
      <c r="D25" s="17">
        <v>43553</v>
      </c>
      <c r="E25" s="18">
        <v>57891.25</v>
      </c>
      <c r="G25" s="20">
        <v>43553</v>
      </c>
      <c r="H25" s="27">
        <v>0</v>
      </c>
      <c r="I25" s="28"/>
      <c r="J25" s="52"/>
      <c r="K25" s="28"/>
      <c r="L25" s="23">
        <v>57891</v>
      </c>
      <c r="M25" s="33"/>
    </row>
    <row r="26" spans="1:15" ht="16.5" thickBot="1" x14ac:dyDescent="0.3">
      <c r="A26" s="25"/>
      <c r="B26" s="16">
        <v>0</v>
      </c>
      <c r="C26" s="36"/>
      <c r="D26" s="17">
        <v>43554</v>
      </c>
      <c r="E26" s="18">
        <v>67726.78</v>
      </c>
      <c r="G26" s="20">
        <v>43554</v>
      </c>
      <c r="H26" s="27">
        <v>0</v>
      </c>
      <c r="I26" s="40">
        <v>43542</v>
      </c>
      <c r="J26" s="53" t="s">
        <v>12</v>
      </c>
      <c r="K26" s="28">
        <v>900</v>
      </c>
      <c r="L26" s="23">
        <v>67727</v>
      </c>
      <c r="M26" s="33"/>
    </row>
    <row r="27" spans="1:15" ht="16.5" thickBot="1" x14ac:dyDescent="0.3">
      <c r="A27" s="25"/>
      <c r="B27" s="16">
        <v>0</v>
      </c>
      <c r="C27" s="36"/>
      <c r="D27" s="17">
        <v>43555</v>
      </c>
      <c r="E27" s="18">
        <v>65393.95</v>
      </c>
      <c r="G27" s="20">
        <v>43555</v>
      </c>
      <c r="H27" s="27">
        <v>96</v>
      </c>
      <c r="I27" s="28"/>
      <c r="J27" s="54"/>
      <c r="K27" s="28">
        <v>0</v>
      </c>
      <c r="L27" s="23">
        <v>65298</v>
      </c>
      <c r="M27" s="33"/>
    </row>
    <row r="28" spans="1:15" ht="16.5" thickBot="1" x14ac:dyDescent="0.3">
      <c r="A28" s="25"/>
      <c r="B28" s="16">
        <v>0</v>
      </c>
      <c r="C28" s="36"/>
      <c r="D28" s="17">
        <v>43556</v>
      </c>
      <c r="E28" s="18">
        <v>45146.6</v>
      </c>
      <c r="G28" s="20">
        <v>43556</v>
      </c>
      <c r="H28" s="27">
        <v>0</v>
      </c>
      <c r="I28" s="28"/>
      <c r="J28" s="55" t="s">
        <v>13</v>
      </c>
      <c r="K28" s="28">
        <v>0</v>
      </c>
      <c r="L28" s="23">
        <v>45146.5</v>
      </c>
      <c r="M28" s="33"/>
    </row>
    <row r="29" spans="1:15" ht="16.5" thickBot="1" x14ac:dyDescent="0.3">
      <c r="A29" s="1"/>
      <c r="B29" s="16">
        <v>0</v>
      </c>
      <c r="C29" s="36"/>
      <c r="D29" s="17">
        <v>43557</v>
      </c>
      <c r="E29" s="70">
        <v>35090.629999999997</v>
      </c>
      <c r="G29" s="20">
        <v>43557</v>
      </c>
      <c r="H29" s="27">
        <v>0</v>
      </c>
      <c r="I29" s="40">
        <v>43558</v>
      </c>
      <c r="J29" s="55" t="s">
        <v>116</v>
      </c>
      <c r="K29" s="28">
        <v>870</v>
      </c>
      <c r="L29" s="23">
        <v>35090.5</v>
      </c>
      <c r="M29" s="33"/>
    </row>
    <row r="30" spans="1:15" ht="16.5" thickBot="1" x14ac:dyDescent="0.3">
      <c r="A30" s="1"/>
      <c r="B30" s="16">
        <v>0</v>
      </c>
      <c r="C30" s="36"/>
      <c r="D30" s="17">
        <v>43558</v>
      </c>
      <c r="E30" s="70">
        <v>43158.45</v>
      </c>
      <c r="G30" s="20">
        <v>43558</v>
      </c>
      <c r="H30" s="27">
        <v>0</v>
      </c>
      <c r="I30" s="28"/>
      <c r="J30" s="55"/>
      <c r="K30" s="28"/>
      <c r="L30" s="23">
        <v>42288.5</v>
      </c>
      <c r="M30" s="45"/>
    </row>
    <row r="31" spans="1:15" ht="19.5" thickBot="1" x14ac:dyDescent="0.35">
      <c r="A31" s="58"/>
      <c r="B31" s="16">
        <v>0</v>
      </c>
      <c r="C31" s="12"/>
      <c r="D31" s="130"/>
      <c r="E31" s="132">
        <v>0</v>
      </c>
      <c r="F31" s="131"/>
      <c r="G31" s="129"/>
      <c r="H31" s="133"/>
      <c r="I31" s="5"/>
      <c r="J31" s="56"/>
      <c r="K31" s="29"/>
      <c r="L31" s="137">
        <f>SUM(L5:L30)</f>
        <v>1535510</v>
      </c>
      <c r="M31" s="4"/>
    </row>
    <row r="32" spans="1:15" ht="15.75" thickBot="1" x14ac:dyDescent="0.3">
      <c r="A32" s="61"/>
      <c r="B32" s="62">
        <f>SUM(B5:B31)</f>
        <v>0</v>
      </c>
      <c r="D32" s="63" t="s">
        <v>15</v>
      </c>
      <c r="E32" s="64">
        <f>SUM(E5:E31)</f>
        <v>1506750.69</v>
      </c>
      <c r="G32" s="7" t="s">
        <v>15</v>
      </c>
      <c r="H32" s="132">
        <f>SUM(H5:H31)</f>
        <v>422</v>
      </c>
      <c r="I32" s="28"/>
      <c r="J32" s="65" t="s">
        <v>15</v>
      </c>
      <c r="K32" s="29">
        <f>SUM(K5:K31)</f>
        <v>73184.100000000006</v>
      </c>
      <c r="L32" s="9"/>
      <c r="M32" s="4"/>
    </row>
    <row r="33" spans="1:13" x14ac:dyDescent="0.25">
      <c r="A33" s="1"/>
      <c r="B33" s="5"/>
      <c r="E33" s="5"/>
      <c r="I33" s="5"/>
      <c r="L33" s="9"/>
      <c r="M33" s="4"/>
    </row>
    <row r="34" spans="1:13" ht="16.5" thickBot="1" x14ac:dyDescent="0.3">
      <c r="A34" s="1"/>
      <c r="B34" s="5">
        <v>0</v>
      </c>
      <c r="E34" s="5"/>
      <c r="G34" s="187" t="s">
        <v>16</v>
      </c>
      <c r="H34" s="188"/>
      <c r="I34" s="66"/>
      <c r="J34" s="189">
        <f>H32+K32</f>
        <v>73606.100000000006</v>
      </c>
      <c r="K34" s="190"/>
      <c r="L34" s="67"/>
      <c r="M34" s="68"/>
    </row>
    <row r="35" spans="1:13" ht="15.75" x14ac:dyDescent="0.25">
      <c r="A35" s="1"/>
      <c r="B35" s="69"/>
      <c r="C35" s="191" t="s">
        <v>17</v>
      </c>
      <c r="D35" s="191"/>
      <c r="E35" s="70">
        <f>E32-J34</f>
        <v>1433144.5899999999</v>
      </c>
      <c r="F35" s="71"/>
      <c r="G35" s="71"/>
      <c r="H35" s="72"/>
      <c r="I35" s="72"/>
      <c r="J35" s="73"/>
      <c r="K35" s="74"/>
      <c r="L35" s="67"/>
      <c r="M35" s="68"/>
    </row>
    <row r="36" spans="1:13" x14ac:dyDescent="0.25">
      <c r="A36" s="1"/>
      <c r="B36" s="75"/>
      <c r="D36" s="2" t="s">
        <v>18</v>
      </c>
      <c r="E36" s="28">
        <v>27507.18</v>
      </c>
      <c r="H36" s="192" t="s">
        <v>19</v>
      </c>
      <c r="I36" s="192"/>
      <c r="J36" s="192">
        <f>E40</f>
        <v>277192.22999999986</v>
      </c>
      <c r="K36" s="193"/>
      <c r="L36" s="67"/>
      <c r="M36" s="68"/>
    </row>
    <row r="37" spans="1:13" ht="15.75" thickBot="1" x14ac:dyDescent="0.3">
      <c r="A37" s="1"/>
      <c r="B37" s="75" t="s">
        <v>11</v>
      </c>
      <c r="C37" s="6" t="s">
        <v>20</v>
      </c>
      <c r="E37" s="76">
        <v>-1380242.42</v>
      </c>
      <c r="H37" s="194" t="s">
        <v>1</v>
      </c>
      <c r="I37" s="194"/>
      <c r="J37" s="195">
        <f>-B4</f>
        <v>-267081.15999999997</v>
      </c>
      <c r="K37" s="196"/>
      <c r="L37" s="67"/>
      <c r="M37" s="68"/>
    </row>
    <row r="38" spans="1:13" ht="20.25" thickTop="1" thickBot="1" x14ac:dyDescent="0.3">
      <c r="A38" s="1"/>
      <c r="B38" s="75"/>
      <c r="D38" s="2" t="s">
        <v>21</v>
      </c>
      <c r="E38" s="28">
        <f>SUM(E35:E37)</f>
        <v>80409.34999999986</v>
      </c>
      <c r="H38" s="179" t="s">
        <v>88</v>
      </c>
      <c r="I38" s="180"/>
      <c r="J38" s="181">
        <f>SUM(J35:K37)</f>
        <v>10111.069999999891</v>
      </c>
      <c r="K38" s="182"/>
      <c r="L38" s="67"/>
      <c r="M38" s="68"/>
    </row>
    <row r="39" spans="1:13" ht="16.5" thickBot="1" x14ac:dyDescent="0.3">
      <c r="A39" s="1"/>
      <c r="B39" s="75"/>
      <c r="C39" s="10" t="s">
        <v>124</v>
      </c>
      <c r="D39" s="77"/>
      <c r="E39" s="78">
        <v>196782.88</v>
      </c>
      <c r="J39" s="183"/>
      <c r="K39" s="184"/>
      <c r="L39" s="67"/>
      <c r="M39" s="68"/>
    </row>
    <row r="40" spans="1:13" ht="19.5" thickBot="1" x14ac:dyDescent="0.3">
      <c r="A40" s="1"/>
      <c r="B40" s="79"/>
      <c r="C40" s="80"/>
      <c r="D40" s="80" t="s">
        <v>23</v>
      </c>
      <c r="E40" s="81">
        <f>E39+E38</f>
        <v>277192.22999999986</v>
      </c>
      <c r="F40" s="82"/>
      <c r="G40" s="82"/>
      <c r="H40" s="83"/>
      <c r="I40" s="84"/>
      <c r="J40" s="185"/>
      <c r="K40" s="186"/>
      <c r="L40" s="67"/>
      <c r="M40" s="68"/>
    </row>
    <row r="44" spans="1:13" x14ac:dyDescent="0.25">
      <c r="D44" s="2" t="s">
        <v>11</v>
      </c>
    </row>
  </sheetData>
  <mergeCells count="17">
    <mergeCell ref="B1:J1"/>
    <mergeCell ref="A3:B3"/>
    <mergeCell ref="D3:F3"/>
    <mergeCell ref="G3:H3"/>
    <mergeCell ref="D4:E4"/>
    <mergeCell ref="H4:K4"/>
    <mergeCell ref="C35:D35"/>
    <mergeCell ref="H36:I36"/>
    <mergeCell ref="J36:K36"/>
    <mergeCell ref="H37:I37"/>
    <mergeCell ref="J37:K37"/>
    <mergeCell ref="H38:I38"/>
    <mergeCell ref="J38:K38"/>
    <mergeCell ref="J39:K39"/>
    <mergeCell ref="J40:K40"/>
    <mergeCell ref="G34:H34"/>
    <mergeCell ref="J34:K34"/>
  </mergeCells>
  <pageMargins left="0.51181102362204722" right="0.11811023622047245" top="0.15748031496062992" bottom="0" header="0.31496062992125984" footer="0.31496062992125984"/>
  <pageSetup scale="8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J31"/>
  <sheetViews>
    <sheetView topLeftCell="A10" workbookViewId="0">
      <selection activeCell="D27" sqref="D26:D2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06" t="s">
        <v>29</v>
      </c>
      <c r="D1" s="207"/>
      <c r="E1" s="208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09" t="s">
        <v>35</v>
      </c>
      <c r="I2" s="210"/>
      <c r="J2" s="211"/>
    </row>
    <row r="3" spans="1:10" x14ac:dyDescent="0.25">
      <c r="A3" s="90">
        <v>43533</v>
      </c>
      <c r="B3" s="91" t="s">
        <v>125</v>
      </c>
      <c r="C3" s="92">
        <v>76996.5</v>
      </c>
      <c r="D3" s="117"/>
      <c r="E3" s="92"/>
      <c r="F3" s="94">
        <f t="shared" ref="F3:F30" si="0">C3-E3</f>
        <v>76996.5</v>
      </c>
      <c r="H3" s="212"/>
      <c r="I3" s="213"/>
      <c r="J3" s="214"/>
    </row>
    <row r="4" spans="1:10" x14ac:dyDescent="0.25">
      <c r="A4" s="90">
        <v>43534</v>
      </c>
      <c r="B4" s="91" t="s">
        <v>126</v>
      </c>
      <c r="C4" s="92">
        <v>4846.3999999999996</v>
      </c>
      <c r="D4" s="117"/>
      <c r="E4" s="95"/>
      <c r="F4" s="96">
        <f t="shared" si="0"/>
        <v>4846.3999999999996</v>
      </c>
      <c r="H4" s="212"/>
      <c r="I4" s="213"/>
      <c r="J4" s="214"/>
    </row>
    <row r="5" spans="1:10" ht="15.75" thickBot="1" x14ac:dyDescent="0.3">
      <c r="A5" s="97">
        <v>43535</v>
      </c>
      <c r="B5" s="98" t="s">
        <v>127</v>
      </c>
      <c r="C5" s="95">
        <v>97388.68</v>
      </c>
      <c r="D5" s="117"/>
      <c r="E5" s="95"/>
      <c r="F5" s="96">
        <f t="shared" si="0"/>
        <v>97388.68</v>
      </c>
      <c r="H5" s="215"/>
      <c r="I5" s="216"/>
      <c r="J5" s="217"/>
    </row>
    <row r="6" spans="1:10" x14ac:dyDescent="0.25">
      <c r="A6" s="97">
        <v>43536</v>
      </c>
      <c r="B6" s="143" t="s">
        <v>128</v>
      </c>
      <c r="C6" s="95">
        <v>77231</v>
      </c>
      <c r="D6" s="117"/>
      <c r="E6" s="95"/>
      <c r="F6" s="99">
        <f t="shared" si="0"/>
        <v>77231</v>
      </c>
    </row>
    <row r="7" spans="1:10" x14ac:dyDescent="0.25">
      <c r="A7" s="97">
        <v>43536</v>
      </c>
      <c r="B7" s="143" t="s">
        <v>129</v>
      </c>
      <c r="C7" s="95">
        <v>31447.3</v>
      </c>
      <c r="D7" s="117"/>
      <c r="E7" s="95"/>
      <c r="F7" s="99">
        <f t="shared" si="0"/>
        <v>31447.3</v>
      </c>
    </row>
    <row r="8" spans="1:10" x14ac:dyDescent="0.25">
      <c r="A8" s="97">
        <v>43538</v>
      </c>
      <c r="B8" s="143" t="s">
        <v>130</v>
      </c>
      <c r="C8" s="95">
        <v>95045.8</v>
      </c>
      <c r="D8" s="117"/>
      <c r="E8" s="95"/>
      <c r="F8" s="99">
        <f t="shared" si="0"/>
        <v>95045.8</v>
      </c>
    </row>
    <row r="9" spans="1:10" x14ac:dyDescent="0.25">
      <c r="A9" s="97">
        <v>43539</v>
      </c>
      <c r="B9" s="143" t="s">
        <v>131</v>
      </c>
      <c r="C9" s="95">
        <v>32808.5</v>
      </c>
      <c r="D9" s="117"/>
      <c r="E9" s="95"/>
      <c r="F9" s="99">
        <f t="shared" si="0"/>
        <v>32808.5</v>
      </c>
    </row>
    <row r="10" spans="1:10" x14ac:dyDescent="0.25">
      <c r="A10" s="97">
        <v>43540</v>
      </c>
      <c r="B10" s="143" t="s">
        <v>132</v>
      </c>
      <c r="C10" s="95">
        <v>139630.44</v>
      </c>
      <c r="D10" s="117"/>
      <c r="E10" s="95"/>
      <c r="F10" s="99">
        <f t="shared" si="0"/>
        <v>139630.44</v>
      </c>
    </row>
    <row r="11" spans="1:10" x14ac:dyDescent="0.25">
      <c r="A11" s="97">
        <v>43541</v>
      </c>
      <c r="B11" s="144" t="s">
        <v>133</v>
      </c>
      <c r="C11" s="95">
        <v>23079.3</v>
      </c>
      <c r="D11" s="117"/>
      <c r="E11" s="95"/>
      <c r="F11" s="99">
        <f t="shared" si="0"/>
        <v>23079.3</v>
      </c>
    </row>
    <row r="12" spans="1:10" x14ac:dyDescent="0.25">
      <c r="A12" s="97">
        <v>43542</v>
      </c>
      <c r="B12" s="143" t="s">
        <v>134</v>
      </c>
      <c r="C12" s="95">
        <v>10664</v>
      </c>
      <c r="D12" s="117"/>
      <c r="E12" s="95"/>
      <c r="F12" s="99">
        <f t="shared" si="0"/>
        <v>10664</v>
      </c>
    </row>
    <row r="13" spans="1:10" x14ac:dyDescent="0.25">
      <c r="A13" s="101">
        <v>43543</v>
      </c>
      <c r="B13" s="145" t="s">
        <v>135</v>
      </c>
      <c r="C13" s="95">
        <v>58655.6</v>
      </c>
      <c r="D13" s="117"/>
      <c r="E13" s="95"/>
      <c r="F13" s="99">
        <f t="shared" si="0"/>
        <v>58655.6</v>
      </c>
    </row>
    <row r="14" spans="1:10" x14ac:dyDescent="0.25">
      <c r="A14" s="101">
        <v>43545</v>
      </c>
      <c r="B14" s="145" t="s">
        <v>136</v>
      </c>
      <c r="C14" s="95">
        <v>10674.8</v>
      </c>
      <c r="D14" s="117"/>
      <c r="E14" s="95"/>
      <c r="F14" s="99">
        <f t="shared" si="0"/>
        <v>10674.8</v>
      </c>
    </row>
    <row r="15" spans="1:10" x14ac:dyDescent="0.25">
      <c r="A15" s="101">
        <v>43545</v>
      </c>
      <c r="B15" s="145" t="s">
        <v>137</v>
      </c>
      <c r="C15" s="95">
        <v>89407</v>
      </c>
      <c r="D15" s="117"/>
      <c r="E15" s="95"/>
      <c r="F15" s="99">
        <f t="shared" si="0"/>
        <v>89407</v>
      </c>
    </row>
    <row r="16" spans="1:10" x14ac:dyDescent="0.25">
      <c r="A16" s="101">
        <v>43546</v>
      </c>
      <c r="B16" s="145" t="s">
        <v>138</v>
      </c>
      <c r="C16" s="95">
        <v>102479.64</v>
      </c>
      <c r="D16" s="117"/>
      <c r="E16" s="95"/>
      <c r="F16" s="99">
        <f t="shared" si="0"/>
        <v>102479.64</v>
      </c>
    </row>
    <row r="17" spans="1:6" x14ac:dyDescent="0.25">
      <c r="A17" s="101">
        <v>43547</v>
      </c>
      <c r="B17" s="145" t="s">
        <v>139</v>
      </c>
      <c r="C17" s="95">
        <v>102253.12</v>
      </c>
      <c r="D17" s="117"/>
      <c r="E17" s="95"/>
      <c r="F17" s="99">
        <f t="shared" si="0"/>
        <v>102253.12</v>
      </c>
    </row>
    <row r="18" spans="1:6" x14ac:dyDescent="0.25">
      <c r="A18" s="101">
        <v>43550</v>
      </c>
      <c r="B18" s="145" t="s">
        <v>140</v>
      </c>
      <c r="C18" s="95">
        <v>55455.4</v>
      </c>
      <c r="D18" s="117"/>
      <c r="E18" s="95"/>
      <c r="F18" s="99">
        <f t="shared" si="0"/>
        <v>55455.4</v>
      </c>
    </row>
    <row r="19" spans="1:6" x14ac:dyDescent="0.25">
      <c r="A19" s="101">
        <v>43550</v>
      </c>
      <c r="B19" s="102" t="s">
        <v>141</v>
      </c>
      <c r="C19" s="95">
        <v>61207.8</v>
      </c>
      <c r="D19" s="117"/>
      <c r="E19" s="95"/>
      <c r="F19" s="99">
        <f t="shared" si="0"/>
        <v>61207.8</v>
      </c>
    </row>
    <row r="20" spans="1:6" x14ac:dyDescent="0.25">
      <c r="A20" s="101">
        <v>43553</v>
      </c>
      <c r="B20" s="102" t="s">
        <v>142</v>
      </c>
      <c r="C20" s="95">
        <v>45693.78</v>
      </c>
      <c r="D20" s="117"/>
      <c r="E20" s="95"/>
      <c r="F20" s="99">
        <f t="shared" si="0"/>
        <v>45693.78</v>
      </c>
    </row>
    <row r="21" spans="1:6" x14ac:dyDescent="0.25">
      <c r="A21" s="101">
        <v>43554</v>
      </c>
      <c r="B21" s="102" t="s">
        <v>143</v>
      </c>
      <c r="C21" s="95">
        <v>93941.94</v>
      </c>
      <c r="D21" s="117"/>
      <c r="E21" s="95"/>
      <c r="F21" s="99">
        <f t="shared" si="0"/>
        <v>93941.94</v>
      </c>
    </row>
    <row r="22" spans="1:6" x14ac:dyDescent="0.25">
      <c r="A22" s="101">
        <v>43550</v>
      </c>
      <c r="B22" s="102" t="s">
        <v>144</v>
      </c>
      <c r="C22" s="95">
        <v>44156.6</v>
      </c>
      <c r="D22" s="117"/>
      <c r="E22" s="95"/>
      <c r="F22" s="99">
        <f t="shared" si="0"/>
        <v>44156.6</v>
      </c>
    </row>
    <row r="23" spans="1:6" x14ac:dyDescent="0.25">
      <c r="A23" s="101">
        <v>43550</v>
      </c>
      <c r="B23" s="102" t="s">
        <v>145</v>
      </c>
      <c r="C23" s="95">
        <v>51031.6</v>
      </c>
      <c r="D23" s="117"/>
      <c r="E23" s="95"/>
      <c r="F23" s="99">
        <f t="shared" si="0"/>
        <v>51031.6</v>
      </c>
    </row>
    <row r="24" spans="1:6" x14ac:dyDescent="0.25">
      <c r="A24" s="101">
        <v>43557</v>
      </c>
      <c r="B24" s="102" t="s">
        <v>146</v>
      </c>
      <c r="C24" s="95">
        <v>96651.22</v>
      </c>
      <c r="D24" s="117"/>
      <c r="E24" s="95"/>
      <c r="F24" s="99">
        <f t="shared" si="0"/>
        <v>96651.22</v>
      </c>
    </row>
    <row r="25" spans="1:6" x14ac:dyDescent="0.25">
      <c r="A25" s="101">
        <v>43558</v>
      </c>
      <c r="B25" s="102" t="s">
        <v>147</v>
      </c>
      <c r="C25" s="95">
        <v>1160</v>
      </c>
      <c r="D25" s="117"/>
      <c r="E25" s="95"/>
      <c r="F25" s="99">
        <f t="shared" si="0"/>
        <v>1160</v>
      </c>
    </row>
    <row r="26" spans="1:6" x14ac:dyDescent="0.25">
      <c r="A26" s="101"/>
      <c r="B26" s="102"/>
      <c r="C26" s="95"/>
      <c r="D26" s="117"/>
      <c r="E26" s="95"/>
      <c r="F26" s="99">
        <f t="shared" si="0"/>
        <v>0</v>
      </c>
    </row>
    <row r="27" spans="1:6" x14ac:dyDescent="0.25">
      <c r="A27" s="101"/>
      <c r="B27" s="102"/>
      <c r="C27" s="95"/>
      <c r="D27" s="93"/>
      <c r="E27" s="95"/>
      <c r="F27" s="99">
        <f t="shared" si="0"/>
        <v>0</v>
      </c>
    </row>
    <row r="28" spans="1:6" x14ac:dyDescent="0.25">
      <c r="A28" s="101"/>
      <c r="B28" s="102"/>
      <c r="C28" s="95"/>
      <c r="D28" s="93"/>
      <c r="E28" s="95"/>
      <c r="F28" s="99">
        <f t="shared" si="0"/>
        <v>0</v>
      </c>
    </row>
    <row r="29" spans="1:6" x14ac:dyDescent="0.25">
      <c r="A29" s="101"/>
      <c r="B29" s="102"/>
      <c r="C29" s="95"/>
      <c r="D29" s="93"/>
      <c r="E29" s="95"/>
      <c r="F29" s="99">
        <f t="shared" si="0"/>
        <v>0</v>
      </c>
    </row>
    <row r="30" spans="1:6" ht="16.5" thickBot="1" x14ac:dyDescent="0.3">
      <c r="A30" s="103" t="s">
        <v>36</v>
      </c>
      <c r="B30" s="104"/>
      <c r="C30" s="105"/>
      <c r="D30" s="106"/>
      <c r="E30" s="107">
        <v>21664</v>
      </c>
      <c r="F30" s="108">
        <f t="shared" si="0"/>
        <v>-21664</v>
      </c>
    </row>
    <row r="31" spans="1:6" s="113" customFormat="1" ht="19.5" thickBot="1" x14ac:dyDescent="0.35">
      <c r="A31" s="109"/>
      <c r="B31" s="110"/>
      <c r="C31" s="111">
        <f>SUM(C3:C30)</f>
        <v>1401906.4200000002</v>
      </c>
      <c r="D31" s="111"/>
      <c r="E31" s="112">
        <f>SUM(E3:E30)</f>
        <v>21664</v>
      </c>
      <c r="F31" s="112">
        <f>SUM(F3:F30)</f>
        <v>1380242.4200000002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O53"/>
  <sheetViews>
    <sheetView tabSelected="1" topLeftCell="A22" workbookViewId="0">
      <selection activeCell="H53" sqref="H53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5.28515625" style="169" customWidth="1"/>
  </cols>
  <sheetData>
    <row r="1" spans="1:15" ht="23.25" x14ac:dyDescent="0.35">
      <c r="A1" s="1"/>
      <c r="B1" s="197" t="s">
        <v>153</v>
      </c>
      <c r="C1" s="197"/>
      <c r="D1" s="197"/>
      <c r="E1" s="197"/>
      <c r="F1" s="197"/>
      <c r="G1" s="197"/>
      <c r="H1" s="197"/>
      <c r="I1" s="197"/>
      <c r="J1" s="197"/>
      <c r="L1" s="3" t="s">
        <v>0</v>
      </c>
      <c r="M1" s="168"/>
    </row>
    <row r="2" spans="1:15" x14ac:dyDescent="0.25">
      <c r="A2" s="1"/>
      <c r="B2" s="5"/>
      <c r="D2" s="146"/>
      <c r="E2" s="8"/>
      <c r="L2" s="9"/>
      <c r="M2" s="168"/>
    </row>
    <row r="3" spans="1:15" ht="19.5" customHeight="1" thickBot="1" x14ac:dyDescent="0.35">
      <c r="A3" s="204" t="s">
        <v>1</v>
      </c>
      <c r="B3" s="205"/>
      <c r="C3" s="10"/>
      <c r="D3" s="198" t="s">
        <v>2</v>
      </c>
      <c r="E3" s="198"/>
      <c r="F3" s="198"/>
      <c r="G3" s="199">
        <v>2000</v>
      </c>
      <c r="H3" s="199"/>
      <c r="I3" s="5"/>
      <c r="L3" s="9"/>
      <c r="M3" s="168"/>
    </row>
    <row r="4" spans="1:15" ht="20.25" thickTop="1" thickBot="1" x14ac:dyDescent="0.35">
      <c r="A4" s="120"/>
      <c r="B4" s="11">
        <v>196782.88</v>
      </c>
      <c r="C4" s="141">
        <v>43558</v>
      </c>
      <c r="D4" s="200" t="s">
        <v>3</v>
      </c>
      <c r="E4" s="201"/>
      <c r="H4" s="202" t="s">
        <v>4</v>
      </c>
      <c r="I4" s="203"/>
      <c r="J4" s="203"/>
      <c r="K4" s="203"/>
      <c r="L4" s="13" t="s">
        <v>5</v>
      </c>
      <c r="N4" s="150"/>
      <c r="O4" s="150"/>
    </row>
    <row r="5" spans="1:15" ht="17.25" thickTop="1" thickBot="1" x14ac:dyDescent="0.3">
      <c r="A5" s="15"/>
      <c r="B5" s="16">
        <v>0</v>
      </c>
      <c r="C5" s="12"/>
      <c r="D5" s="17">
        <v>43559</v>
      </c>
      <c r="E5" s="18">
        <v>40993.15</v>
      </c>
      <c r="F5" s="19"/>
      <c r="G5" s="20">
        <v>43559</v>
      </c>
      <c r="H5" s="134">
        <v>0</v>
      </c>
      <c r="I5" s="21"/>
      <c r="J5" s="22"/>
      <c r="K5" s="22"/>
      <c r="L5" s="142">
        <f>20000+20993</f>
        <v>40993</v>
      </c>
      <c r="M5" s="170"/>
      <c r="N5" s="149"/>
      <c r="O5" s="150"/>
    </row>
    <row r="6" spans="1:15" ht="16.5" thickBot="1" x14ac:dyDescent="0.3">
      <c r="A6" s="25"/>
      <c r="B6" s="16">
        <v>0</v>
      </c>
      <c r="C6" s="12"/>
      <c r="D6" s="17">
        <v>43560</v>
      </c>
      <c r="E6" s="178">
        <v>51920.55</v>
      </c>
      <c r="F6" s="26"/>
      <c r="G6" s="20">
        <v>43560</v>
      </c>
      <c r="H6" s="27">
        <v>0</v>
      </c>
      <c r="I6" s="28"/>
      <c r="J6" s="2" t="s">
        <v>6</v>
      </c>
      <c r="K6" s="29">
        <v>549</v>
      </c>
      <c r="L6" s="142">
        <v>51920.5</v>
      </c>
      <c r="M6" s="171"/>
      <c r="N6" s="149"/>
      <c r="O6" s="150"/>
    </row>
    <row r="7" spans="1:15" ht="16.5" thickBot="1" x14ac:dyDescent="0.3">
      <c r="A7" s="25"/>
      <c r="B7" s="16">
        <v>0</v>
      </c>
      <c r="C7" s="12"/>
      <c r="D7" s="17">
        <v>43561</v>
      </c>
      <c r="E7" s="178">
        <v>57366.59</v>
      </c>
      <c r="G7" s="20">
        <v>43561</v>
      </c>
      <c r="H7" s="27">
        <v>0</v>
      </c>
      <c r="I7" s="30" t="s">
        <v>197</v>
      </c>
      <c r="J7" s="31" t="s">
        <v>7</v>
      </c>
      <c r="K7" s="32">
        <v>9349</v>
      </c>
      <c r="L7" s="142">
        <v>60800.5</v>
      </c>
      <c r="M7" s="172"/>
      <c r="N7" s="152"/>
      <c r="O7" s="150"/>
    </row>
    <row r="8" spans="1:15" ht="16.5" thickBot="1" x14ac:dyDescent="0.3">
      <c r="A8" s="25"/>
      <c r="B8" s="16">
        <v>0</v>
      </c>
      <c r="C8" s="34"/>
      <c r="D8" s="17">
        <v>43562</v>
      </c>
      <c r="E8" s="178">
        <v>49248.36</v>
      </c>
      <c r="G8" s="20">
        <v>43562</v>
      </c>
      <c r="H8" s="27">
        <v>0</v>
      </c>
      <c r="I8" s="28"/>
      <c r="J8" s="2" t="s">
        <v>8</v>
      </c>
      <c r="K8" s="35">
        <f>7187.5+7187.5+7187.5+7187.5</f>
        <v>28750</v>
      </c>
      <c r="L8" s="142">
        <v>49248</v>
      </c>
      <c r="M8" s="172"/>
      <c r="N8" s="151"/>
      <c r="O8" s="150"/>
    </row>
    <row r="9" spans="1:15" ht="16.5" thickBot="1" x14ac:dyDescent="0.3">
      <c r="A9" s="25"/>
      <c r="B9" s="16">
        <v>0</v>
      </c>
      <c r="C9" s="36"/>
      <c r="D9" s="17">
        <v>43563</v>
      </c>
      <c r="E9" s="178">
        <v>47245.51</v>
      </c>
      <c r="G9" s="20">
        <v>43563</v>
      </c>
      <c r="H9" s="27">
        <v>127</v>
      </c>
      <c r="I9" s="126">
        <v>43561</v>
      </c>
      <c r="J9" s="2" t="s">
        <v>149</v>
      </c>
      <c r="K9" s="29">
        <v>7929.45</v>
      </c>
      <c r="L9" s="142">
        <v>57184.5</v>
      </c>
      <c r="M9" s="172"/>
      <c r="N9" s="150"/>
      <c r="O9" s="150"/>
    </row>
    <row r="10" spans="1:15" ht="16.5" thickBot="1" x14ac:dyDescent="0.3">
      <c r="A10" s="25"/>
      <c r="B10" s="16">
        <v>0</v>
      </c>
      <c r="C10" s="34"/>
      <c r="D10" s="17">
        <v>43564</v>
      </c>
      <c r="E10" s="178">
        <v>43903.35</v>
      </c>
      <c r="G10" s="20">
        <v>43564</v>
      </c>
      <c r="H10" s="27">
        <v>0</v>
      </c>
      <c r="I10" s="126">
        <v>43568</v>
      </c>
      <c r="J10" s="2" t="s">
        <v>150</v>
      </c>
      <c r="K10" s="29">
        <v>7300.88</v>
      </c>
      <c r="L10" s="142">
        <f>30000+16903.5</f>
        <v>46903.5</v>
      </c>
      <c r="M10" s="173"/>
      <c r="N10" s="150"/>
      <c r="O10" s="150"/>
    </row>
    <row r="11" spans="1:15" ht="16.5" thickBot="1" x14ac:dyDescent="0.3">
      <c r="A11" s="25"/>
      <c r="B11" s="16">
        <v>0</v>
      </c>
      <c r="C11" s="34"/>
      <c r="D11" s="17">
        <v>43565</v>
      </c>
      <c r="E11" s="178">
        <v>26922.15</v>
      </c>
      <c r="G11" s="20">
        <v>43565</v>
      </c>
      <c r="H11" s="27">
        <v>0</v>
      </c>
      <c r="I11" s="126">
        <v>43575</v>
      </c>
      <c r="J11" s="2" t="s">
        <v>151</v>
      </c>
      <c r="K11" s="29">
        <v>7700.88</v>
      </c>
      <c r="L11" s="142">
        <v>31678</v>
      </c>
      <c r="M11" s="172"/>
      <c r="N11" s="149"/>
      <c r="O11" s="150"/>
    </row>
    <row r="12" spans="1:15" ht="16.5" thickBot="1" x14ac:dyDescent="0.3">
      <c r="A12" s="25"/>
      <c r="B12" s="16">
        <v>0</v>
      </c>
      <c r="C12" s="34"/>
      <c r="D12" s="17">
        <v>43566</v>
      </c>
      <c r="E12" s="178">
        <v>33202.449999999997</v>
      </c>
      <c r="G12" s="20">
        <v>43566</v>
      </c>
      <c r="H12" s="27">
        <v>10</v>
      </c>
      <c r="I12" s="126">
        <v>43582</v>
      </c>
      <c r="J12" s="2" t="s">
        <v>152</v>
      </c>
      <c r="K12" s="29">
        <v>7743.74</v>
      </c>
      <c r="L12" s="142">
        <v>33192.5</v>
      </c>
      <c r="M12" s="174"/>
      <c r="N12" s="150"/>
      <c r="O12" s="150"/>
    </row>
    <row r="13" spans="1:15" ht="16.5" thickBot="1" x14ac:dyDescent="0.3">
      <c r="A13" s="25"/>
      <c r="B13" s="16">
        <v>0</v>
      </c>
      <c r="C13" s="34"/>
      <c r="D13" s="17">
        <v>43567</v>
      </c>
      <c r="E13" s="178">
        <v>47470.35</v>
      </c>
      <c r="G13" s="20">
        <v>43567</v>
      </c>
      <c r="H13" s="27">
        <v>40</v>
      </c>
      <c r="I13" s="126">
        <v>43589</v>
      </c>
      <c r="J13" s="2" t="s">
        <v>198</v>
      </c>
      <c r="K13" s="29">
        <v>10343.74</v>
      </c>
      <c r="L13" s="142">
        <v>47430.5</v>
      </c>
      <c r="M13" s="172"/>
      <c r="N13" s="150"/>
      <c r="O13" s="150"/>
    </row>
    <row r="14" spans="1:15" ht="16.5" thickBot="1" x14ac:dyDescent="0.3">
      <c r="A14" s="25"/>
      <c r="B14" s="16">
        <v>0</v>
      </c>
      <c r="C14" s="36"/>
      <c r="D14" s="17">
        <v>43568</v>
      </c>
      <c r="E14" s="178">
        <v>54133.41</v>
      </c>
      <c r="G14" s="20">
        <v>43568</v>
      </c>
      <c r="H14" s="27">
        <v>0</v>
      </c>
      <c r="I14" s="126"/>
      <c r="J14" s="41" t="s">
        <v>9</v>
      </c>
      <c r="K14" s="29">
        <v>0</v>
      </c>
      <c r="L14" s="142">
        <v>54133.5</v>
      </c>
      <c r="M14" s="172"/>
      <c r="N14" s="150"/>
      <c r="O14" s="150"/>
    </row>
    <row r="15" spans="1:15" ht="16.5" thickBot="1" x14ac:dyDescent="0.3">
      <c r="A15" s="25"/>
      <c r="B15" s="16">
        <v>0</v>
      </c>
      <c r="C15" s="36"/>
      <c r="D15" s="17">
        <v>43569</v>
      </c>
      <c r="E15" s="178">
        <v>105868.13</v>
      </c>
      <c r="G15" s="20">
        <v>43569</v>
      </c>
      <c r="H15" s="27">
        <v>0</v>
      </c>
      <c r="I15" s="28"/>
      <c r="J15" s="42"/>
      <c r="K15" s="29">
        <v>0</v>
      </c>
      <c r="L15" s="142">
        <f>85868+20000</f>
        <v>105868</v>
      </c>
      <c r="M15" s="172"/>
      <c r="N15" s="150"/>
      <c r="O15" s="150"/>
    </row>
    <row r="16" spans="1:15" ht="16.5" thickBot="1" x14ac:dyDescent="0.3">
      <c r="A16" s="25"/>
      <c r="B16" s="16">
        <v>0</v>
      </c>
      <c r="C16" s="36"/>
      <c r="D16" s="17">
        <v>43570</v>
      </c>
      <c r="E16" s="178">
        <v>60062.42</v>
      </c>
      <c r="G16" s="20">
        <v>43570</v>
      </c>
      <c r="H16" s="27">
        <v>90</v>
      </c>
      <c r="I16" s="28"/>
      <c r="J16" s="43"/>
      <c r="K16" s="8">
        <v>0</v>
      </c>
      <c r="L16" s="142">
        <v>60709.5</v>
      </c>
      <c r="M16" s="172"/>
      <c r="N16" s="150"/>
      <c r="O16" s="149"/>
    </row>
    <row r="17" spans="1:15" ht="16.5" thickBot="1" x14ac:dyDescent="0.3">
      <c r="A17" s="25"/>
      <c r="B17" s="16">
        <v>0</v>
      </c>
      <c r="C17" s="36"/>
      <c r="D17" s="17">
        <v>43571</v>
      </c>
      <c r="E17" s="178">
        <v>66860.5</v>
      </c>
      <c r="G17" s="20">
        <v>43571</v>
      </c>
      <c r="H17" s="27">
        <v>67</v>
      </c>
      <c r="I17" s="166">
        <v>43571</v>
      </c>
      <c r="J17" s="167" t="s">
        <v>12</v>
      </c>
      <c r="K17" s="8">
        <v>900</v>
      </c>
      <c r="L17" s="142">
        <f>50000+15893</f>
        <v>65893</v>
      </c>
      <c r="M17" s="172"/>
      <c r="N17" s="150"/>
      <c r="O17" s="150"/>
    </row>
    <row r="18" spans="1:15" ht="16.5" thickBot="1" x14ac:dyDescent="0.3">
      <c r="A18" s="25"/>
      <c r="B18" s="16">
        <v>0</v>
      </c>
      <c r="C18" s="34"/>
      <c r="D18" s="17">
        <v>43572</v>
      </c>
      <c r="E18" s="18">
        <v>42393.2</v>
      </c>
      <c r="G18" s="20">
        <v>43572</v>
      </c>
      <c r="H18" s="27">
        <v>0</v>
      </c>
      <c r="I18" s="44"/>
      <c r="K18" s="8">
        <v>0</v>
      </c>
      <c r="L18" s="142">
        <v>42393</v>
      </c>
      <c r="M18" s="172"/>
    </row>
    <row r="19" spans="1:15" ht="16.5" thickBot="1" x14ac:dyDescent="0.3">
      <c r="A19" s="25"/>
      <c r="B19" s="16">
        <v>0</v>
      </c>
      <c r="C19" s="36"/>
      <c r="D19" s="17">
        <v>43573</v>
      </c>
      <c r="E19" s="18">
        <v>62830.17</v>
      </c>
      <c r="G19" s="20">
        <v>43573</v>
      </c>
      <c r="H19" s="160">
        <v>0</v>
      </c>
      <c r="I19" s="28"/>
      <c r="K19" s="8">
        <v>0</v>
      </c>
      <c r="L19" s="142">
        <v>62830</v>
      </c>
      <c r="M19" s="175"/>
    </row>
    <row r="20" spans="1:15" ht="16.5" thickBot="1" x14ac:dyDescent="0.3">
      <c r="A20" s="25"/>
      <c r="B20" s="16">
        <v>0</v>
      </c>
      <c r="C20" s="46"/>
      <c r="D20" s="17">
        <v>43574</v>
      </c>
      <c r="E20" s="158">
        <v>0</v>
      </c>
      <c r="F20" s="161" t="s">
        <v>170</v>
      </c>
      <c r="G20" s="20">
        <v>43574</v>
      </c>
      <c r="H20" s="159">
        <v>0</v>
      </c>
      <c r="I20" s="162" t="s">
        <v>171</v>
      </c>
      <c r="J20" s="48"/>
      <c r="K20" s="28" t="s">
        <v>10</v>
      </c>
      <c r="L20" s="157">
        <v>0</v>
      </c>
      <c r="M20" s="175"/>
    </row>
    <row r="21" spans="1:15" ht="16.5" thickBot="1" x14ac:dyDescent="0.3">
      <c r="A21" s="25"/>
      <c r="B21" s="16">
        <v>0</v>
      </c>
      <c r="C21" s="46"/>
      <c r="D21" s="17">
        <v>43575</v>
      </c>
      <c r="E21" s="18">
        <v>48326.2</v>
      </c>
      <c r="G21" s="20">
        <v>43575</v>
      </c>
      <c r="H21" s="27">
        <v>0</v>
      </c>
      <c r="I21" s="33"/>
      <c r="J21" s="49"/>
      <c r="K21" s="28"/>
      <c r="L21" s="142">
        <f>20000+28326</f>
        <v>48326</v>
      </c>
      <c r="M21" s="172"/>
    </row>
    <row r="22" spans="1:15" ht="16.5" thickBot="1" x14ac:dyDescent="0.3">
      <c r="A22" s="25"/>
      <c r="B22" s="16">
        <v>0</v>
      </c>
      <c r="C22" s="36"/>
      <c r="D22" s="17">
        <v>43576</v>
      </c>
      <c r="E22" s="18">
        <v>90019.7</v>
      </c>
      <c r="G22" s="20">
        <v>43576</v>
      </c>
      <c r="H22" s="27">
        <v>0</v>
      </c>
      <c r="I22" s="47" t="s">
        <v>11</v>
      </c>
      <c r="J22" s="50"/>
      <c r="K22" s="28">
        <v>0</v>
      </c>
      <c r="L22" s="142">
        <v>90020</v>
      </c>
      <c r="M22" s="175"/>
    </row>
    <row r="23" spans="1:15" ht="16.5" thickBot="1" x14ac:dyDescent="0.3">
      <c r="A23" s="25"/>
      <c r="B23" s="16">
        <v>0</v>
      </c>
      <c r="C23" s="36"/>
      <c r="D23" s="17">
        <v>43577</v>
      </c>
      <c r="E23" s="18">
        <v>72864.759999999995</v>
      </c>
      <c r="G23" s="20">
        <v>43577</v>
      </c>
      <c r="H23" s="27">
        <v>100</v>
      </c>
      <c r="I23" s="28"/>
      <c r="J23" s="49"/>
      <c r="K23" s="28">
        <v>0</v>
      </c>
      <c r="L23" s="142">
        <f>30000+42764.5</f>
        <v>72764.5</v>
      </c>
      <c r="M23" s="172"/>
    </row>
    <row r="24" spans="1:15" ht="16.5" thickBot="1" x14ac:dyDescent="0.3">
      <c r="A24" s="25"/>
      <c r="B24" s="16">
        <v>0</v>
      </c>
      <c r="C24" s="36"/>
      <c r="D24" s="17">
        <v>43578</v>
      </c>
      <c r="E24" s="18">
        <v>22749.3</v>
      </c>
      <c r="G24" s="20">
        <v>43578</v>
      </c>
      <c r="H24" s="27">
        <v>80.599999999999994</v>
      </c>
      <c r="I24" s="28"/>
      <c r="J24" s="56"/>
      <c r="K24" s="28">
        <v>0</v>
      </c>
      <c r="L24" s="142">
        <v>22668.5</v>
      </c>
      <c r="M24" s="172"/>
    </row>
    <row r="25" spans="1:15" ht="16.5" thickBot="1" x14ac:dyDescent="0.3">
      <c r="A25" s="25"/>
      <c r="B25" s="16">
        <v>0</v>
      </c>
      <c r="C25" s="46"/>
      <c r="D25" s="17">
        <v>43579</v>
      </c>
      <c r="E25" s="18">
        <v>38187.5</v>
      </c>
      <c r="G25" s="20">
        <v>43579</v>
      </c>
      <c r="H25" s="27">
        <v>0</v>
      </c>
      <c r="I25" s="28"/>
      <c r="J25" s="52"/>
      <c r="K25" s="28"/>
      <c r="L25" s="142">
        <v>38187.5</v>
      </c>
      <c r="M25" s="172"/>
    </row>
    <row r="26" spans="1:15" ht="16.5" thickBot="1" x14ac:dyDescent="0.3">
      <c r="A26" s="25"/>
      <c r="B26" s="16">
        <v>0</v>
      </c>
      <c r="C26" s="36"/>
      <c r="D26" s="17">
        <v>43580</v>
      </c>
      <c r="E26" s="178">
        <v>54166.23</v>
      </c>
      <c r="G26" s="20">
        <v>43580</v>
      </c>
      <c r="H26" s="27">
        <v>10</v>
      </c>
      <c r="I26" s="40"/>
      <c r="J26" s="53"/>
      <c r="K26" s="28">
        <v>0</v>
      </c>
      <c r="L26" s="142">
        <v>59671</v>
      </c>
      <c r="M26" s="172"/>
    </row>
    <row r="27" spans="1:15" ht="16.5" thickBot="1" x14ac:dyDescent="0.3">
      <c r="A27" s="25"/>
      <c r="B27" s="16">
        <v>0</v>
      </c>
      <c r="C27" s="36"/>
      <c r="D27" s="17">
        <v>43581</v>
      </c>
      <c r="E27" s="18">
        <v>75312.259999999995</v>
      </c>
      <c r="G27" s="20">
        <v>43581</v>
      </c>
      <c r="H27" s="27">
        <v>60</v>
      </c>
      <c r="I27" s="28"/>
      <c r="J27" s="54"/>
      <c r="K27" s="28">
        <v>0</v>
      </c>
      <c r="L27" s="142">
        <f>20000+30000+25252</f>
        <v>75252</v>
      </c>
      <c r="M27" s="172"/>
    </row>
    <row r="28" spans="1:15" ht="16.5" thickBot="1" x14ac:dyDescent="0.3">
      <c r="A28" s="25"/>
      <c r="B28" s="16">
        <v>0</v>
      </c>
      <c r="C28" s="36"/>
      <c r="D28" s="17">
        <v>43582</v>
      </c>
      <c r="E28" s="18">
        <v>88190.3</v>
      </c>
      <c r="G28" s="20">
        <v>43582</v>
      </c>
      <c r="H28" s="132">
        <v>37</v>
      </c>
      <c r="I28" s="28"/>
      <c r="J28" s="55"/>
      <c r="K28" s="28">
        <v>0</v>
      </c>
      <c r="L28" s="142">
        <v>88153</v>
      </c>
      <c r="M28" s="172"/>
    </row>
    <row r="29" spans="1:15" ht="16.5" thickBot="1" x14ac:dyDescent="0.3">
      <c r="A29" s="1"/>
      <c r="B29" s="16">
        <v>0</v>
      </c>
      <c r="C29" s="36"/>
      <c r="D29" s="17">
        <v>43583</v>
      </c>
      <c r="E29" s="154">
        <v>85465.52</v>
      </c>
      <c r="G29" s="20">
        <v>43583</v>
      </c>
      <c r="H29" s="132">
        <v>0</v>
      </c>
      <c r="I29" s="40"/>
      <c r="K29" s="28"/>
      <c r="L29" s="142">
        <v>85465.5</v>
      </c>
      <c r="M29" s="172"/>
    </row>
    <row r="30" spans="1:15" ht="16.5" thickBot="1" x14ac:dyDescent="0.3">
      <c r="A30" s="1"/>
      <c r="B30" s="16">
        <v>0</v>
      </c>
      <c r="C30" s="36"/>
      <c r="D30" s="17">
        <v>43584</v>
      </c>
      <c r="E30" s="154">
        <v>125254.51</v>
      </c>
      <c r="G30" s="20">
        <v>43584</v>
      </c>
      <c r="H30" s="132">
        <v>90</v>
      </c>
      <c r="I30" s="28"/>
      <c r="J30" s="55"/>
      <c r="K30" s="28"/>
      <c r="L30" s="142">
        <f>55164.5+50000+20000</f>
        <v>125164.5</v>
      </c>
      <c r="M30" s="175"/>
    </row>
    <row r="31" spans="1:15" ht="16.5" thickBot="1" x14ac:dyDescent="0.3">
      <c r="A31" s="1"/>
      <c r="B31" s="16">
        <v>0</v>
      </c>
      <c r="C31" s="36"/>
      <c r="D31" s="17">
        <v>43585</v>
      </c>
      <c r="E31" s="154">
        <v>61064.35</v>
      </c>
      <c r="G31" s="20">
        <v>43585</v>
      </c>
      <c r="H31" s="132">
        <v>0</v>
      </c>
      <c r="I31" s="28"/>
      <c r="J31" s="55"/>
      <c r="K31" s="28"/>
      <c r="L31" s="142">
        <f>25000+20000+16064.5</f>
        <v>61064.5</v>
      </c>
      <c r="M31" s="175"/>
    </row>
    <row r="32" spans="1:15" ht="16.5" thickBot="1" x14ac:dyDescent="0.3">
      <c r="A32" s="1"/>
      <c r="B32" s="16">
        <v>0</v>
      </c>
      <c r="C32" s="36"/>
      <c r="D32" s="17">
        <v>43586</v>
      </c>
      <c r="E32" s="154">
        <v>59906.2</v>
      </c>
      <c r="G32" s="20">
        <v>43586</v>
      </c>
      <c r="H32" s="132">
        <v>0</v>
      </c>
      <c r="I32" s="28"/>
      <c r="J32" s="55"/>
      <c r="K32" s="28"/>
      <c r="L32" s="142">
        <v>59906</v>
      </c>
      <c r="M32" s="175"/>
    </row>
    <row r="33" spans="1:13" ht="16.5" thickBot="1" x14ac:dyDescent="0.3">
      <c r="A33" s="1"/>
      <c r="B33" s="16">
        <v>0</v>
      </c>
      <c r="C33" s="36"/>
      <c r="D33" s="17">
        <v>43587</v>
      </c>
      <c r="E33" s="154">
        <v>78175.520000000004</v>
      </c>
      <c r="G33" s="20">
        <v>43587</v>
      </c>
      <c r="H33" s="132">
        <v>0</v>
      </c>
      <c r="I33" s="40">
        <v>43587</v>
      </c>
      <c r="J33" s="55" t="s">
        <v>116</v>
      </c>
      <c r="K33" s="28">
        <v>870</v>
      </c>
      <c r="L33" s="142">
        <v>77305.56</v>
      </c>
      <c r="M33" s="175"/>
    </row>
    <row r="34" spans="1:13" ht="16.5" thickBot="1" x14ac:dyDescent="0.3">
      <c r="A34" s="1"/>
      <c r="B34" s="16">
        <v>0</v>
      </c>
      <c r="C34" s="36"/>
      <c r="D34" s="17">
        <v>43588</v>
      </c>
      <c r="E34" s="155">
        <v>83709.13</v>
      </c>
      <c r="G34" s="20">
        <v>43588</v>
      </c>
      <c r="H34" s="132">
        <v>30</v>
      </c>
      <c r="I34" s="28"/>
      <c r="J34" s="55"/>
      <c r="K34" s="28"/>
      <c r="L34" s="142">
        <v>83679</v>
      </c>
      <c r="M34" s="175"/>
    </row>
    <row r="35" spans="1:13" ht="16.5" thickBot="1" x14ac:dyDescent="0.3">
      <c r="A35" s="1"/>
      <c r="B35" s="16">
        <v>0</v>
      </c>
      <c r="C35" s="36"/>
      <c r="D35" s="17">
        <v>43589</v>
      </c>
      <c r="E35" s="155">
        <v>87119.32</v>
      </c>
      <c r="G35" s="20">
        <v>43589</v>
      </c>
      <c r="H35" s="132">
        <v>0</v>
      </c>
      <c r="I35" s="28"/>
      <c r="J35" s="55"/>
      <c r="K35" s="28"/>
      <c r="L35" s="142">
        <f>35000+20000+32120</f>
        <v>87120</v>
      </c>
      <c r="M35" s="175"/>
    </row>
    <row r="36" spans="1:13" ht="16.5" thickBot="1" x14ac:dyDescent="0.3">
      <c r="A36" s="1"/>
      <c r="B36" s="16">
        <v>0</v>
      </c>
      <c r="C36" s="36"/>
      <c r="D36" s="17">
        <v>43590</v>
      </c>
      <c r="E36" s="155">
        <v>86762.22</v>
      </c>
      <c r="G36" s="20">
        <v>43590</v>
      </c>
      <c r="H36" s="132">
        <v>0</v>
      </c>
      <c r="I36" s="28"/>
      <c r="J36" s="55"/>
      <c r="K36" s="28"/>
      <c r="L36" s="142">
        <f>50000+36762</f>
        <v>86762</v>
      </c>
      <c r="M36" s="175"/>
    </row>
    <row r="37" spans="1:13" ht="16.5" thickBot="1" x14ac:dyDescent="0.3">
      <c r="A37" s="1"/>
      <c r="B37" s="16">
        <v>0</v>
      </c>
      <c r="C37" s="36"/>
      <c r="D37" s="17">
        <v>43591</v>
      </c>
      <c r="E37" s="155">
        <v>126559.31</v>
      </c>
      <c r="G37" s="20">
        <v>43591</v>
      </c>
      <c r="H37" s="132">
        <v>38</v>
      </c>
      <c r="I37" s="28"/>
      <c r="J37" s="55"/>
      <c r="K37" s="28"/>
      <c r="L37" s="142">
        <v>126521.31</v>
      </c>
      <c r="M37" s="175"/>
    </row>
    <row r="38" spans="1:13" ht="16.5" thickBot="1" x14ac:dyDescent="0.3">
      <c r="A38" s="1"/>
      <c r="B38" s="16">
        <v>0</v>
      </c>
      <c r="C38" s="36"/>
      <c r="D38" s="17">
        <v>43592</v>
      </c>
      <c r="E38" s="155">
        <v>48177.62</v>
      </c>
      <c r="G38" s="20">
        <v>43592</v>
      </c>
      <c r="H38" s="132">
        <v>0</v>
      </c>
      <c r="I38" s="28"/>
      <c r="J38" s="55"/>
      <c r="K38" s="28"/>
      <c r="L38" s="142">
        <v>48177.5</v>
      </c>
      <c r="M38" s="175"/>
    </row>
    <row r="39" spans="1:13" ht="16.5" thickBot="1" x14ac:dyDescent="0.3">
      <c r="A39" s="1"/>
      <c r="B39" s="16">
        <v>0</v>
      </c>
      <c r="C39" s="36"/>
      <c r="D39" s="17">
        <v>43593</v>
      </c>
      <c r="E39" s="155">
        <v>57678</v>
      </c>
      <c r="G39" s="20">
        <v>43593</v>
      </c>
      <c r="H39" s="132">
        <v>0</v>
      </c>
      <c r="I39" s="28"/>
      <c r="J39" s="55"/>
      <c r="K39" s="28"/>
      <c r="L39" s="142">
        <f>37678+20000</f>
        <v>57678</v>
      </c>
      <c r="M39" s="175"/>
    </row>
    <row r="40" spans="1:13" ht="19.5" thickBot="1" x14ac:dyDescent="0.35">
      <c r="A40" s="58"/>
      <c r="B40" s="16">
        <v>0</v>
      </c>
      <c r="C40" s="12"/>
      <c r="D40" s="130"/>
      <c r="E40" s="132">
        <v>0</v>
      </c>
      <c r="F40" s="131"/>
      <c r="G40" s="129"/>
      <c r="H40" s="153">
        <v>0</v>
      </c>
      <c r="I40" s="5"/>
      <c r="J40" s="56"/>
      <c r="K40" s="29"/>
      <c r="L40" s="165">
        <f>SUM(L5:L39)</f>
        <v>2205064.37</v>
      </c>
      <c r="M40" s="177"/>
    </row>
    <row r="41" spans="1:13" ht="15.75" thickBot="1" x14ac:dyDescent="0.3">
      <c r="A41" s="61"/>
      <c r="B41" s="62">
        <f>SUM(B5:B40)</f>
        <v>0</v>
      </c>
      <c r="D41" s="63" t="s">
        <v>15</v>
      </c>
      <c r="E41" s="64">
        <f>SUM(E5:E40)</f>
        <v>2180108.2400000002</v>
      </c>
      <c r="G41" s="146" t="s">
        <v>15</v>
      </c>
      <c r="H41" s="132">
        <f>SUM(H5:H40)</f>
        <v>779.6</v>
      </c>
      <c r="I41" s="28"/>
      <c r="J41" s="65" t="s">
        <v>15</v>
      </c>
      <c r="K41" s="29">
        <f>SUM(K5:K40)</f>
        <v>81436.69</v>
      </c>
      <c r="L41" s="9"/>
      <c r="M41" s="168"/>
    </row>
    <row r="42" spans="1:13" x14ac:dyDescent="0.25">
      <c r="A42" s="1"/>
      <c r="B42" s="5"/>
      <c r="E42" s="5"/>
      <c r="I42" s="5"/>
      <c r="L42" s="9"/>
      <c r="M42" s="168"/>
    </row>
    <row r="43" spans="1:13" ht="16.5" thickBot="1" x14ac:dyDescent="0.3">
      <c r="A43" s="1"/>
      <c r="B43" s="5">
        <v>0</v>
      </c>
      <c r="E43" s="5"/>
      <c r="G43" s="187" t="s">
        <v>16</v>
      </c>
      <c r="H43" s="188"/>
      <c r="I43" s="147"/>
      <c r="J43" s="189">
        <f>H41+K41</f>
        <v>82216.290000000008</v>
      </c>
      <c r="K43" s="190"/>
      <c r="L43" s="67"/>
      <c r="M43" s="176"/>
    </row>
    <row r="44" spans="1:13" ht="15.75" x14ac:dyDescent="0.25">
      <c r="A44" s="1"/>
      <c r="B44" s="69"/>
      <c r="C44" s="191" t="s">
        <v>17</v>
      </c>
      <c r="D44" s="191"/>
      <c r="E44" s="70">
        <f>E41-J43</f>
        <v>2097891.9500000002</v>
      </c>
      <c r="F44" s="71"/>
      <c r="G44" s="71"/>
      <c r="H44" s="72"/>
      <c r="I44" s="72"/>
      <c r="J44" s="73"/>
      <c r="K44" s="74"/>
      <c r="L44" s="67"/>
      <c r="M44" s="176"/>
    </row>
    <row r="45" spans="1:13" x14ac:dyDescent="0.25">
      <c r="A45" s="1"/>
      <c r="B45" s="75"/>
      <c r="D45" s="2" t="s">
        <v>18</v>
      </c>
      <c r="E45" s="28">
        <v>80867.91</v>
      </c>
      <c r="H45" s="192" t="s">
        <v>19</v>
      </c>
      <c r="I45" s="192"/>
      <c r="J45" s="192">
        <f>E49</f>
        <v>164192.70000000019</v>
      </c>
      <c r="K45" s="193"/>
      <c r="L45" s="67"/>
      <c r="M45" s="176"/>
    </row>
    <row r="46" spans="1:13" ht="15.75" thickBot="1" x14ac:dyDescent="0.3">
      <c r="A46" s="1"/>
      <c r="B46" s="75" t="s">
        <v>11</v>
      </c>
      <c r="C46" s="6" t="s">
        <v>20</v>
      </c>
      <c r="E46" s="76">
        <v>-2221338.16</v>
      </c>
      <c r="H46" s="194" t="s">
        <v>1</v>
      </c>
      <c r="I46" s="194"/>
      <c r="J46" s="195">
        <f>-B4</f>
        <v>-196782.88</v>
      </c>
      <c r="K46" s="196"/>
      <c r="L46" s="67"/>
      <c r="M46" s="176"/>
    </row>
    <row r="47" spans="1:13" ht="20.25" thickTop="1" thickBot="1" x14ac:dyDescent="0.3">
      <c r="A47" s="1"/>
      <c r="B47" s="75"/>
      <c r="D47" s="2" t="s">
        <v>21</v>
      </c>
      <c r="E47" s="28">
        <f>SUM(E44:E46)</f>
        <v>-42578.299999999814</v>
      </c>
      <c r="H47" s="220" t="s">
        <v>200</v>
      </c>
      <c r="I47" s="221"/>
      <c r="J47" s="222">
        <f>SUM(J44:K46)</f>
        <v>-32590.179999999818</v>
      </c>
      <c r="K47" s="223"/>
      <c r="L47" s="67"/>
      <c r="M47" s="176"/>
    </row>
    <row r="48" spans="1:13" ht="16.5" thickBot="1" x14ac:dyDescent="0.3">
      <c r="A48" s="1"/>
      <c r="B48" s="75"/>
      <c r="C48" s="10" t="s">
        <v>124</v>
      </c>
      <c r="D48" s="77"/>
      <c r="E48" s="78">
        <v>206771</v>
      </c>
      <c r="J48" s="183"/>
      <c r="K48" s="184"/>
      <c r="L48" s="67"/>
      <c r="M48" s="176"/>
    </row>
    <row r="49" spans="1:13" ht="19.5" thickBot="1" x14ac:dyDescent="0.3">
      <c r="A49" s="1"/>
      <c r="B49" s="79"/>
      <c r="C49" s="80"/>
      <c r="D49" s="80" t="s">
        <v>23</v>
      </c>
      <c r="E49" s="81">
        <f>E48+E47</f>
        <v>164192.70000000019</v>
      </c>
      <c r="F49" s="82"/>
      <c r="G49" s="82"/>
      <c r="H49" s="83"/>
      <c r="I49" s="84"/>
      <c r="J49" s="185"/>
      <c r="K49" s="186"/>
      <c r="L49" s="67"/>
      <c r="M49" s="176"/>
    </row>
    <row r="53" spans="1:13" x14ac:dyDescent="0.25">
      <c r="D53" s="2" t="s">
        <v>11</v>
      </c>
    </row>
  </sheetData>
  <mergeCells count="17">
    <mergeCell ref="H47:I47"/>
    <mergeCell ref="J47:K47"/>
    <mergeCell ref="J48:K48"/>
    <mergeCell ref="J49:K49"/>
    <mergeCell ref="G43:H43"/>
    <mergeCell ref="J43:K43"/>
    <mergeCell ref="C44:D44"/>
    <mergeCell ref="H45:I45"/>
    <mergeCell ref="J45:K45"/>
    <mergeCell ref="H46:I46"/>
    <mergeCell ref="J46:K46"/>
    <mergeCell ref="B1:J1"/>
    <mergeCell ref="A3:B3"/>
    <mergeCell ref="D3:F3"/>
    <mergeCell ref="G3:H3"/>
    <mergeCell ref="D4:E4"/>
    <mergeCell ref="H4:K4"/>
  </mergeCells>
  <pageMargins left="1.1023622047244095" right="0.11811023622047245" top="0.15748031496062992" bottom="7.874015748031496E-2" header="0.31496062992125984" footer="0.31496062992125984"/>
  <pageSetup scale="7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J51"/>
  <sheetViews>
    <sheetView topLeftCell="A40" workbookViewId="0">
      <selection activeCell="E51" sqref="E51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206" t="s">
        <v>29</v>
      </c>
      <c r="D1" s="207"/>
      <c r="E1" s="208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209" t="s">
        <v>35</v>
      </c>
      <c r="I2" s="210"/>
      <c r="J2" s="211"/>
    </row>
    <row r="3" spans="1:10" x14ac:dyDescent="0.25">
      <c r="A3" s="90">
        <v>43559</v>
      </c>
      <c r="B3" s="91" t="s">
        <v>154</v>
      </c>
      <c r="C3" s="92">
        <v>83132.5</v>
      </c>
      <c r="D3" s="117"/>
      <c r="E3" s="92"/>
      <c r="F3" s="94">
        <f t="shared" ref="F3:F50" si="0">C3-E3</f>
        <v>83132.5</v>
      </c>
      <c r="H3" s="212"/>
      <c r="I3" s="213"/>
      <c r="J3" s="214"/>
    </row>
    <row r="4" spans="1:10" x14ac:dyDescent="0.25">
      <c r="A4" s="90">
        <v>43560</v>
      </c>
      <c r="B4" s="156" t="s">
        <v>155</v>
      </c>
      <c r="C4" s="92">
        <v>70428.941000000006</v>
      </c>
      <c r="D4" s="117"/>
      <c r="E4" s="95"/>
      <c r="F4" s="96">
        <f t="shared" si="0"/>
        <v>70428.941000000006</v>
      </c>
      <c r="H4" s="212"/>
      <c r="I4" s="213"/>
      <c r="J4" s="214"/>
    </row>
    <row r="5" spans="1:10" ht="15.75" thickBot="1" x14ac:dyDescent="0.3">
      <c r="A5" s="97">
        <v>43561</v>
      </c>
      <c r="B5" s="98" t="s">
        <v>156</v>
      </c>
      <c r="C5" s="95">
        <v>1040</v>
      </c>
      <c r="D5" s="117"/>
      <c r="E5" s="95"/>
      <c r="F5" s="96">
        <f t="shared" si="0"/>
        <v>1040</v>
      </c>
      <c r="H5" s="215"/>
      <c r="I5" s="216"/>
      <c r="J5" s="217"/>
    </row>
    <row r="6" spans="1:10" x14ac:dyDescent="0.25">
      <c r="A6" s="97">
        <v>43562</v>
      </c>
      <c r="B6" s="143" t="s">
        <v>157</v>
      </c>
      <c r="C6" s="95">
        <v>6124</v>
      </c>
      <c r="D6" s="117"/>
      <c r="E6" s="95"/>
      <c r="F6" s="99">
        <f t="shared" si="0"/>
        <v>6124</v>
      </c>
    </row>
    <row r="7" spans="1:10" x14ac:dyDescent="0.25">
      <c r="A7" s="97">
        <v>43562</v>
      </c>
      <c r="B7" s="143" t="s">
        <v>158</v>
      </c>
      <c r="C7" s="95">
        <v>10087</v>
      </c>
      <c r="D7" s="117"/>
      <c r="E7" s="95"/>
      <c r="F7" s="99">
        <f t="shared" si="0"/>
        <v>10087</v>
      </c>
    </row>
    <row r="8" spans="1:10" x14ac:dyDescent="0.25">
      <c r="A8" s="97">
        <v>43563</v>
      </c>
      <c r="B8" s="143" t="s">
        <v>159</v>
      </c>
      <c r="C8" s="95">
        <v>625.6</v>
      </c>
      <c r="D8" s="117"/>
      <c r="E8" s="95"/>
      <c r="F8" s="99">
        <f t="shared" si="0"/>
        <v>625.6</v>
      </c>
    </row>
    <row r="9" spans="1:10" x14ac:dyDescent="0.25">
      <c r="A9" s="97">
        <v>43563</v>
      </c>
      <c r="B9" s="143" t="s">
        <v>160</v>
      </c>
      <c r="C9" s="95">
        <v>81787.5</v>
      </c>
      <c r="D9" s="117"/>
      <c r="E9" s="95"/>
      <c r="F9" s="99">
        <f t="shared" si="0"/>
        <v>81787.5</v>
      </c>
    </row>
    <row r="10" spans="1:10" x14ac:dyDescent="0.25">
      <c r="A10" s="97">
        <v>43563</v>
      </c>
      <c r="B10" s="143" t="s">
        <v>161</v>
      </c>
      <c r="C10" s="95">
        <v>9014.6</v>
      </c>
      <c r="D10" s="117"/>
      <c r="E10" s="95"/>
      <c r="F10" s="99">
        <f t="shared" si="0"/>
        <v>9014.6</v>
      </c>
    </row>
    <row r="11" spans="1:10" x14ac:dyDescent="0.25">
      <c r="A11" s="97">
        <v>43564</v>
      </c>
      <c r="B11" s="144" t="s">
        <v>162</v>
      </c>
      <c r="C11" s="95">
        <v>41012.6</v>
      </c>
      <c r="D11" s="117"/>
      <c r="E11" s="95"/>
      <c r="F11" s="99">
        <f t="shared" si="0"/>
        <v>41012.6</v>
      </c>
    </row>
    <row r="12" spans="1:10" x14ac:dyDescent="0.25">
      <c r="A12" s="97">
        <v>43566</v>
      </c>
      <c r="B12" s="143" t="s">
        <v>163</v>
      </c>
      <c r="C12" s="95">
        <v>101020.24</v>
      </c>
      <c r="D12" s="117"/>
      <c r="E12" s="95"/>
      <c r="F12" s="99">
        <f t="shared" si="0"/>
        <v>101020.24</v>
      </c>
    </row>
    <row r="13" spans="1:10" x14ac:dyDescent="0.25">
      <c r="A13" s="101">
        <v>43567</v>
      </c>
      <c r="B13" s="145" t="s">
        <v>164</v>
      </c>
      <c r="C13" s="95">
        <v>70051.600000000006</v>
      </c>
      <c r="D13" s="117"/>
      <c r="E13" s="95"/>
      <c r="F13" s="99">
        <f t="shared" si="0"/>
        <v>70051.600000000006</v>
      </c>
    </row>
    <row r="14" spans="1:10" x14ac:dyDescent="0.25">
      <c r="A14" s="101">
        <v>43567</v>
      </c>
      <c r="B14" s="145" t="s">
        <v>165</v>
      </c>
      <c r="C14" s="95">
        <v>1386</v>
      </c>
      <c r="D14" s="117"/>
      <c r="E14" s="95"/>
      <c r="F14" s="99">
        <f t="shared" si="0"/>
        <v>1386</v>
      </c>
    </row>
    <row r="15" spans="1:10" x14ac:dyDescent="0.25">
      <c r="A15" s="101">
        <v>43568</v>
      </c>
      <c r="B15" s="145" t="s">
        <v>166</v>
      </c>
      <c r="C15" s="95">
        <v>45284</v>
      </c>
      <c r="D15" s="117"/>
      <c r="E15" s="95"/>
      <c r="F15" s="99">
        <f t="shared" si="0"/>
        <v>45284</v>
      </c>
    </row>
    <row r="16" spans="1:10" x14ac:dyDescent="0.25">
      <c r="A16" s="101">
        <v>43568</v>
      </c>
      <c r="B16" s="145" t="s">
        <v>167</v>
      </c>
      <c r="C16" s="95">
        <v>1065.5</v>
      </c>
      <c r="D16" s="117"/>
      <c r="E16" s="95"/>
      <c r="F16" s="99">
        <f t="shared" si="0"/>
        <v>1065.5</v>
      </c>
    </row>
    <row r="17" spans="1:6" x14ac:dyDescent="0.25">
      <c r="A17" s="101">
        <v>43569</v>
      </c>
      <c r="B17" s="145" t="s">
        <v>168</v>
      </c>
      <c r="C17" s="95">
        <v>1690</v>
      </c>
      <c r="D17" s="117"/>
      <c r="E17" s="95"/>
      <c r="F17" s="99">
        <f t="shared" si="0"/>
        <v>1690</v>
      </c>
    </row>
    <row r="18" spans="1:6" x14ac:dyDescent="0.25">
      <c r="A18" s="101">
        <v>43570</v>
      </c>
      <c r="B18" s="145" t="s">
        <v>169</v>
      </c>
      <c r="C18" s="95">
        <v>84682</v>
      </c>
      <c r="D18" s="117"/>
      <c r="E18" s="95"/>
      <c r="F18" s="99">
        <f t="shared" si="0"/>
        <v>84682</v>
      </c>
    </row>
    <row r="19" spans="1:6" x14ac:dyDescent="0.25">
      <c r="A19" s="101">
        <v>43571</v>
      </c>
      <c r="B19" s="145" t="s">
        <v>172</v>
      </c>
      <c r="C19" s="95">
        <v>83764.5</v>
      </c>
      <c r="D19" s="117"/>
      <c r="E19" s="95"/>
      <c r="F19" s="99">
        <f t="shared" si="0"/>
        <v>83764.5</v>
      </c>
    </row>
    <row r="20" spans="1:6" x14ac:dyDescent="0.25">
      <c r="A20" s="101">
        <v>43571</v>
      </c>
      <c r="B20" s="102" t="s">
        <v>173</v>
      </c>
      <c r="C20" s="95">
        <v>5560</v>
      </c>
      <c r="D20" s="117"/>
      <c r="E20" s="95"/>
      <c r="F20" s="99">
        <f t="shared" si="0"/>
        <v>5560</v>
      </c>
    </row>
    <row r="21" spans="1:6" x14ac:dyDescent="0.25">
      <c r="A21" s="101">
        <v>43572</v>
      </c>
      <c r="B21" s="102" t="s">
        <v>174</v>
      </c>
      <c r="C21" s="95">
        <v>118440</v>
      </c>
      <c r="D21" s="117"/>
      <c r="E21" s="95"/>
      <c r="F21" s="99">
        <f t="shared" si="0"/>
        <v>118440</v>
      </c>
    </row>
    <row r="22" spans="1:6" x14ac:dyDescent="0.25">
      <c r="A22" s="101">
        <v>43573</v>
      </c>
      <c r="B22" s="102" t="s">
        <v>175</v>
      </c>
      <c r="C22" s="95">
        <v>64869.3</v>
      </c>
      <c r="D22" s="117"/>
      <c r="E22" s="95"/>
      <c r="F22" s="99">
        <f t="shared" si="0"/>
        <v>64869.3</v>
      </c>
    </row>
    <row r="23" spans="1:6" x14ac:dyDescent="0.25">
      <c r="A23" s="101">
        <v>43573</v>
      </c>
      <c r="B23" s="102" t="s">
        <v>176</v>
      </c>
      <c r="C23" s="95">
        <v>12692</v>
      </c>
      <c r="D23" s="117"/>
      <c r="E23" s="95"/>
      <c r="F23" s="99">
        <f t="shared" si="0"/>
        <v>12692</v>
      </c>
    </row>
    <row r="24" spans="1:6" x14ac:dyDescent="0.25">
      <c r="A24" s="101">
        <v>43575</v>
      </c>
      <c r="B24" s="102" t="s">
        <v>177</v>
      </c>
      <c r="C24" s="95">
        <v>7580.5</v>
      </c>
      <c r="D24" s="117"/>
      <c r="E24" s="95"/>
      <c r="F24" s="99">
        <f t="shared" si="0"/>
        <v>7580.5</v>
      </c>
    </row>
    <row r="25" spans="1:6" x14ac:dyDescent="0.25">
      <c r="A25" s="101">
        <v>43577</v>
      </c>
      <c r="B25" s="102" t="s">
        <v>178</v>
      </c>
      <c r="C25" s="95">
        <v>94423.84</v>
      </c>
      <c r="D25" s="117"/>
      <c r="E25" s="95"/>
      <c r="F25" s="99">
        <f t="shared" si="0"/>
        <v>94423.84</v>
      </c>
    </row>
    <row r="26" spans="1:6" x14ac:dyDescent="0.25">
      <c r="A26" s="101">
        <v>43578</v>
      </c>
      <c r="B26" s="102" t="s">
        <v>179</v>
      </c>
      <c r="C26" s="95">
        <v>47814.76</v>
      </c>
      <c r="D26" s="117"/>
      <c r="E26" s="95"/>
      <c r="F26" s="99">
        <f t="shared" si="0"/>
        <v>47814.76</v>
      </c>
    </row>
    <row r="27" spans="1:6" x14ac:dyDescent="0.25">
      <c r="A27" s="101">
        <v>43579</v>
      </c>
      <c r="B27" s="102" t="s">
        <v>180</v>
      </c>
      <c r="C27" s="95">
        <v>76379</v>
      </c>
      <c r="D27" s="93"/>
      <c r="E27" s="95"/>
      <c r="F27" s="99">
        <f t="shared" si="0"/>
        <v>76379</v>
      </c>
    </row>
    <row r="28" spans="1:6" x14ac:dyDescent="0.25">
      <c r="A28" s="101">
        <v>43580</v>
      </c>
      <c r="B28" s="145" t="s">
        <v>181</v>
      </c>
      <c r="C28" s="163">
        <v>105162.34</v>
      </c>
      <c r="D28" s="93"/>
      <c r="E28" s="95"/>
      <c r="F28" s="99">
        <f t="shared" si="0"/>
        <v>105162.34</v>
      </c>
    </row>
    <row r="29" spans="1:6" x14ac:dyDescent="0.25">
      <c r="A29" s="101">
        <v>43581</v>
      </c>
      <c r="B29" s="102" t="s">
        <v>182</v>
      </c>
      <c r="C29" s="95">
        <v>51742.22</v>
      </c>
      <c r="D29" s="93"/>
      <c r="E29" s="95"/>
      <c r="F29" s="99">
        <f t="shared" si="0"/>
        <v>51742.22</v>
      </c>
    </row>
    <row r="30" spans="1:6" x14ac:dyDescent="0.25">
      <c r="A30" s="101">
        <v>43582</v>
      </c>
      <c r="B30" s="102" t="s">
        <v>183</v>
      </c>
      <c r="C30" s="95">
        <v>150860.29999999999</v>
      </c>
      <c r="D30" s="93"/>
      <c r="E30" s="95"/>
      <c r="F30" s="99">
        <f t="shared" si="0"/>
        <v>150860.29999999999</v>
      </c>
    </row>
    <row r="31" spans="1:6" x14ac:dyDescent="0.25">
      <c r="A31" s="101">
        <v>43583</v>
      </c>
      <c r="B31" s="102" t="s">
        <v>184</v>
      </c>
      <c r="C31" s="95">
        <v>62056.18</v>
      </c>
      <c r="D31" s="93"/>
      <c r="E31" s="95"/>
      <c r="F31" s="99">
        <f t="shared" si="0"/>
        <v>62056.18</v>
      </c>
    </row>
    <row r="32" spans="1:6" x14ac:dyDescent="0.25">
      <c r="A32" s="101">
        <v>43585</v>
      </c>
      <c r="B32" s="102" t="s">
        <v>185</v>
      </c>
      <c r="C32" s="95">
        <v>54031.5</v>
      </c>
      <c r="D32" s="93"/>
      <c r="E32" s="95"/>
      <c r="F32" s="99">
        <f t="shared" si="0"/>
        <v>54031.5</v>
      </c>
    </row>
    <row r="33" spans="1:6" x14ac:dyDescent="0.25">
      <c r="A33" s="101">
        <v>43585</v>
      </c>
      <c r="B33" s="102" t="s">
        <v>187</v>
      </c>
      <c r="C33" s="95">
        <v>2755.5</v>
      </c>
      <c r="D33" s="93"/>
      <c r="E33" s="95"/>
      <c r="F33" s="99">
        <f t="shared" si="0"/>
        <v>2755.5</v>
      </c>
    </row>
    <row r="34" spans="1:6" x14ac:dyDescent="0.25">
      <c r="A34" s="101">
        <v>43586</v>
      </c>
      <c r="B34" s="102" t="s">
        <v>186</v>
      </c>
      <c r="C34" s="95">
        <v>47333.440000000002</v>
      </c>
      <c r="D34" s="93"/>
      <c r="E34" s="95"/>
      <c r="F34" s="99">
        <f t="shared" si="0"/>
        <v>47333.440000000002</v>
      </c>
    </row>
    <row r="35" spans="1:6" x14ac:dyDescent="0.25">
      <c r="A35" s="101">
        <v>43586</v>
      </c>
      <c r="B35" s="102" t="s">
        <v>188</v>
      </c>
      <c r="C35" s="95">
        <v>187039.98</v>
      </c>
      <c r="D35" s="93"/>
      <c r="E35" s="95"/>
      <c r="F35" s="99">
        <f t="shared" si="0"/>
        <v>187039.98</v>
      </c>
    </row>
    <row r="36" spans="1:6" x14ac:dyDescent="0.25">
      <c r="A36" s="101">
        <v>43587</v>
      </c>
      <c r="B36" s="102" t="s">
        <v>189</v>
      </c>
      <c r="C36" s="95">
        <v>84325.58</v>
      </c>
      <c r="D36" s="93"/>
      <c r="E36" s="95"/>
      <c r="F36" s="99">
        <f t="shared" si="0"/>
        <v>84325.58</v>
      </c>
    </row>
    <row r="37" spans="1:6" x14ac:dyDescent="0.25">
      <c r="A37" s="101">
        <v>43588</v>
      </c>
      <c r="B37" s="102" t="s">
        <v>190</v>
      </c>
      <c r="C37" s="95">
        <v>96745.600000000006</v>
      </c>
      <c r="D37" s="93"/>
      <c r="E37" s="95"/>
      <c r="F37" s="99">
        <f t="shared" si="0"/>
        <v>96745.600000000006</v>
      </c>
    </row>
    <row r="38" spans="1:6" x14ac:dyDescent="0.25">
      <c r="A38" s="101">
        <v>43589</v>
      </c>
      <c r="B38" s="145" t="s">
        <v>191</v>
      </c>
      <c r="C38" s="163">
        <v>45835</v>
      </c>
      <c r="D38" s="93"/>
      <c r="E38" s="95"/>
      <c r="F38" s="99">
        <f t="shared" si="0"/>
        <v>45835</v>
      </c>
    </row>
    <row r="39" spans="1:6" x14ac:dyDescent="0.25">
      <c r="A39" s="101">
        <v>43590</v>
      </c>
      <c r="B39" s="145" t="s">
        <v>192</v>
      </c>
      <c r="C39" s="163">
        <v>42356.24</v>
      </c>
      <c r="D39" s="93"/>
      <c r="E39" s="95"/>
      <c r="F39" s="99">
        <f t="shared" si="0"/>
        <v>42356.24</v>
      </c>
    </row>
    <row r="40" spans="1:6" x14ac:dyDescent="0.25">
      <c r="A40" s="101">
        <v>43591</v>
      </c>
      <c r="B40" s="145" t="s">
        <v>193</v>
      </c>
      <c r="C40" s="163">
        <v>104898.6</v>
      </c>
      <c r="D40" s="93"/>
      <c r="E40" s="95"/>
      <c r="F40" s="99">
        <f t="shared" si="0"/>
        <v>104898.6</v>
      </c>
    </row>
    <row r="41" spans="1:6" x14ac:dyDescent="0.25">
      <c r="A41" s="101">
        <v>43591</v>
      </c>
      <c r="B41" s="145" t="s">
        <v>194</v>
      </c>
      <c r="C41" s="163">
        <v>5547</v>
      </c>
      <c r="D41" s="93"/>
      <c r="E41" s="95"/>
      <c r="F41" s="99">
        <f t="shared" si="0"/>
        <v>5547</v>
      </c>
    </row>
    <row r="42" spans="1:6" x14ac:dyDescent="0.25">
      <c r="A42" s="101">
        <v>43593</v>
      </c>
      <c r="B42" s="145" t="s">
        <v>199</v>
      </c>
      <c r="C42" s="163">
        <v>86206.1</v>
      </c>
      <c r="D42" s="93"/>
      <c r="E42" s="95"/>
      <c r="F42" s="99">
        <f t="shared" si="0"/>
        <v>86206.1</v>
      </c>
    </row>
    <row r="43" spans="1:6" x14ac:dyDescent="0.25">
      <c r="A43" s="101"/>
      <c r="B43" s="145"/>
      <c r="C43" s="163"/>
      <c r="D43" s="93"/>
      <c r="E43" s="95"/>
      <c r="F43" s="99">
        <f t="shared" si="0"/>
        <v>0</v>
      </c>
    </row>
    <row r="44" spans="1:6" x14ac:dyDescent="0.25">
      <c r="A44" s="101"/>
      <c r="B44" s="145"/>
      <c r="C44" s="163"/>
      <c r="D44" s="93"/>
      <c r="E44" s="95"/>
      <c r="F44" s="99">
        <f t="shared" si="0"/>
        <v>0</v>
      </c>
    </row>
    <row r="45" spans="1:6" x14ac:dyDescent="0.25">
      <c r="A45" s="101"/>
      <c r="B45" s="145"/>
      <c r="C45" s="163"/>
      <c r="D45" s="93"/>
      <c r="E45" s="95"/>
      <c r="F45" s="99">
        <f t="shared" si="0"/>
        <v>0</v>
      </c>
    </row>
    <row r="46" spans="1:6" x14ac:dyDescent="0.25">
      <c r="A46" s="101">
        <v>43558</v>
      </c>
      <c r="B46" s="145" t="s">
        <v>93</v>
      </c>
      <c r="C46" s="163">
        <v>1257.5999999999999</v>
      </c>
      <c r="D46" s="164" t="s">
        <v>196</v>
      </c>
      <c r="E46" s="95"/>
      <c r="F46" s="99">
        <f t="shared" si="0"/>
        <v>1257.5999999999999</v>
      </c>
    </row>
    <row r="47" spans="1:6" x14ac:dyDescent="0.25">
      <c r="A47" s="101">
        <v>43581</v>
      </c>
      <c r="B47" s="145" t="s">
        <v>73</v>
      </c>
      <c r="C47" s="163">
        <v>10089</v>
      </c>
      <c r="D47" s="164" t="s">
        <v>196</v>
      </c>
      <c r="E47" s="95"/>
      <c r="F47" s="99">
        <f t="shared" si="0"/>
        <v>10089</v>
      </c>
    </row>
    <row r="48" spans="1:6" x14ac:dyDescent="0.25">
      <c r="A48" s="101">
        <v>43583</v>
      </c>
      <c r="B48" s="102" t="s">
        <v>195</v>
      </c>
      <c r="C48" s="95">
        <v>303.39999999999998</v>
      </c>
      <c r="D48" s="164" t="s">
        <v>196</v>
      </c>
      <c r="E48" s="95"/>
      <c r="F48" s="99">
        <f t="shared" si="0"/>
        <v>303.39999999999998</v>
      </c>
    </row>
    <row r="49" spans="1:6" x14ac:dyDescent="0.25">
      <c r="A49" s="101"/>
      <c r="B49" s="102"/>
      <c r="C49" s="95"/>
      <c r="D49" s="93"/>
      <c r="E49" s="95"/>
      <c r="F49" s="99">
        <f t="shared" si="0"/>
        <v>0</v>
      </c>
    </row>
    <row r="50" spans="1:6" ht="16.5" thickBot="1" x14ac:dyDescent="0.3">
      <c r="A50" s="103" t="s">
        <v>36</v>
      </c>
      <c r="B50" s="104"/>
      <c r="C50" s="105"/>
      <c r="D50" s="106"/>
      <c r="E50" s="107">
        <v>37163.4</v>
      </c>
      <c r="F50" s="108">
        <f t="shared" si="0"/>
        <v>-37163.4</v>
      </c>
    </row>
    <row r="51" spans="1:6" s="113" customFormat="1" ht="19.5" thickBot="1" x14ac:dyDescent="0.35">
      <c r="A51" s="109"/>
      <c r="B51" s="110"/>
      <c r="C51" s="111">
        <f>SUM(C3:C50)</f>
        <v>2258501.5610000002</v>
      </c>
      <c r="D51" s="111"/>
      <c r="E51" s="112">
        <f>SUM(E3:E50)</f>
        <v>37163.4</v>
      </c>
      <c r="F51" s="112">
        <f>SUM(F3:F50)</f>
        <v>2221338.1610000003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4ADC-C696-44D4-88C8-065685DBD22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2019   </vt:lpstr>
      <vt:lpstr>SALIDAS  ENERO  2019  </vt:lpstr>
      <vt:lpstr>F E B R E R O     2019   </vt:lpstr>
      <vt:lpstr>SALIDAS  FEBRERO  2019   </vt:lpstr>
      <vt:lpstr>M A R Z O    2019    </vt:lpstr>
      <vt:lpstr>SALIDAS  MARZO   2019   </vt:lpstr>
      <vt:lpstr>ABRIL    2019      </vt:lpstr>
      <vt:lpstr>SALIDAS  ABRIL   2019   </vt:lpstr>
      <vt:lpstr>Hoja5</vt:lpstr>
      <vt:lpstr>Hoja6</vt:lpstr>
      <vt:lpstr>Hoja9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2019-05-17T16:34:38Z</cp:lastPrinted>
  <dcterms:created xsi:type="dcterms:W3CDTF">2019-01-21T18:28:16Z</dcterms:created>
  <dcterms:modified xsi:type="dcterms:W3CDTF">2019-05-17T16:34:56Z</dcterms:modified>
</cp:coreProperties>
</file>