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595CCE35-097C-43C7-A67C-4A10DDB0E56E}" xr6:coauthVersionLast="43" xr6:coauthVersionMax="43" xr10:uidLastSave="{00000000-0000-0000-0000-000000000000}"/>
  <bookViews>
    <workbookView xWindow="6795" yWindow="1035" windowWidth="15495" windowHeight="11340" tabRatio="597" firstSheet="1" activeTab="1" xr2:uid="{00000000-000D-0000-FFFF-FFFF00000000}"/>
  </bookViews>
  <sheets>
    <sheet name="Gráfico1" sheetId="137" state="hidden" r:id="rId1"/>
    <sheet name="COMPRAS DEL MES " sheetId="38" r:id="rId2"/>
    <sheet name="Hoja2" sheetId="155" r:id="rId3"/>
    <sheet name="PIERNA" sheetId="1" r:id="rId4"/>
    <sheet name="CONTRA   SWIFT     " sheetId="57" r:id="rId5"/>
    <sheet name="CONTRA EXCEL   pulpa blanca" sheetId="129" r:id="rId6"/>
    <sheet name="CORBATA SMITHFIELD" sheetId="142" r:id="rId7"/>
    <sheet name="BUCHE  SEABOARD   " sheetId="146" r:id="rId8"/>
    <sheet name="CORBATA SEABOARD      " sheetId="153" r:id="rId9"/>
    <sheet name="    N A N A       " sheetId="154" r:id="rId10"/>
    <sheet name="CUERO PANCETA " sheetId="128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state="hidden" r:id="rId18"/>
    <sheet name="FILETE  TILAPIA   " sheetId="65" r:id="rId19"/>
    <sheet name="FILETE  B A S A     " sheetId="139" r:id="rId20"/>
    <sheet name="PAPA ONDULADA        " sheetId="117" r:id="rId21"/>
    <sheet name="PAVO ENTERO" sheetId="94" state="hidden" r:id="rId22"/>
    <sheet name="LENGUA DE  CERDO    " sheetId="133" r:id="rId23"/>
    <sheet name="LOMO DE CAÑA    " sheetId="150" r:id="rId24"/>
    <sheet name="MANITAS KEKEN   " sheetId="152" r:id="rId25"/>
    <sheet name="TARAS DE PLASTICO " sheetId="132" r:id="rId26"/>
    <sheet name="Hoja5" sheetId="134" r:id="rId27"/>
    <sheet name="Hoja1" sheetId="148" r:id="rId28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0" i="38" l="1"/>
  <c r="T110" i="38"/>
  <c r="I110" i="38"/>
  <c r="I111" i="38"/>
  <c r="H5" i="135" l="1"/>
  <c r="U8" i="40"/>
  <c r="T8" i="40"/>
  <c r="S5" i="40"/>
  <c r="R5" i="40"/>
  <c r="E5" i="150"/>
  <c r="J16" i="117" l="1"/>
  <c r="J17" i="117" s="1"/>
  <c r="J18" i="117" s="1"/>
  <c r="J19" i="117" s="1"/>
  <c r="J20" i="117" s="1"/>
  <c r="J21" i="117" s="1"/>
  <c r="J22" i="117" s="1"/>
  <c r="J23" i="117" s="1"/>
  <c r="J24" i="117" s="1"/>
  <c r="J25" i="117" s="1"/>
  <c r="N10" i="130"/>
  <c r="P10" i="130" s="1"/>
  <c r="N9" i="130"/>
  <c r="P9" i="130" s="1"/>
  <c r="N8" i="130"/>
  <c r="P8" i="130" s="1"/>
  <c r="F112" i="38"/>
  <c r="D29" i="128"/>
  <c r="D30" i="128"/>
  <c r="D31" i="128"/>
  <c r="D32" i="128"/>
  <c r="D33" i="128"/>
  <c r="D34" i="128"/>
  <c r="D35" i="128"/>
  <c r="D36" i="128"/>
  <c r="D37" i="128"/>
  <c r="D38" i="128"/>
  <c r="D39" i="128"/>
  <c r="E10" i="128"/>
  <c r="Q36" i="38" l="1"/>
  <c r="Q39" i="38"/>
  <c r="Q37" i="38"/>
  <c r="Q38" i="38"/>
  <c r="Q35" i="38"/>
  <c r="Q33" i="38" l="1"/>
  <c r="Q34" i="38"/>
  <c r="Q32" i="38"/>
  <c r="Q31" i="38"/>
  <c r="Q30" i="38" l="1"/>
  <c r="Q29" i="38"/>
  <c r="F109" i="38" l="1"/>
  <c r="E8" i="128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JS5" i="1"/>
  <c r="JJ5" i="1"/>
  <c r="JA5" i="1"/>
  <c r="IR5" i="1"/>
  <c r="II5" i="1"/>
  <c r="AC10" i="129" l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Z77" i="129"/>
  <c r="Y82" i="129" s="1"/>
  <c r="O10" i="40"/>
  <c r="Q10" i="40" s="1"/>
  <c r="O9" i="40"/>
  <c r="Q9" i="40" s="1"/>
  <c r="O8" i="40"/>
  <c r="Q8" i="40" s="1"/>
  <c r="O11" i="40"/>
  <c r="Q11" i="40" s="1"/>
  <c r="M40" i="146"/>
  <c r="P43" i="146" s="1"/>
  <c r="K40" i="146"/>
  <c r="N39" i="146"/>
  <c r="P39" i="146" s="1"/>
  <c r="N38" i="146"/>
  <c r="P38" i="146" s="1"/>
  <c r="P37" i="146"/>
  <c r="N37" i="146"/>
  <c r="N36" i="146"/>
  <c r="P36" i="146" s="1"/>
  <c r="N35" i="146"/>
  <c r="P35" i="146" s="1"/>
  <c r="N34" i="146"/>
  <c r="P34" i="146" s="1"/>
  <c r="N33" i="146"/>
  <c r="P33" i="146" s="1"/>
  <c r="N32" i="146"/>
  <c r="P32" i="146" s="1"/>
  <c r="N31" i="146"/>
  <c r="P31" i="146" s="1"/>
  <c r="N30" i="146"/>
  <c r="P30" i="146" s="1"/>
  <c r="N29" i="146"/>
  <c r="P29" i="146" s="1"/>
  <c r="N28" i="146"/>
  <c r="P28" i="146" s="1"/>
  <c r="N27" i="146"/>
  <c r="P27" i="146" s="1"/>
  <c r="N26" i="146"/>
  <c r="P26" i="146" s="1"/>
  <c r="N25" i="146"/>
  <c r="P25" i="146" s="1"/>
  <c r="N24" i="146"/>
  <c r="P24" i="146" s="1"/>
  <c r="N23" i="146"/>
  <c r="P23" i="146" s="1"/>
  <c r="N22" i="146"/>
  <c r="P22" i="146" s="1"/>
  <c r="P21" i="146"/>
  <c r="N21" i="146"/>
  <c r="N20" i="146"/>
  <c r="P20" i="146" s="1"/>
  <c r="N19" i="146"/>
  <c r="P19" i="146" s="1"/>
  <c r="N18" i="146"/>
  <c r="P18" i="146" s="1"/>
  <c r="N17" i="146"/>
  <c r="P17" i="146" s="1"/>
  <c r="N16" i="146"/>
  <c r="P16" i="146" s="1"/>
  <c r="N15" i="146"/>
  <c r="P15" i="146" s="1"/>
  <c r="N14" i="146"/>
  <c r="P14" i="146" s="1"/>
  <c r="N13" i="146"/>
  <c r="P13" i="146" s="1"/>
  <c r="N12" i="146"/>
  <c r="P12" i="146" s="1"/>
  <c r="N11" i="146"/>
  <c r="P11" i="146" s="1"/>
  <c r="N10" i="146"/>
  <c r="P10" i="146" s="1"/>
  <c r="N9" i="146"/>
  <c r="P9" i="146" s="1"/>
  <c r="N8" i="146"/>
  <c r="AA5" i="129" l="1"/>
  <c r="AB6" i="129" s="1"/>
  <c r="N40" i="146"/>
  <c r="P8" i="146"/>
  <c r="P40" i="146" l="1"/>
  <c r="S8" i="146"/>
  <c r="S9" i="146" s="1"/>
  <c r="S10" i="146" s="1"/>
  <c r="S11" i="146" s="1"/>
  <c r="S12" i="146" s="1"/>
  <c r="S13" i="146" s="1"/>
  <c r="S14" i="146" s="1"/>
  <c r="S15" i="146" s="1"/>
  <c r="S16" i="146" s="1"/>
  <c r="S17" i="146" s="1"/>
  <c r="S18" i="146" s="1"/>
  <c r="S19" i="146" s="1"/>
  <c r="S20" i="146" s="1"/>
  <c r="S21" i="146" s="1"/>
  <c r="S22" i="146" s="1"/>
  <c r="S23" i="146" s="1"/>
  <c r="S24" i="146" s="1"/>
  <c r="S25" i="146" s="1"/>
  <c r="S26" i="146" s="1"/>
  <c r="S27" i="146" s="1"/>
  <c r="S28" i="146" s="1"/>
  <c r="S29" i="146" s="1"/>
  <c r="S30" i="146" s="1"/>
  <c r="S31" i="146" s="1"/>
  <c r="S32" i="146" s="1"/>
  <c r="S33" i="146" s="1"/>
  <c r="S34" i="146" s="1"/>
  <c r="S35" i="146" s="1"/>
  <c r="S36" i="146" s="1"/>
  <c r="S37" i="146" s="1"/>
  <c r="S38" i="146" s="1"/>
  <c r="P42" i="146" l="1"/>
  <c r="Q5" i="146"/>
  <c r="R5" i="146" s="1"/>
  <c r="Q11" i="38" l="1"/>
  <c r="Q10" i="38"/>
  <c r="Q7" i="38"/>
  <c r="Q8" i="38"/>
  <c r="Q12" i="38"/>
  <c r="Q27" i="38" l="1"/>
  <c r="Q28" i="38"/>
  <c r="Q26" i="38"/>
  <c r="Q18" i="38" l="1"/>
  <c r="Q13" i="38"/>
  <c r="Q9" i="38"/>
  <c r="Q16" i="38"/>
  <c r="Q15" i="38"/>
  <c r="Q14" i="38"/>
  <c r="Q23" i="38" l="1"/>
  <c r="Q20" i="38"/>
  <c r="Q17" i="38"/>
  <c r="Q25" i="38"/>
  <c r="Q24" i="38"/>
  <c r="Q22" i="38"/>
  <c r="Q21" i="38"/>
  <c r="Q19" i="38"/>
  <c r="F105" i="38" l="1"/>
  <c r="F103" i="38"/>
  <c r="E7" i="128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E6" i="128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Q5" i="38"/>
  <c r="Q6" i="38"/>
  <c r="O82" i="129" l="1"/>
  <c r="Q5" i="129"/>
  <c r="R6" i="129" s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CU5" i="1"/>
  <c r="CL5" i="1"/>
  <c r="CC5" i="1"/>
  <c r="BT5" i="1"/>
  <c r="BK5" i="1"/>
  <c r="BB5" i="1"/>
  <c r="AS5" i="1"/>
  <c r="AJ5" i="1"/>
  <c r="AA5" i="1"/>
  <c r="I101" i="38" l="1"/>
  <c r="I102" i="38"/>
  <c r="I103" i="38"/>
  <c r="I104" i="38"/>
  <c r="I105" i="38"/>
  <c r="I106" i="38"/>
  <c r="I107" i="38"/>
  <c r="I108" i="38"/>
  <c r="I109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P32" i="1"/>
  <c r="P34" i="1" s="1"/>
  <c r="N32" i="1"/>
  <c r="R5" i="1"/>
  <c r="N62" i="40" l="1"/>
  <c r="P65" i="40" s="1"/>
  <c r="O61" i="40"/>
  <c r="Q61" i="40" s="1"/>
  <c r="O60" i="40"/>
  <c r="Q60" i="40" s="1"/>
  <c r="L60" i="40"/>
  <c r="Q59" i="40"/>
  <c r="O59" i="40"/>
  <c r="O58" i="40"/>
  <c r="Q58" i="40" s="1"/>
  <c r="Q57" i="40"/>
  <c r="O57" i="40"/>
  <c r="O56" i="40"/>
  <c r="Q56" i="40" s="1"/>
  <c r="Q55" i="40"/>
  <c r="O55" i="40"/>
  <c r="O54" i="40"/>
  <c r="Q54" i="40" s="1"/>
  <c r="Q53" i="40"/>
  <c r="O53" i="40"/>
  <c r="O52" i="40"/>
  <c r="Q52" i="40" s="1"/>
  <c r="Q51" i="40"/>
  <c r="O51" i="40"/>
  <c r="O50" i="40"/>
  <c r="Q50" i="40" s="1"/>
  <c r="Q49" i="40"/>
  <c r="O49" i="40"/>
  <c r="O48" i="40"/>
  <c r="Q48" i="40" s="1"/>
  <c r="Q47" i="40"/>
  <c r="O47" i="40"/>
  <c r="O46" i="40"/>
  <c r="Q46" i="40" s="1"/>
  <c r="Q45" i="40"/>
  <c r="O45" i="40"/>
  <c r="O44" i="40"/>
  <c r="Q44" i="40" s="1"/>
  <c r="Q43" i="40"/>
  <c r="O43" i="40"/>
  <c r="O42" i="40"/>
  <c r="Q42" i="40" s="1"/>
  <c r="Q41" i="40"/>
  <c r="O41" i="40"/>
  <c r="O40" i="40"/>
  <c r="Q40" i="40" s="1"/>
  <c r="Q39" i="40"/>
  <c r="O39" i="40"/>
  <c r="O38" i="40"/>
  <c r="Q38" i="40" s="1"/>
  <c r="Q37" i="40"/>
  <c r="O37" i="40"/>
  <c r="O36" i="40"/>
  <c r="Q36" i="40" s="1"/>
  <c r="Q35" i="40"/>
  <c r="O35" i="40"/>
  <c r="O34" i="40"/>
  <c r="Q34" i="40" s="1"/>
  <c r="Q33" i="40"/>
  <c r="O33" i="40"/>
  <c r="O32" i="40"/>
  <c r="Q32" i="40" s="1"/>
  <c r="Q31" i="40"/>
  <c r="O31" i="40"/>
  <c r="O30" i="40"/>
  <c r="Q30" i="40" s="1"/>
  <c r="Q29" i="40"/>
  <c r="O29" i="40"/>
  <c r="O28" i="40"/>
  <c r="Q28" i="40" s="1"/>
  <c r="Q27" i="40"/>
  <c r="O27" i="40"/>
  <c r="O26" i="40"/>
  <c r="Q26" i="40" s="1"/>
  <c r="Q25" i="40"/>
  <c r="O25" i="40"/>
  <c r="O24" i="40"/>
  <c r="Q24" i="40" s="1"/>
  <c r="Q23" i="40"/>
  <c r="O23" i="40"/>
  <c r="O22" i="40"/>
  <c r="Q22" i="40" s="1"/>
  <c r="Q21" i="40"/>
  <c r="O21" i="40"/>
  <c r="O20" i="40"/>
  <c r="Q20" i="40" s="1"/>
  <c r="Q19" i="40"/>
  <c r="O19" i="40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T9" i="40" l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P67" i="40" l="1"/>
  <c r="D10" i="139"/>
  <c r="F10" i="139" s="1"/>
  <c r="F9" i="139"/>
  <c r="I9" i="139" s="1"/>
  <c r="D9" i="139"/>
  <c r="I10" i="139" l="1"/>
  <c r="N93" i="14" l="1"/>
  <c r="P94" i="14" s="1"/>
  <c r="O92" i="14"/>
  <c r="Q92" i="14" s="1"/>
  <c r="O91" i="14"/>
  <c r="Q91" i="14" s="1"/>
  <c r="O90" i="14"/>
  <c r="Q90" i="14" s="1"/>
  <c r="O89" i="14"/>
  <c r="Q89" i="14" s="1"/>
  <c r="O88" i="14"/>
  <c r="Q88" i="14" s="1"/>
  <c r="O87" i="14"/>
  <c r="Q87" i="14" s="1"/>
  <c r="O86" i="14"/>
  <c r="Q86" i="14" s="1"/>
  <c r="O85" i="14"/>
  <c r="Q85" i="14" s="1"/>
  <c r="O84" i="14"/>
  <c r="Q84" i="14" s="1"/>
  <c r="O83" i="14"/>
  <c r="Q83" i="14" s="1"/>
  <c r="O82" i="14"/>
  <c r="Q82" i="14" s="1"/>
  <c r="O81" i="14"/>
  <c r="Q81" i="14" s="1"/>
  <c r="O80" i="14"/>
  <c r="Q80" i="14" s="1"/>
  <c r="O79" i="14"/>
  <c r="Q79" i="14" s="1"/>
  <c r="O78" i="14"/>
  <c r="Q78" i="14" s="1"/>
  <c r="O77" i="14"/>
  <c r="Q77" i="14" s="1"/>
  <c r="O76" i="14"/>
  <c r="Q76" i="14" s="1"/>
  <c r="O75" i="14"/>
  <c r="Q75" i="14" s="1"/>
  <c r="O74" i="14"/>
  <c r="Q74" i="14" s="1"/>
  <c r="O73" i="14"/>
  <c r="Q73" i="14" s="1"/>
  <c r="O72" i="14"/>
  <c r="Q72" i="14" s="1"/>
  <c r="O71" i="14"/>
  <c r="Q71" i="14" s="1"/>
  <c r="O70" i="14"/>
  <c r="Q70" i="14" s="1"/>
  <c r="O69" i="14"/>
  <c r="Q69" i="14" s="1"/>
  <c r="O68" i="14"/>
  <c r="Q68" i="14" s="1"/>
  <c r="O67" i="14"/>
  <c r="Q67" i="14" s="1"/>
  <c r="O66" i="14"/>
  <c r="Q66" i="14" s="1"/>
  <c r="O65" i="14"/>
  <c r="Q65" i="14" s="1"/>
  <c r="O64" i="14"/>
  <c r="Q64" i="14" s="1"/>
  <c r="O63" i="14"/>
  <c r="Q63" i="14" s="1"/>
  <c r="O62" i="14"/>
  <c r="Q62" i="14" s="1"/>
  <c r="O61" i="14"/>
  <c r="Q61" i="14" s="1"/>
  <c r="O60" i="14"/>
  <c r="Q60" i="14" s="1"/>
  <c r="O59" i="14"/>
  <c r="Q59" i="14" s="1"/>
  <c r="O58" i="14"/>
  <c r="Q58" i="14" s="1"/>
  <c r="O57" i="14"/>
  <c r="Q57" i="14" s="1"/>
  <c r="O56" i="14"/>
  <c r="Q56" i="14" s="1"/>
  <c r="O55" i="14"/>
  <c r="Q55" i="14" s="1"/>
  <c r="O54" i="14"/>
  <c r="Q54" i="14" s="1"/>
  <c r="O53" i="14"/>
  <c r="Q53" i="14" s="1"/>
  <c r="O52" i="14"/>
  <c r="Q52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O35" i="14"/>
  <c r="Q35" i="14" s="1"/>
  <c r="O34" i="14"/>
  <c r="Q34" i="14" s="1"/>
  <c r="O33" i="14"/>
  <c r="Q33" i="14" s="1"/>
  <c r="O32" i="14"/>
  <c r="Q32" i="14" s="1"/>
  <c r="O31" i="14"/>
  <c r="Q31" i="14" s="1"/>
  <c r="O30" i="14"/>
  <c r="Q30" i="14" s="1"/>
  <c r="O29" i="14"/>
  <c r="Q29" i="14" s="1"/>
  <c r="O28" i="14"/>
  <c r="Q28" i="14" s="1"/>
  <c r="O27" i="14"/>
  <c r="Q27" i="14" s="1"/>
  <c r="O26" i="14"/>
  <c r="Q26" i="14" s="1"/>
  <c r="O25" i="14"/>
  <c r="Q25" i="14" s="1"/>
  <c r="O24" i="14"/>
  <c r="Q24" i="14" s="1"/>
  <c r="O23" i="14"/>
  <c r="Q23" i="14" s="1"/>
  <c r="O22" i="14"/>
  <c r="Q22" i="14" s="1"/>
  <c r="O21" i="14"/>
  <c r="Q21" i="14" s="1"/>
  <c r="O20" i="14"/>
  <c r="Q20" i="14" s="1"/>
  <c r="O19" i="14"/>
  <c r="Q19" i="14" s="1"/>
  <c r="O18" i="14"/>
  <c r="Q18" i="14" s="1"/>
  <c r="O17" i="14"/>
  <c r="Q17" i="14" s="1"/>
  <c r="O16" i="14"/>
  <c r="Q16" i="14" s="1"/>
  <c r="O15" i="14"/>
  <c r="Q15" i="14" s="1"/>
  <c r="O14" i="14"/>
  <c r="Q14" i="14" s="1"/>
  <c r="O13" i="14"/>
  <c r="Q13" i="14" s="1"/>
  <c r="O12" i="14"/>
  <c r="Q12" i="14" s="1"/>
  <c r="O11" i="14"/>
  <c r="Q11" i="14" s="1"/>
  <c r="O10" i="14"/>
  <c r="Q10" i="14" s="1"/>
  <c r="O9" i="14"/>
  <c r="Q9" i="14" s="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O8" i="14"/>
  <c r="Q8" i="14" s="1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F9" i="133" s="1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D8" i="133"/>
  <c r="F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F34" i="154"/>
  <c r="D34" i="154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D18" i="154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F10" i="154"/>
  <c r="D10" i="154"/>
  <c r="D9" i="154"/>
  <c r="F9" i="154" s="1"/>
  <c r="D8" i="154"/>
  <c r="D40" i="154" l="1"/>
  <c r="Q93" i="14"/>
  <c r="T8" i="14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O93" i="14"/>
  <c r="D44" i="133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F8" i="154"/>
  <c r="D77" i="153"/>
  <c r="C77" i="153"/>
  <c r="E80" i="153" s="1"/>
  <c r="F75" i="153"/>
  <c r="F74" i="153"/>
  <c r="F73" i="153"/>
  <c r="F72" i="153"/>
  <c r="F71" i="153"/>
  <c r="F70" i="153"/>
  <c r="F69" i="153"/>
  <c r="F68" i="153"/>
  <c r="F67" i="153"/>
  <c r="F66" i="153"/>
  <c r="F65" i="153"/>
  <c r="F64" i="153"/>
  <c r="F63" i="153"/>
  <c r="F62" i="153"/>
  <c r="F61" i="153"/>
  <c r="F60" i="153"/>
  <c r="F59" i="153"/>
  <c r="F58" i="153"/>
  <c r="F57" i="153"/>
  <c r="F56" i="153"/>
  <c r="F55" i="153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2" i="153"/>
  <c r="F11" i="153"/>
  <c r="F10" i="153"/>
  <c r="F9" i="153"/>
  <c r="I9" i="153" s="1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O58" i="54"/>
  <c r="N55" i="54"/>
  <c r="M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P96" i="14" l="1"/>
  <c r="R5" i="14"/>
  <c r="S5" i="14" s="1"/>
  <c r="E47" i="133"/>
  <c r="G5" i="133"/>
  <c r="H5" i="133" s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77" i="153"/>
  <c r="G5" i="153" s="1"/>
  <c r="H6" i="153" s="1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I55" i="153" s="1"/>
  <c r="I56" i="153" s="1"/>
  <c r="I57" i="153" s="1"/>
  <c r="I58" i="153" s="1"/>
  <c r="I59" i="153" s="1"/>
  <c r="I60" i="153" s="1"/>
  <c r="I61" i="153" s="1"/>
  <c r="I62" i="153" s="1"/>
  <c r="I63" i="153" s="1"/>
  <c r="I64" i="153" s="1"/>
  <c r="I65" i="153" s="1"/>
  <c r="I66" i="153" s="1"/>
  <c r="I67" i="153" s="1"/>
  <c r="I68" i="153" s="1"/>
  <c r="I69" i="153" s="1"/>
  <c r="I70" i="153" s="1"/>
  <c r="I71" i="153" s="1"/>
  <c r="I72" i="153" s="1"/>
  <c r="I73" i="153" s="1"/>
  <c r="I74" i="153" s="1"/>
  <c r="I75" i="153" s="1"/>
  <c r="P55" i="54"/>
  <c r="Q5" i="54" s="1"/>
  <c r="R5" i="54" s="1"/>
  <c r="O60" i="54"/>
  <c r="E82" i="153" l="1"/>
  <c r="F42" i="154"/>
  <c r="G5" i="154"/>
  <c r="H5" i="154" s="1"/>
  <c r="M29" i="130" l="1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P17" i="130"/>
  <c r="N17" i="130"/>
  <c r="N16" i="130"/>
  <c r="P16" i="130" s="1"/>
  <c r="N15" i="130"/>
  <c r="P15" i="130" s="1"/>
  <c r="N14" i="130"/>
  <c r="P14" i="130" s="1"/>
  <c r="P13" i="130"/>
  <c r="N13" i="130"/>
  <c r="N12" i="130"/>
  <c r="P12" i="130" s="1"/>
  <c r="N11" i="130"/>
  <c r="P11" i="130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D52" i="65" l="1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N29" i="130"/>
  <c r="F9" i="65"/>
  <c r="P31" i="130" l="1"/>
  <c r="Q5" i="130"/>
  <c r="R5" i="130" s="1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G5" i="65" l="1"/>
  <c r="H5" i="65" s="1"/>
  <c r="E55" i="65"/>
  <c r="D9" i="40" l="1"/>
  <c r="D10" i="40"/>
  <c r="D11" i="40"/>
  <c r="D12" i="40"/>
  <c r="D13" i="40"/>
  <c r="D14" i="40"/>
  <c r="D15" i="40"/>
  <c r="D16" i="40"/>
  <c r="D8" i="40"/>
  <c r="AQ32" i="1" l="1"/>
  <c r="AQ33" i="1" s="1"/>
  <c r="AO32" i="1"/>
  <c r="AH32" i="1"/>
  <c r="AH33" i="1" s="1"/>
  <c r="AF32" i="1"/>
  <c r="Y32" i="1"/>
  <c r="Y33" i="1" s="1"/>
  <c r="W32" i="1"/>
  <c r="J8" i="152" l="1"/>
  <c r="B9" i="129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C61" i="139"/>
  <c r="D63" i="139" s="1"/>
  <c r="B11" i="139"/>
  <c r="D11" i="139" s="1"/>
  <c r="J24" i="139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F11" i="139" l="1"/>
  <c r="I11" i="139"/>
  <c r="B12" i="139"/>
  <c r="D12" i="139" s="1"/>
  <c r="F12" i="139" s="1"/>
  <c r="F44" i="128"/>
  <c r="G5" i="128" s="1"/>
  <c r="H5" i="128" s="1"/>
  <c r="D44" i="128"/>
  <c r="B13" i="139" l="1"/>
  <c r="D13" i="139" s="1"/>
  <c r="F13" i="139" s="1"/>
  <c r="I12" i="139"/>
  <c r="I13" i="139" s="1"/>
  <c r="F46" i="128"/>
  <c r="B14" i="139"/>
  <c r="D14" i="139" s="1"/>
  <c r="F14" i="139" s="1"/>
  <c r="I14" i="139" l="1"/>
  <c r="B15" i="139"/>
  <c r="D15" i="139" s="1"/>
  <c r="F15" i="139" s="1"/>
  <c r="I15" i="139" l="1"/>
  <c r="B16" i="139"/>
  <c r="B17" i="139" l="1"/>
  <c r="D16" i="139"/>
  <c r="F16" i="139" s="1"/>
  <c r="I16" i="139" l="1"/>
  <c r="B18" i="139"/>
  <c r="D17" i="139"/>
  <c r="F17" i="139" s="1"/>
  <c r="I17" i="139" l="1"/>
  <c r="D18" i="139"/>
  <c r="F18" i="139" s="1"/>
  <c r="B19" i="139"/>
  <c r="I18" i="139" l="1"/>
  <c r="D19" i="139"/>
  <c r="F19" i="139" s="1"/>
  <c r="B20" i="139"/>
  <c r="I19" i="139" l="1"/>
  <c r="B21" i="139"/>
  <c r="D20" i="139"/>
  <c r="F20" i="139" s="1"/>
  <c r="I20" i="139" l="1"/>
  <c r="B22" i="139"/>
  <c r="D21" i="139"/>
  <c r="F21" i="139" s="1"/>
  <c r="I21" i="139" l="1"/>
  <c r="B23" i="139"/>
  <c r="D22" i="139"/>
  <c r="F22" i="139" s="1"/>
  <c r="I22" i="139" l="1"/>
  <c r="B24" i="139"/>
  <c r="D23" i="139"/>
  <c r="F23" i="139" s="1"/>
  <c r="I23" i="139" l="1"/>
  <c r="B25" i="139"/>
  <c r="D24" i="139"/>
  <c r="F24" i="139" s="1"/>
  <c r="I24" i="139" l="1"/>
  <c r="B26" i="139"/>
  <c r="D25" i="139"/>
  <c r="F25" i="139" s="1"/>
  <c r="I25" i="139" l="1"/>
  <c r="D26" i="139"/>
  <c r="F26" i="139" s="1"/>
  <c r="I26" i="139" s="1"/>
  <c r="B27" i="139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D27" i="139" l="1"/>
  <c r="F27" i="139" s="1"/>
  <c r="I27" i="139" s="1"/>
  <c r="B28" i="139"/>
  <c r="B29" i="139" l="1"/>
  <c r="D28" i="139"/>
  <c r="F28" i="139" s="1"/>
  <c r="I28" i="13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30" i="139" l="1"/>
  <c r="D29" i="139"/>
  <c r="F29" i="139" s="1"/>
  <c r="I29" i="139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54" l="1"/>
  <c r="H5" i="54" s="1"/>
  <c r="B31" i="139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C44" i="152"/>
  <c r="E45" i="152" s="1"/>
  <c r="D43" i="152"/>
  <c r="F43" i="152" s="1"/>
  <c r="D42" i="152"/>
  <c r="F42" i="152" s="1"/>
  <c r="D41" i="152"/>
  <c r="F41" i="152" s="1"/>
  <c r="D40" i="152"/>
  <c r="F40" i="152" s="1"/>
  <c r="D39" i="152"/>
  <c r="F39" i="152" s="1"/>
  <c r="D38" i="152"/>
  <c r="F38" i="152" s="1"/>
  <c r="D37" i="152"/>
  <c r="F37" i="152" s="1"/>
  <c r="D36" i="152"/>
  <c r="F36" i="152" s="1"/>
  <c r="D35" i="152"/>
  <c r="F35" i="152" s="1"/>
  <c r="D34" i="152"/>
  <c r="F34" i="152" s="1"/>
  <c r="D33" i="152"/>
  <c r="F33" i="152" s="1"/>
  <c r="D32" i="152"/>
  <c r="F32" i="152" s="1"/>
  <c r="D31" i="152"/>
  <c r="F31" i="152" s="1"/>
  <c r="D30" i="152"/>
  <c r="D44" i="152" s="1"/>
  <c r="F29" i="152"/>
  <c r="F28" i="152"/>
  <c r="F27" i="152"/>
  <c r="F26" i="152"/>
  <c r="F25" i="152"/>
  <c r="F24" i="152"/>
  <c r="F23" i="152"/>
  <c r="F22" i="152"/>
  <c r="F21" i="152"/>
  <c r="F20" i="152"/>
  <c r="F19" i="152"/>
  <c r="F18" i="152"/>
  <c r="F17" i="152"/>
  <c r="F16" i="152"/>
  <c r="F15" i="152"/>
  <c r="F14" i="152"/>
  <c r="F13" i="152"/>
  <c r="F12" i="152"/>
  <c r="F11" i="152"/>
  <c r="F10" i="152"/>
  <c r="F9" i="152"/>
  <c r="J9" i="152"/>
  <c r="J10" i="152" s="1"/>
  <c r="J11" i="152" s="1"/>
  <c r="J12" i="152" s="1"/>
  <c r="J13" i="152" s="1"/>
  <c r="J14" i="152" s="1"/>
  <c r="J15" i="152" s="1"/>
  <c r="J16" i="152" s="1"/>
  <c r="J17" i="152" s="1"/>
  <c r="J18" i="152" s="1"/>
  <c r="J19" i="152" s="1"/>
  <c r="J20" i="152" s="1"/>
  <c r="J21" i="152" s="1"/>
  <c r="J22" i="152" s="1"/>
  <c r="J23" i="152" s="1"/>
  <c r="J24" i="152" s="1"/>
  <c r="J25" i="152" s="1"/>
  <c r="J26" i="152" s="1"/>
  <c r="J27" i="152" s="1"/>
  <c r="J28" i="152" s="1"/>
  <c r="J29" i="152" s="1"/>
  <c r="J30" i="152" s="1"/>
  <c r="J31" i="152" s="1"/>
  <c r="J32" i="152" s="1"/>
  <c r="J33" i="152" s="1"/>
  <c r="J34" i="152" s="1"/>
  <c r="J35" i="152" s="1"/>
  <c r="J36" i="152" s="1"/>
  <c r="J37" i="152" s="1"/>
  <c r="J38" i="152" s="1"/>
  <c r="J39" i="152" s="1"/>
  <c r="J40" i="152" s="1"/>
  <c r="J41" i="152" s="1"/>
  <c r="J42" i="152" s="1"/>
  <c r="F8" i="152"/>
  <c r="I8" i="152" s="1"/>
  <c r="F30" i="152" l="1"/>
  <c r="D34" i="139"/>
  <c r="F34" i="139" s="1"/>
  <c r="I34" i="139" s="1"/>
  <c r="B35" i="139"/>
  <c r="F44" i="152"/>
  <c r="G5" i="152" s="1"/>
  <c r="H5" i="152" s="1"/>
  <c r="I9" i="152"/>
  <c r="I10" i="152" s="1"/>
  <c r="I11" i="152" s="1"/>
  <c r="I12" i="152" s="1"/>
  <c r="I13" i="152" s="1"/>
  <c r="I14" i="152" s="1"/>
  <c r="I15" i="152" s="1"/>
  <c r="I16" i="152" s="1"/>
  <c r="I17" i="152" s="1"/>
  <c r="I18" i="152" s="1"/>
  <c r="I19" i="152" s="1"/>
  <c r="I20" i="152" s="1"/>
  <c r="I21" i="152" s="1"/>
  <c r="I22" i="152" s="1"/>
  <c r="I23" i="152" s="1"/>
  <c r="I24" i="152" s="1"/>
  <c r="I25" i="152" s="1"/>
  <c r="I26" i="152" s="1"/>
  <c r="I27" i="152" s="1"/>
  <c r="I28" i="152" s="1"/>
  <c r="I29" i="152" s="1"/>
  <c r="I30" i="152" s="1"/>
  <c r="I31" i="152" s="1"/>
  <c r="I32" i="152" s="1"/>
  <c r="I33" i="152" s="1"/>
  <c r="I34" i="152" s="1"/>
  <c r="I35" i="152" s="1"/>
  <c r="I36" i="152" s="1"/>
  <c r="I37" i="152" s="1"/>
  <c r="I38" i="152" s="1"/>
  <c r="I39" i="152" s="1"/>
  <c r="I40" i="152" s="1"/>
  <c r="I41" i="152" s="1"/>
  <c r="I42" i="152" s="1"/>
  <c r="E47" i="152" l="1"/>
  <c r="D35" i="139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10" i="129"/>
  <c r="B11" i="129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F54" i="117"/>
  <c r="D54" i="117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J8" i="117"/>
  <c r="J9" i="117" s="1"/>
  <c r="J10" i="117" s="1"/>
  <c r="J11" i="117" s="1"/>
  <c r="J12" i="117" s="1"/>
  <c r="J13" i="117" s="1"/>
  <c r="J14" i="117" s="1"/>
  <c r="J1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F16" i="40"/>
  <c r="J34" i="40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40" i="139"/>
  <c r="D39" i="139"/>
  <c r="F39" i="139" s="1"/>
  <c r="I39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E82" i="129" s="1"/>
  <c r="F62" i="117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D62" i="117"/>
  <c r="B41" i="139" l="1"/>
  <c r="D40" i="139"/>
  <c r="F40" i="139" s="1"/>
  <c r="I40" i="139" s="1"/>
  <c r="G5" i="129"/>
  <c r="H6" i="129" s="1"/>
  <c r="E65" i="117"/>
  <c r="G5" i="117"/>
  <c r="H5" i="117" s="1"/>
  <c r="B42" i="139" l="1"/>
  <c r="D41" i="139"/>
  <c r="F41" i="139" s="1"/>
  <c r="I41" i="139" s="1"/>
  <c r="D42" i="139" l="1"/>
  <c r="F42" i="139" s="1"/>
  <c r="I42" i="139" s="1"/>
  <c r="B43" i="139"/>
  <c r="D43" i="139" l="1"/>
  <c r="F43" i="139" s="1"/>
  <c r="I43" i="139" s="1"/>
  <c r="B44" i="139"/>
  <c r="DR32" i="1"/>
  <c r="DT32" i="1"/>
  <c r="B45" i="139" l="1"/>
  <c r="D44" i="139"/>
  <c r="F44" i="139" s="1"/>
  <c r="I44" i="139" s="1"/>
  <c r="DT33" i="1"/>
  <c r="B46" i="139" l="1"/>
  <c r="D45" i="139"/>
  <c r="F45" i="139" s="1"/>
  <c r="I45" i="139" s="1"/>
  <c r="B47" i="139" l="1"/>
  <c r="D46" i="139"/>
  <c r="F46" i="139" s="1"/>
  <c r="I46" i="139" s="1"/>
  <c r="B48" i="139" l="1"/>
  <c r="D47" i="139"/>
  <c r="F47" i="139" s="1"/>
  <c r="I47" i="139" s="1"/>
  <c r="F15" i="40"/>
  <c r="F14" i="40"/>
  <c r="F13" i="40"/>
  <c r="F12" i="40"/>
  <c r="F11" i="40"/>
  <c r="F10" i="40"/>
  <c r="F9" i="40"/>
  <c r="B49" i="139" l="1"/>
  <c r="D48" i="139"/>
  <c r="F48" i="139" s="1"/>
  <c r="I48" i="139" s="1"/>
  <c r="F8" i="40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D62" i="4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F62" i="40" l="1"/>
  <c r="G5" i="40" s="1"/>
  <c r="I50" i="40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B50" i="139"/>
  <c r="D49" i="139"/>
  <c r="F49" i="139" s="1"/>
  <c r="I49" i="139" s="1"/>
  <c r="E67" i="40" l="1"/>
  <c r="H5" i="40"/>
  <c r="B51" i="139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CJ32" i="1"/>
  <c r="B54" i="139" l="1"/>
  <c r="D53" i="139"/>
  <c r="F53" i="139" s="1"/>
  <c r="I53" i="139" s="1"/>
  <c r="S119" i="38"/>
  <c r="T119" i="38" s="1"/>
  <c r="S36" i="38"/>
  <c r="S37" i="38"/>
  <c r="S38" i="38"/>
  <c r="S39" i="38"/>
  <c r="D54" i="139" l="1"/>
  <c r="F54" i="139" s="1"/>
  <c r="I54" i="139" s="1"/>
  <c r="B55" i="139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B56" i="139" l="1"/>
  <c r="D55" i="139"/>
  <c r="F55" i="139" s="1"/>
  <c r="I55" i="139" s="1"/>
  <c r="D29" i="130"/>
  <c r="F8" i="130"/>
  <c r="D26" i="8"/>
  <c r="F8" i="8"/>
  <c r="F26" i="8" s="1"/>
  <c r="B57" i="139" l="1"/>
  <c r="D56" i="139"/>
  <c r="F56" i="139" s="1"/>
  <c r="I56" i="139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F28" i="8"/>
  <c r="G5" i="8"/>
  <c r="H5" i="8" s="1"/>
  <c r="B58" i="139" l="1"/>
  <c r="D57" i="139"/>
  <c r="F57" i="139" s="1"/>
  <c r="I57" i="139" s="1"/>
  <c r="F31" i="130"/>
  <c r="G5" i="130"/>
  <c r="H5" i="130" s="1"/>
  <c r="B59" i="139" l="1"/>
  <c r="D58" i="139"/>
  <c r="F58" i="139" s="1"/>
  <c r="I58" i="139" s="1"/>
  <c r="B60" i="139" l="1"/>
  <c r="D60" i="139" s="1"/>
  <c r="D59" i="139"/>
  <c r="F59" i="139" s="1"/>
  <c r="I59" i="139" s="1"/>
  <c r="F60" i="139" l="1"/>
  <c r="F61" i="139" s="1"/>
  <c r="D61" i="139"/>
  <c r="E64" i="139" l="1"/>
  <c r="G5" i="139"/>
  <c r="H5" i="139" s="1"/>
  <c r="F13" i="57" l="1"/>
  <c r="F14" i="57"/>
  <c r="F15" i="57"/>
  <c r="PU32" i="1" l="1"/>
  <c r="PW32" i="1"/>
  <c r="PW33" i="1" s="1"/>
  <c r="S49" i="38" l="1"/>
  <c r="S50" i="38"/>
  <c r="S51" i="38"/>
  <c r="S52" i="38"/>
  <c r="S53" i="38"/>
  <c r="S113" i="38" l="1"/>
  <c r="T113" i="38" s="1"/>
  <c r="S114" i="38"/>
  <c r="T114" i="38" s="1"/>
  <c r="S115" i="38"/>
  <c r="T115" i="38" s="1"/>
  <c r="S116" i="38"/>
  <c r="T116" i="38" s="1"/>
  <c r="S117" i="38"/>
  <c r="T117" i="38" s="1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93" i="14" l="1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I8" i="14" s="1"/>
  <c r="I9" i="14" l="1"/>
  <c r="D93" i="14"/>
  <c r="F10" i="14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F93" i="14"/>
  <c r="E96" i="14" s="1"/>
  <c r="G5" i="14" l="1"/>
  <c r="H5" i="14" s="1"/>
  <c r="C44" i="150" l="1"/>
  <c r="E45" i="150" s="1"/>
  <c r="S19" i="38" l="1"/>
  <c r="S107" i="38" l="1"/>
  <c r="T107" i="38" s="1"/>
  <c r="S108" i="38"/>
  <c r="T108" i="38" s="1"/>
  <c r="S109" i="38"/>
  <c r="T109" i="38" s="1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G5" i="150" l="1"/>
  <c r="H5" i="150" s="1"/>
  <c r="B4" i="1"/>
  <c r="AC1" i="1"/>
  <c r="AL1" i="1" s="1"/>
  <c r="AU1" i="1" s="1"/>
  <c r="S102" i="38" l="1"/>
  <c r="S103" i="38" l="1"/>
  <c r="S118" i="38" l="1"/>
  <c r="T118" i="38" s="1"/>
  <c r="S120" i="38"/>
  <c r="T120" i="38" s="1"/>
  <c r="S121" i="38"/>
  <c r="T121" i="38" s="1"/>
  <c r="I124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S104" i="38" l="1"/>
  <c r="T104" i="38" s="1"/>
  <c r="T102" i="38"/>
  <c r="S123" i="38" l="1"/>
  <c r="T123" i="38" s="1"/>
  <c r="S124" i="38"/>
  <c r="T124" i="38" s="1"/>
  <c r="S125" i="38"/>
  <c r="T125" i="38" s="1"/>
  <c r="S126" i="38"/>
  <c r="T126" i="38" s="1"/>
  <c r="S127" i="38"/>
  <c r="T127" i="38" s="1"/>
  <c r="S128" i="38" l="1"/>
  <c r="S129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S105" i="38" l="1"/>
  <c r="T105" i="38" s="1"/>
  <c r="F10" i="146" l="1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 s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F30" i="146"/>
  <c r="F40" i="146" s="1"/>
  <c r="F42" i="146" l="1"/>
  <c r="G5" i="146"/>
  <c r="H5" i="146" s="1"/>
  <c r="I30" i="146"/>
  <c r="I31" i="146" s="1"/>
  <c r="I32" i="146" s="1"/>
  <c r="I33" i="146" s="1"/>
  <c r="I34" i="146" s="1"/>
  <c r="I35" i="146" s="1"/>
  <c r="I36" i="146" s="1"/>
  <c r="I37" i="146" s="1"/>
  <c r="I38" i="146" s="1"/>
  <c r="D8" i="141" l="1"/>
  <c r="F8" i="141" s="1"/>
  <c r="I8" i="141" s="1"/>
  <c r="T128" i="38" l="1"/>
  <c r="I128" i="38"/>
  <c r="I127" i="38" l="1"/>
  <c r="S122" i="38" l="1"/>
  <c r="T122" i="38" s="1"/>
  <c r="T129" i="38"/>
  <c r="S130" i="38"/>
  <c r="T130" i="38" s="1"/>
  <c r="S131" i="38"/>
  <c r="T131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F28" i="135" l="1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D65" i="141"/>
  <c r="F65" i="141" s="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H6" i="142" s="1"/>
  <c r="E82" i="142" l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5" i="38" l="1"/>
  <c r="S101" i="38" l="1"/>
  <c r="S106" i="38"/>
  <c r="T106" i="38" s="1"/>
  <c r="S111" i="38"/>
  <c r="T111" i="38" s="1"/>
  <c r="S112" i="38"/>
  <c r="T112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6" i="38"/>
  <c r="M146" i="38"/>
  <c r="K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I131" i="38"/>
  <c r="I130" i="38"/>
  <c r="I129" i="38"/>
  <c r="I126" i="38"/>
  <c r="T103" i="38"/>
  <c r="T101" i="38"/>
  <c r="S95" i="38"/>
  <c r="T95" i="38" s="1"/>
  <c r="I95" i="38"/>
  <c r="S94" i="38"/>
  <c r="T94" i="38" s="1"/>
  <c r="I94" i="38"/>
  <c r="S93" i="38"/>
  <c r="C93" i="38"/>
  <c r="S92" i="38"/>
  <c r="S91" i="38"/>
  <c r="F91" i="38"/>
  <c r="S90" i="38"/>
  <c r="H90" i="38"/>
  <c r="S89" i="38"/>
  <c r="C89" i="38"/>
  <c r="S88" i="38"/>
  <c r="G88" i="38"/>
  <c r="B88" i="38"/>
  <c r="S87" i="38"/>
  <c r="S86" i="38"/>
  <c r="H86" i="38"/>
  <c r="S85" i="38"/>
  <c r="C85" i="38"/>
  <c r="S84" i="38"/>
  <c r="S83" i="38"/>
  <c r="S82" i="38"/>
  <c r="D82" i="38"/>
  <c r="C82" i="38"/>
  <c r="S81" i="38"/>
  <c r="C81" i="38"/>
  <c r="S80" i="38"/>
  <c r="S79" i="38"/>
  <c r="S78" i="38"/>
  <c r="D78" i="38"/>
  <c r="S77" i="38"/>
  <c r="S76" i="38"/>
  <c r="C76" i="38"/>
  <c r="S75" i="38"/>
  <c r="S74" i="38"/>
  <c r="D74" i="38"/>
  <c r="S73" i="38"/>
  <c r="S72" i="38"/>
  <c r="S71" i="38"/>
  <c r="E71" i="38"/>
  <c r="S70" i="38"/>
  <c r="S69" i="38"/>
  <c r="S68" i="38"/>
  <c r="F68" i="38"/>
  <c r="S67" i="38"/>
  <c r="S66" i="38"/>
  <c r="H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D70" i="38" l="1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8" i="38"/>
  <c r="I69" i="38"/>
  <c r="I71" i="38"/>
  <c r="I72" i="38"/>
  <c r="I73" i="38"/>
  <c r="I74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6" i="38"/>
  <c r="I62" i="38" l="1"/>
  <c r="I60" i="38"/>
  <c r="I67" i="38"/>
  <c r="G146" i="38"/>
  <c r="I59" i="38"/>
  <c r="I146" i="38"/>
  <c r="H146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<sst xmlns="http://schemas.openxmlformats.org/spreadsheetml/2006/main" count="3462" uniqueCount="570">
  <si>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</si>
  <si>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</si>
  <si>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</si>
  <si>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</si>
  <si>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</si>
  <si>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</si>
  <si>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</si>
  <si>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</si>
  <si>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</si>
  <si>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</si>
  <si>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</si>
  <si>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</si>
  <si>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</si>
  <si>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</si>
  <si>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</si>
  <si>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</si>
  <si>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</si>
  <si>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</si>
  <si>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</si>
  <si>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</si>
  <si>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</si>
  <si>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</si>
  <si>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</si>
  <si>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</si>
  <si>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</si>
  <si>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</si>
  <si>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</si>
  <si>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</si>
  <si>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</si>
  <si>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</si>
  <si>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</si>
  <si>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</si>
  <si>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</si>
  <si>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</si>
  <si>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</si>
  <si>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</si>
  <si>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</si>
  <si>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</si>
  <si>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</si>
  <si>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</si>
  <si>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</si>
  <si>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</si>
  <si>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</si>
  <si>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</si>
  <si>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</si>
  <si>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</si>
  <si>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</si>
  <si>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</si>
  <si>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</si>
  <si>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</si>
  <si>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</si>
  <si>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</si>
  <si>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</si>
  <si>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</si>
  <si>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</si>
  <si>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</si>
  <si>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</si>
  <si>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</si>
  <si>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</si>
  <si>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</si>
  <si>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</si>
  <si>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</si>
  <si>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</si>
  <si>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</si>
  <si>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</si>
  <si>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</si>
  <si>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</si>
  <si>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</si>
  <si>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</si>
  <si>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</si>
  <si>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</si>
  <si>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</si>
  <si>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</si>
  <si>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</si>
  <si>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</si>
  <si>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</si>
  <si>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</si>
  <si>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</si>
  <si>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</si>
  <si>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</si>
  <si>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</si>
  <si>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</si>
  <si>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</si>
  <si>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</si>
  <si>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</si>
  <si>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</si>
  <si>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</si>
  <si>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</si>
  <si>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</si>
  <si>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</si>
  <si>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</si>
  <si>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</si>
  <si>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</si>
  <si>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</si>
  <si>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</si>
  <si>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</si>
  <si>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</si>
  <si>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</si>
  <si>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>SEABOARD FOODS</t>
  </si>
  <si>
    <t>LENGUA DE CERDO</t>
  </si>
  <si>
    <t xml:space="preserve">CONTRA </t>
  </si>
  <si>
    <t>LOMO DE CAÑA</t>
  </si>
  <si>
    <t>EXCELL</t>
  </si>
  <si>
    <t>CARNERO</t>
  </si>
  <si>
    <t xml:space="preserve">RYC ALIMENTOS SA DE CV </t>
  </si>
  <si>
    <t>0030 S</t>
  </si>
  <si>
    <t>0049 S</t>
  </si>
  <si>
    <t>0060 S</t>
  </si>
  <si>
    <t>0072 S</t>
  </si>
  <si>
    <t>0095 D</t>
  </si>
  <si>
    <t>SALMON</t>
  </si>
  <si>
    <t>COMERCIALIZADORA INT MANSIVA</t>
  </si>
  <si>
    <t>180 S</t>
  </si>
  <si>
    <t>123 S</t>
  </si>
  <si>
    <t>176 S</t>
  </si>
  <si>
    <t>179 S</t>
  </si>
  <si>
    <t>137 S</t>
  </si>
  <si>
    <t>177 S</t>
  </si>
  <si>
    <t>178 S</t>
  </si>
  <si>
    <t>195 S</t>
  </si>
  <si>
    <t>211 S</t>
  </si>
  <si>
    <t>213 S</t>
  </si>
  <si>
    <t>215 S</t>
  </si>
  <si>
    <t>222 S</t>
  </si>
  <si>
    <t>223 S</t>
  </si>
  <si>
    <t>224 S</t>
  </si>
  <si>
    <t>256 S</t>
  </si>
  <si>
    <t>263 S</t>
  </si>
  <si>
    <t>264 S</t>
  </si>
  <si>
    <t>266 S</t>
  </si>
  <si>
    <t>278 S</t>
  </si>
  <si>
    <t>280 S</t>
  </si>
  <si>
    <t>306 S</t>
  </si>
  <si>
    <t>317 S</t>
  </si>
  <si>
    <t>331 S</t>
  </si>
  <si>
    <t>334 S</t>
  </si>
  <si>
    <t>341 S</t>
  </si>
  <si>
    <t>358 S</t>
  </si>
  <si>
    <t>366 S</t>
  </si>
  <si>
    <t>380 S</t>
  </si>
  <si>
    <t>384 S</t>
  </si>
  <si>
    <t>396 S</t>
  </si>
  <si>
    <t>423 S</t>
  </si>
  <si>
    <t>432 S</t>
  </si>
  <si>
    <t>460 S</t>
  </si>
  <si>
    <t>481 S</t>
  </si>
  <si>
    <t>482 S</t>
  </si>
  <si>
    <t>483 S</t>
  </si>
  <si>
    <t>502 S</t>
  </si>
  <si>
    <t>513 S</t>
  </si>
  <si>
    <t>525 S</t>
  </si>
  <si>
    <t xml:space="preserve">KILOS </t>
  </si>
  <si>
    <t>TYSON FRESH MEATS</t>
  </si>
  <si>
    <t xml:space="preserve">I B P </t>
  </si>
  <si>
    <t>MANITAS KEKEN</t>
  </si>
  <si>
    <t>Abastecedora de carnes frescas Roel</t>
  </si>
  <si>
    <t>PATITAS KEKEN</t>
  </si>
  <si>
    <t>561 S</t>
  </si>
  <si>
    <t>571 S</t>
  </si>
  <si>
    <t>572 S</t>
  </si>
  <si>
    <t>573 S</t>
  </si>
  <si>
    <t>GUILLERMO EDUARDO MUÑOZ MONERO</t>
  </si>
  <si>
    <t>607 S</t>
  </si>
  <si>
    <t>622 S</t>
  </si>
  <si>
    <t>613 S</t>
  </si>
  <si>
    <t>626 S</t>
  </si>
  <si>
    <t>632 S</t>
  </si>
  <si>
    <t>654 S</t>
  </si>
  <si>
    <t>657 S</t>
  </si>
  <si>
    <t>674 S</t>
  </si>
  <si>
    <t>699 S</t>
  </si>
  <si>
    <t>679 S</t>
  </si>
  <si>
    <t>680 S</t>
  </si>
  <si>
    <t>681 S</t>
  </si>
  <si>
    <t>682 S</t>
  </si>
  <si>
    <t>683 S</t>
  </si>
  <si>
    <t>684 S</t>
  </si>
  <si>
    <t>685 S</t>
  </si>
  <si>
    <t>689 S</t>
  </si>
  <si>
    <t>690 S</t>
  </si>
  <si>
    <t>692 S</t>
  </si>
  <si>
    <t>694 S</t>
  </si>
  <si>
    <t>695 S</t>
  </si>
  <si>
    <t>698 S</t>
  </si>
  <si>
    <t>702 S</t>
  </si>
  <si>
    <t>703 S</t>
  </si>
  <si>
    <t>707 S</t>
  </si>
  <si>
    <t>713 S</t>
  </si>
  <si>
    <t>747 S</t>
  </si>
  <si>
    <t>720 S</t>
  </si>
  <si>
    <t>721 S</t>
  </si>
  <si>
    <t>725 S</t>
  </si>
  <si>
    <t>726 S</t>
  </si>
  <si>
    <t>735 S</t>
  </si>
  <si>
    <t>743 S</t>
  </si>
  <si>
    <t>754 S</t>
  </si>
  <si>
    <t>763 S</t>
  </si>
  <si>
    <t>779 S</t>
  </si>
  <si>
    <t>773 S</t>
  </si>
  <si>
    <t>784 S</t>
  </si>
  <si>
    <t>786 S</t>
  </si>
  <si>
    <t>787 S</t>
  </si>
  <si>
    <t>CAMARON</t>
  </si>
  <si>
    <t xml:space="preserve">MANITAS   </t>
  </si>
  <si>
    <t>CONTRA SWIFT</t>
  </si>
  <si>
    <t>790 S</t>
  </si>
  <si>
    <t>791 S</t>
  </si>
  <si>
    <t>792 S</t>
  </si>
  <si>
    <t>801 S</t>
  </si>
  <si>
    <t>806 S</t>
  </si>
  <si>
    <t>815 S</t>
  </si>
  <si>
    <t>816 S</t>
  </si>
  <si>
    <t>824 S</t>
  </si>
  <si>
    <t>827 S</t>
  </si>
  <si>
    <t>851 S</t>
  </si>
  <si>
    <t>861 S</t>
  </si>
  <si>
    <t>845 S</t>
  </si>
  <si>
    <t>830 S</t>
  </si>
  <si>
    <t>847 S</t>
  </si>
  <si>
    <t>862 S</t>
  </si>
  <si>
    <t>866 S</t>
  </si>
  <si>
    <t>866 s</t>
  </si>
  <si>
    <t>869 S</t>
  </si>
  <si>
    <t>877 S</t>
  </si>
  <si>
    <t>882 S</t>
  </si>
  <si>
    <t>PED. 35917865</t>
  </si>
  <si>
    <t>CORBATA Seaboard</t>
  </si>
  <si>
    <t>SEABOARD FODOS</t>
  </si>
  <si>
    <t>BUCHE</t>
  </si>
  <si>
    <t xml:space="preserve">N  A N A </t>
  </si>
  <si>
    <t>887 S</t>
  </si>
  <si>
    <t>894 S</t>
  </si>
  <si>
    <t>909 S</t>
  </si>
  <si>
    <t>906 S</t>
  </si>
  <si>
    <t>911 S</t>
  </si>
  <si>
    <t>916 S</t>
  </si>
  <si>
    <t>918 S</t>
  </si>
  <si>
    <t>925 S</t>
  </si>
  <si>
    <t>927 S</t>
  </si>
  <si>
    <t>931 S</t>
  </si>
  <si>
    <t>933 S</t>
  </si>
  <si>
    <t>934 S</t>
  </si>
  <si>
    <t>934 s</t>
  </si>
  <si>
    <t>935 S</t>
  </si>
  <si>
    <t>ENTRADA DEL MES DE ABRIL 2019</t>
  </si>
  <si>
    <t>TOTAL DE ENTRADAS DEL MES   ABRIL      2 0 1 9</t>
  </si>
  <si>
    <t>INVENTARIO DEL MES DE   M A R Z O        2019</t>
  </si>
  <si>
    <t>ENTRADAS DEL MES DE ABRIL 2019</t>
  </si>
  <si>
    <t>INVENTARIO DEL MES DE MARZO 2019</t>
  </si>
  <si>
    <t>INVENTARIO    DEL MES DE MARZO    2019</t>
  </si>
  <si>
    <t>INVENTARIO    DEL MES DE MARZO 2019</t>
  </si>
  <si>
    <t>INVENTARIO    DEL MES MARZO 2019</t>
  </si>
  <si>
    <t>INVENTARIO   DEL MES DE  MARZO   2019</t>
  </si>
  <si>
    <t>INVENTARIO  DEL MES DE MARZO 2019</t>
  </si>
  <si>
    <t>INVENTARIO   DEL MES DE MARZO 2019</t>
  </si>
  <si>
    <t>INVENTARIO    DEL MES DE   MARZO    2019</t>
  </si>
  <si>
    <t>INVENARIO   DEL MES DE MARZO  2019</t>
  </si>
  <si>
    <t>INVENTARIO     DEL MES DE MARZO 2019</t>
  </si>
  <si>
    <t>INVENTARIO     DEL MES DE  MARZO     2019</t>
  </si>
  <si>
    <t>INVENTARIO  DEL MES DE MARZO 2018</t>
  </si>
  <si>
    <t>INVENTARIO       DEL MES DE   MARZO      2019</t>
  </si>
  <si>
    <t>INVENTARIO     DEL MES DE     M A R Z O      2019</t>
  </si>
  <si>
    <t>SIOUXPREME PACKING</t>
  </si>
  <si>
    <t>SIOUX</t>
  </si>
  <si>
    <t>PED. 3611388</t>
  </si>
  <si>
    <t>SMITHFIELD FRESH MEATS</t>
  </si>
  <si>
    <t>Smithfield</t>
  </si>
  <si>
    <t>PED. 36112501</t>
  </si>
  <si>
    <t>PED. 36111398</t>
  </si>
  <si>
    <t>PAPA CORTE RECTO 3/8</t>
  </si>
  <si>
    <t xml:space="preserve">ADAMS INT MORELIA </t>
  </si>
  <si>
    <t>NLP-088</t>
  </si>
  <si>
    <t>NL19-27</t>
  </si>
  <si>
    <t>PAPA RECTA</t>
  </si>
  <si>
    <t>PU-69793</t>
  </si>
  <si>
    <t>CUERO Panceta</t>
  </si>
  <si>
    <t>Transfer S 1-Abr</t>
  </si>
  <si>
    <t>Transfer S 2-Abr</t>
  </si>
  <si>
    <t xml:space="preserve">SEABOARD FOODS </t>
  </si>
  <si>
    <t>Seaboard</t>
  </si>
  <si>
    <t>PED. 36221613</t>
  </si>
  <si>
    <t>SMITHFIELD FARMLAND</t>
  </si>
  <si>
    <t>PED. 36268909</t>
  </si>
  <si>
    <t>PED. 36271547</t>
  </si>
  <si>
    <t>PED. 36333839</t>
  </si>
  <si>
    <t>PED. 36406557</t>
  </si>
  <si>
    <t>PED. 36406212</t>
  </si>
  <si>
    <t xml:space="preserve">TYSON FRESH MEATS </t>
  </si>
  <si>
    <t>PED. 36452176</t>
  </si>
  <si>
    <t>NLSE19-128</t>
  </si>
  <si>
    <t>NL19-28</t>
  </si>
  <si>
    <t>NLSE19-129</t>
  </si>
  <si>
    <t>NLP-089</t>
  </si>
  <si>
    <t>NL19-29</t>
  </si>
  <si>
    <t>B-2857</t>
  </si>
  <si>
    <t>PED. 36492290</t>
  </si>
  <si>
    <t>PED. 36560196</t>
  </si>
  <si>
    <t>PED. 36560590</t>
  </si>
  <si>
    <t>PED. 36612666</t>
  </si>
  <si>
    <t>PED. 36686526</t>
  </si>
  <si>
    <t>SMITHFIELF FRESS MEATS</t>
  </si>
  <si>
    <t>PED. 36685963</t>
  </si>
  <si>
    <t>PED. 36733328</t>
  </si>
  <si>
    <t>PED. 36732990</t>
  </si>
  <si>
    <t>SMITHFIEDL FRESH MEATS</t>
  </si>
  <si>
    <t>PED. 36733783</t>
  </si>
  <si>
    <t>SEBOARD FOODS</t>
  </si>
  <si>
    <t>PED. 36790273</t>
  </si>
  <si>
    <t>NLSE19-130</t>
  </si>
  <si>
    <t>PU-69985</t>
  </si>
  <si>
    <t>B-2859</t>
  </si>
  <si>
    <t>NL19-30</t>
  </si>
  <si>
    <t>NLSE19-131</t>
  </si>
  <si>
    <t>B-2861</t>
  </si>
  <si>
    <t>NL19-31</t>
  </si>
  <si>
    <t>B-2862</t>
  </si>
  <si>
    <t>B-2863</t>
  </si>
  <si>
    <t>NL19-32</t>
  </si>
  <si>
    <t>CONTRA EXCEL</t>
  </si>
  <si>
    <t>PU-70157</t>
  </si>
  <si>
    <t>NLSE19-132</t>
  </si>
  <si>
    <t>PED. 36823128</t>
  </si>
  <si>
    <t>NLSE19-133</t>
  </si>
  <si>
    <t>0822-A</t>
  </si>
  <si>
    <t>Transfer S 9-Abr</t>
  </si>
  <si>
    <t>1823-A</t>
  </si>
  <si>
    <t>Transfer S 10-Abr</t>
  </si>
  <si>
    <t>2826-A</t>
  </si>
  <si>
    <t>Transfer S 11-Abr</t>
  </si>
  <si>
    <t>Transfer S 12-Abr</t>
  </si>
  <si>
    <t>Transfer S 15-Abr</t>
  </si>
  <si>
    <t>Transfer S 17-Abr</t>
  </si>
  <si>
    <t>5827-A</t>
  </si>
  <si>
    <t>Transfer S 2 Abr</t>
  </si>
  <si>
    <t>Transfer S 3-Abr</t>
  </si>
  <si>
    <t>Transfer S 4-Abr</t>
  </si>
  <si>
    <t>8824-A</t>
  </si>
  <si>
    <t>Transfer S 5-Abr</t>
  </si>
  <si>
    <t>Transfer S 8-Abr</t>
  </si>
  <si>
    <t>Transfer B 11-Abr</t>
  </si>
  <si>
    <t>Transfer B 17-Abr</t>
  </si>
  <si>
    <t>PED. 36899372</t>
  </si>
  <si>
    <t>PED. 36900243</t>
  </si>
  <si>
    <t>PED. 36899371</t>
  </si>
  <si>
    <t>NL19-33</t>
  </si>
  <si>
    <t>NLP-091</t>
  </si>
  <si>
    <t>IDEAL TRADING FOODS</t>
  </si>
  <si>
    <t>NL19-34</t>
  </si>
  <si>
    <t>Transfer S 22-Abr</t>
  </si>
  <si>
    <t>Transfer S 22-Abt</t>
  </si>
  <si>
    <t>Transfer S 24-Abtr</t>
  </si>
  <si>
    <t>Transfer B 10-Abr</t>
  </si>
  <si>
    <t>Transfer B 12-Abr</t>
  </si>
  <si>
    <t>TransferB 15-Abr</t>
  </si>
  <si>
    <t>Transfer B 16-Abr</t>
  </si>
  <si>
    <t>Transfer B 22-Abr</t>
  </si>
  <si>
    <t>Transfer B 23-Abr</t>
  </si>
  <si>
    <t>Transfer S 25-Mar</t>
  </si>
  <si>
    <t>Transfer S 28-Mar</t>
  </si>
  <si>
    <t>7828-A</t>
  </si>
  <si>
    <t>Transfer S 26-Mar</t>
  </si>
  <si>
    <t>0827-A</t>
  </si>
  <si>
    <t>Transfer S 29-Mar</t>
  </si>
  <si>
    <t>937 S</t>
  </si>
  <si>
    <t>938 S</t>
  </si>
  <si>
    <t>939 S</t>
  </si>
  <si>
    <t>940 S</t>
  </si>
  <si>
    <t>941 S</t>
  </si>
  <si>
    <t>942 S</t>
  </si>
  <si>
    <t>943 S</t>
  </si>
  <si>
    <t>944 S</t>
  </si>
  <si>
    <t>946 S</t>
  </si>
  <si>
    <t>947 S</t>
  </si>
  <si>
    <t>948 S</t>
  </si>
  <si>
    <t>949 S</t>
  </si>
  <si>
    <t>951 S</t>
  </si>
  <si>
    <t>952 S</t>
  </si>
  <si>
    <t>9583 s</t>
  </si>
  <si>
    <t>953 S</t>
  </si>
  <si>
    <t>954 S</t>
  </si>
  <si>
    <t>954  S</t>
  </si>
  <si>
    <t>956 S</t>
  </si>
  <si>
    <t>957 S</t>
  </si>
  <si>
    <t>958 S</t>
  </si>
  <si>
    <t>959 S</t>
  </si>
  <si>
    <t>979 S</t>
  </si>
  <si>
    <t>961 S</t>
  </si>
  <si>
    <t>962 S</t>
  </si>
  <si>
    <t>963 S</t>
  </si>
  <si>
    <t>965 S</t>
  </si>
  <si>
    <t>966 S</t>
  </si>
  <si>
    <t>967 S</t>
  </si>
  <si>
    <t>968 S</t>
  </si>
  <si>
    <t>972 S</t>
  </si>
  <si>
    <t>973 S</t>
  </si>
  <si>
    <t>974 S</t>
  </si>
  <si>
    <t>975 S</t>
  </si>
  <si>
    <t>977 S</t>
  </si>
  <si>
    <t>978 S</t>
  </si>
  <si>
    <t>975 D</t>
  </si>
  <si>
    <t>980 S</t>
  </si>
  <si>
    <t>981 S</t>
  </si>
  <si>
    <t>983 S</t>
  </si>
  <si>
    <t>984 S</t>
  </si>
  <si>
    <t>985 S</t>
  </si>
  <si>
    <t>986 S</t>
  </si>
  <si>
    <t>987 S</t>
  </si>
  <si>
    <t>988 S</t>
  </si>
  <si>
    <t>990 S</t>
  </si>
  <si>
    <t>991 s</t>
  </si>
  <si>
    <t>991 S</t>
  </si>
  <si>
    <t>994 S</t>
  </si>
  <si>
    <t>995 S</t>
  </si>
  <si>
    <t>996 S</t>
  </si>
  <si>
    <t>997 S</t>
  </si>
  <si>
    <t>998 S</t>
  </si>
  <si>
    <t>999 S</t>
  </si>
  <si>
    <t>1000 S</t>
  </si>
  <si>
    <t>0001 T</t>
  </si>
  <si>
    <t>0002 T</t>
  </si>
  <si>
    <t>0003 T</t>
  </si>
  <si>
    <t>0006 T</t>
  </si>
  <si>
    <t>0008 T</t>
  </si>
  <si>
    <t>0009 T</t>
  </si>
  <si>
    <t>003 T</t>
  </si>
  <si>
    <t>007 T</t>
  </si>
  <si>
    <t>0010 T</t>
  </si>
  <si>
    <t>011 T</t>
  </si>
  <si>
    <t>0012 T</t>
  </si>
  <si>
    <t>014 T</t>
  </si>
  <si>
    <t>015 T</t>
  </si>
  <si>
    <t>0016 T</t>
  </si>
  <si>
    <t>0018 T</t>
  </si>
  <si>
    <t>0028 T</t>
  </si>
  <si>
    <t>0038 T</t>
  </si>
  <si>
    <t>0019 T</t>
  </si>
  <si>
    <t>0020 T</t>
  </si>
  <si>
    <t>0021 T</t>
  </si>
  <si>
    <t>0023 T</t>
  </si>
  <si>
    <t>0024 T</t>
  </si>
  <si>
    <t>0025 T</t>
  </si>
  <si>
    <t>0045 T</t>
  </si>
  <si>
    <t>0026 T</t>
  </si>
  <si>
    <t>0027 T</t>
  </si>
  <si>
    <t>BUCHE DE CERDO</t>
  </si>
  <si>
    <t>PU-70227</t>
  </si>
  <si>
    <t>PAPA ONDULADA</t>
  </si>
  <si>
    <t>PU-70214</t>
  </si>
  <si>
    <t>0029 T</t>
  </si>
  <si>
    <t>0030 T</t>
  </si>
  <si>
    <t>0031 T</t>
  </si>
  <si>
    <t>0032 T</t>
  </si>
  <si>
    <t>0034 T</t>
  </si>
  <si>
    <t>0039 T</t>
  </si>
  <si>
    <t>036 T</t>
  </si>
  <si>
    <t>037 T</t>
  </si>
  <si>
    <t>0040 T</t>
  </si>
  <si>
    <t>0041 T</t>
  </si>
  <si>
    <t>0042 T</t>
  </si>
  <si>
    <t>0044 T</t>
  </si>
  <si>
    <t>0046 T</t>
  </si>
  <si>
    <t>0049 T</t>
  </si>
  <si>
    <t>0050 T</t>
  </si>
  <si>
    <t>0051 T</t>
  </si>
  <si>
    <t>0052 T</t>
  </si>
  <si>
    <t>0053 T</t>
  </si>
  <si>
    <t>0054 T</t>
  </si>
  <si>
    <t>0055 T</t>
  </si>
  <si>
    <t>0056 T</t>
  </si>
  <si>
    <t>PED. 36937313</t>
  </si>
  <si>
    <t xml:space="preserve">PED. </t>
  </si>
  <si>
    <t>B-2864</t>
  </si>
  <si>
    <t>NLSE19-134</t>
  </si>
  <si>
    <t>PU-70323</t>
  </si>
  <si>
    <t>Transfer S 26-Abr</t>
  </si>
  <si>
    <t>HC-1522</t>
  </si>
  <si>
    <t>HC-1558</t>
  </si>
  <si>
    <t>Transfer S 30-Abr</t>
  </si>
  <si>
    <t>9822-A</t>
  </si>
  <si>
    <t>Transfer S 16-Abr</t>
  </si>
  <si>
    <t>Transfer S 23-Abr</t>
  </si>
  <si>
    <t>Transfer S 24-Abr</t>
  </si>
  <si>
    <t>Transfer B 24-Abr</t>
  </si>
  <si>
    <t>Transfer B 25-Abr</t>
  </si>
  <si>
    <t>PED. 37060440</t>
  </si>
  <si>
    <t>PED. 37103526</t>
  </si>
  <si>
    <t>PED. 37172460</t>
  </si>
  <si>
    <t>PED. 37172720</t>
  </si>
  <si>
    <t>B-2865</t>
  </si>
  <si>
    <t>NLSE19-135</t>
  </si>
  <si>
    <t>NLP-092</t>
  </si>
  <si>
    <t>NL19-35</t>
  </si>
  <si>
    <t>3822-A</t>
  </si>
  <si>
    <t>Transfer S 25-Abr</t>
  </si>
  <si>
    <t>Transfer S 29-Abr</t>
  </si>
  <si>
    <t>Transfer B 26-Abr</t>
  </si>
  <si>
    <t>Transfer B 30-Abr</t>
  </si>
  <si>
    <t>Transfer B 29-Abr</t>
  </si>
  <si>
    <t>0058 T</t>
  </si>
  <si>
    <t>0059 T</t>
  </si>
  <si>
    <t>0060 T</t>
  </si>
  <si>
    <t>0061 T</t>
  </si>
  <si>
    <t>0062 T</t>
  </si>
  <si>
    <t>0063 T</t>
  </si>
  <si>
    <t>0064 T</t>
  </si>
  <si>
    <t>0066 T</t>
  </si>
  <si>
    <t>0067 T</t>
  </si>
  <si>
    <t>0068 T</t>
  </si>
  <si>
    <t>0069 T</t>
  </si>
  <si>
    <t>0070 T</t>
  </si>
  <si>
    <t>0071 T</t>
  </si>
  <si>
    <t>0074 T</t>
  </si>
  <si>
    <t>0077 T</t>
  </si>
  <si>
    <t>0078 T</t>
  </si>
  <si>
    <t>0079 T</t>
  </si>
  <si>
    <t>0080 T</t>
  </si>
  <si>
    <t>0082 T</t>
  </si>
  <si>
    <t>0084 T</t>
  </si>
  <si>
    <t>0036 T</t>
  </si>
  <si>
    <t>0085 T</t>
  </si>
  <si>
    <t>0086 T</t>
  </si>
  <si>
    <t>0090 T</t>
  </si>
  <si>
    <t>0087 T</t>
  </si>
  <si>
    <t>0088 T</t>
  </si>
  <si>
    <t>0091 T</t>
  </si>
  <si>
    <t>PED. 37233205</t>
  </si>
  <si>
    <t>PED. 37232224</t>
  </si>
  <si>
    <t>PED. 37305463</t>
  </si>
  <si>
    <t>PED. 37308596</t>
  </si>
  <si>
    <t>PED. 37363911</t>
  </si>
  <si>
    <t>B-2867</t>
  </si>
  <si>
    <t>NL19-36</t>
  </si>
  <si>
    <t>B-2868</t>
  </si>
  <si>
    <t>NLSE19-136</t>
  </si>
  <si>
    <t>NLSE19-137</t>
  </si>
  <si>
    <t>6823-A</t>
  </si>
  <si>
    <t>Transfer S 23-Abril</t>
  </si>
  <si>
    <t>9820-A</t>
  </si>
  <si>
    <t>0092 T</t>
  </si>
  <si>
    <t>0093 T</t>
  </si>
  <si>
    <t>0094 T</t>
  </si>
  <si>
    <t>0095 T</t>
  </si>
  <si>
    <t>0096 T</t>
  </si>
  <si>
    <t>0102 T</t>
  </si>
  <si>
    <t>0103 T</t>
  </si>
  <si>
    <t>0104 T</t>
  </si>
  <si>
    <t>0105 T</t>
  </si>
  <si>
    <t>0106 T</t>
  </si>
  <si>
    <t>0107 T</t>
  </si>
  <si>
    <t>0109 T</t>
  </si>
  <si>
    <t>0110 T</t>
  </si>
  <si>
    <t>0111 T</t>
  </si>
  <si>
    <t>0112 T</t>
  </si>
  <si>
    <t>0113 T</t>
  </si>
  <si>
    <t>0115 T</t>
  </si>
  <si>
    <t>0116 T</t>
  </si>
  <si>
    <t>0117 T</t>
  </si>
  <si>
    <t>0118 T</t>
  </si>
  <si>
    <t>0119 T</t>
  </si>
  <si>
    <t>PU-70578</t>
  </si>
  <si>
    <t>OK</t>
  </si>
  <si>
    <t>0120 T</t>
  </si>
  <si>
    <t>Transfer S 3-May</t>
  </si>
  <si>
    <t>Transfer S 6-May</t>
  </si>
  <si>
    <t>Transfer S 2-May</t>
  </si>
  <si>
    <t>PU-70396</t>
  </si>
  <si>
    <t>Tranfer S 8-May</t>
  </si>
  <si>
    <t>HC-1613</t>
  </si>
  <si>
    <t>Transfer S 13-May</t>
  </si>
  <si>
    <t>Transfer S 14-May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</si>
</sst>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7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FF00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7"/>
      <color theme="5" tint="-0.499984740745262"/>
      <name val="Times New Roman"/>
      <family val="2"/>
      <scheme val="minor"/>
    </font>
    <font>
      <b/>
      <sz val="10"/>
      <color theme="5" tint="-0.499984740745262"/>
      <name val="Times New Roman"/>
      <family val="2"/>
      <scheme val="minor"/>
    </font>
    <font>
      <b/>
      <i/>
      <sz val="11"/>
      <color rgb="FF0000FF"/>
      <name val="Times New Roman"/>
      <family val="1"/>
      <scheme val="minor"/>
    </font>
    <font>
      <b/>
      <sz val="10"/>
      <color rgb="FF0000FF"/>
      <name val="Times New Roman"/>
      <family val="2"/>
      <scheme val="minor"/>
    </font>
    <font>
      <b/>
      <sz val="9"/>
      <color rgb="FF0000FF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166" fontId="5" fillId="0" borderId="0" xfId="0" applyNumberFormat="1" applyFont="1" applyAlignment="1">
      <alignment horizontal="center"/>
    </xf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8" fontId="10" fillId="0" borderId="0" xfId="1" applyNumberFormat="1" applyFont="1"/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167" fontId="48" fillId="0" borderId="10" xfId="0" applyNumberFormat="1" applyFont="1" applyBorder="1"/>
    <xf numFmtId="2" fontId="50" fillId="0" borderId="5" xfId="0" applyNumberFormat="1" applyFont="1" applyBorder="1" applyAlignment="1">
      <alignment horizontal="left"/>
    </xf>
    <xf numFmtId="0" fontId="50" fillId="0" borderId="5" xfId="0" applyFont="1" applyBorder="1" applyAlignment="1">
      <alignment horizontal="left"/>
    </xf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2" fontId="48" fillId="0" borderId="5" xfId="0" applyNumberFormat="1" applyFont="1" applyBorder="1" applyAlignment="1">
      <alignment horizontal="left"/>
    </xf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16" fontId="29" fillId="0" borderId="4" xfId="0" applyNumberFormat="1" applyFont="1" applyBorder="1"/>
    <xf numFmtId="0" fontId="46" fillId="0" borderId="45" xfId="0" applyFont="1" applyBorder="1" applyAlignment="1">
      <alignment horizontal="center" wrapText="1"/>
    </xf>
    <xf numFmtId="166" fontId="46" fillId="0" borderId="4" xfId="0" applyNumberFormat="1" applyFont="1" applyBorder="1"/>
    <xf numFmtId="166" fontId="46" fillId="0" borderId="0" xfId="0" applyNumberFormat="1" applyFont="1" applyAlignment="1">
      <alignment wrapText="1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4" fontId="39" fillId="0" borderId="37" xfId="0" applyNumberFormat="1" applyFont="1" applyBorder="1" applyAlignment="1">
      <alignment horizontal="right"/>
    </xf>
    <xf numFmtId="16" fontId="39" fillId="0" borderId="15" xfId="0" applyNumberFormat="1" applyFont="1" applyBorder="1"/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44" fontId="0" fillId="0" borderId="0" xfId="1" applyFont="1"/>
    <xf numFmtId="2" fontId="27" fillId="0" borderId="0" xfId="0" applyNumberFormat="1" applyFont="1"/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4" fontId="23" fillId="0" borderId="0" xfId="1" applyFont="1" applyAlignment="1">
      <alignment horizontal="center"/>
    </xf>
    <xf numFmtId="0" fontId="30" fillId="0" borderId="0" xfId="0" applyFont="1" applyAlignment="1">
      <alignment wrapText="1"/>
    </xf>
    <xf numFmtId="2" fontId="55" fillId="0" borderId="0" xfId="0" applyNumberFormat="1" applyFont="1" applyAlignment="1">
      <alignment horizontal="right"/>
    </xf>
    <xf numFmtId="0" fontId="43" fillId="0" borderId="4" xfId="0" applyFont="1" applyBorder="1" applyAlignment="1">
      <alignment horizontal="center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6" fillId="0" borderId="0" xfId="0" applyNumberFormat="1" applyFont="1" applyAlignment="1">
      <alignment horizontal="right"/>
    </xf>
    <xf numFmtId="4" fontId="7" fillId="2" borderId="0" xfId="0" applyNumberFormat="1" applyFont="1" applyFill="1"/>
    <xf numFmtId="4" fontId="29" fillId="0" borderId="37" xfId="0" applyNumberFormat="1" applyFont="1" applyBorder="1" applyAlignment="1">
      <alignment horizontal="right"/>
    </xf>
    <xf numFmtId="15" fontId="29" fillId="0" borderId="10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57" fillId="0" borderId="37" xfId="0" applyNumberFormat="1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0" fontId="7" fillId="8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44" fontId="18" fillId="0" borderId="0" xfId="1" applyFont="1" applyAlignment="1">
      <alignment horizontal="center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44" fontId="7" fillId="0" borderId="0" xfId="1" applyFont="1" applyAlignment="1">
      <alignment wrapText="1"/>
    </xf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7" fillId="0" borderId="15" xfId="0" applyNumberFormat="1" applyFont="1" applyBorder="1"/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8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7" fillId="0" borderId="0" xfId="0" applyNumberFormat="1" applyFont="1"/>
    <xf numFmtId="2" fontId="57" fillId="0" borderId="0" xfId="0" applyNumberFormat="1" applyFont="1"/>
    <xf numFmtId="2" fontId="53" fillId="0" borderId="0" xfId="0" applyNumberFormat="1" applyFont="1" applyAlignment="1">
      <alignment horizontal="right"/>
    </xf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4" fontId="53" fillId="0" borderId="37" xfId="0" applyNumberFormat="1" applyFont="1" applyBorder="1" applyAlignment="1">
      <alignment horizontal="right"/>
    </xf>
    <xf numFmtId="16" fontId="53" fillId="0" borderId="4" xfId="0" applyNumberFormat="1" applyFont="1" applyBorder="1"/>
    <xf numFmtId="16" fontId="53" fillId="0" borderId="0" xfId="0" applyNumberFormat="1" applyFont="1"/>
    <xf numFmtId="2" fontId="7" fillId="0" borderId="37" xfId="0" applyNumberFormat="1" applyFont="1" applyBorder="1" applyAlignment="1">
      <alignment horizontal="right"/>
    </xf>
    <xf numFmtId="164" fontId="59" fillId="0" borderId="4" xfId="0" applyNumberFormat="1" applyFont="1" applyBorder="1"/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0" fontId="13" fillId="6" borderId="0" xfId="0" applyFont="1" applyFill="1"/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0" fontId="0" fillId="6" borderId="4" xfId="0" applyFill="1" applyBorder="1" applyAlignment="1">
      <alignment horizontal="center"/>
    </xf>
    <xf numFmtId="2" fontId="10" fillId="6" borderId="0" xfId="0" applyNumberFormat="1" applyFont="1" applyFill="1"/>
    <xf numFmtId="2" fontId="53" fillId="6" borderId="0" xfId="0" applyNumberFormat="1" applyFont="1" applyFill="1" applyAlignment="1">
      <alignment horizontal="right"/>
    </xf>
    <xf numFmtId="16" fontId="53" fillId="6" borderId="0" xfId="0" applyNumberFormat="1" applyFont="1" applyFill="1"/>
    <xf numFmtId="0" fontId="53" fillId="6" borderId="10" xfId="0" applyFont="1" applyFill="1" applyBorder="1" applyAlignment="1">
      <alignment horizontal="right"/>
    </xf>
    <xf numFmtId="164" fontId="53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4" fontId="53" fillId="6" borderId="37" xfId="0" applyNumberFormat="1" applyFont="1" applyFill="1" applyBorder="1" applyAlignment="1">
      <alignment horizontal="right"/>
    </xf>
    <xf numFmtId="2" fontId="10" fillId="6" borderId="54" xfId="0" applyNumberFormat="1" applyFont="1" applyFill="1" applyBorder="1"/>
    <xf numFmtId="1" fontId="7" fillId="6" borderId="55" xfId="0" applyNumberFormat="1" applyFont="1" applyFill="1" applyBorder="1" applyAlignment="1">
      <alignment horizontal="center"/>
    </xf>
    <xf numFmtId="2" fontId="7" fillId="6" borderId="5" xfId="0" applyNumberFormat="1" applyFont="1" applyFill="1" applyBorder="1" applyAlignment="1">
      <alignment horizontal="right"/>
    </xf>
    <xf numFmtId="4" fontId="7" fillId="6" borderId="52" xfId="0" applyNumberFormat="1" applyFont="1" applyFill="1" applyBorder="1"/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4" fontId="29" fillId="6" borderId="37" xfId="0" applyNumberFormat="1" applyFont="1" applyFill="1" applyBorder="1" applyAlignment="1">
      <alignment horizontal="right"/>
    </xf>
    <xf numFmtId="16" fontId="29" fillId="6" borderId="0" xfId="0" applyNumberFormat="1" applyFont="1" applyFill="1"/>
    <xf numFmtId="2" fontId="29" fillId="6" borderId="0" xfId="0" applyNumberFormat="1" applyFont="1" applyFill="1" applyAlignment="1">
      <alignment horizontal="right"/>
    </xf>
    <xf numFmtId="0" fontId="29" fillId="6" borderId="10" xfId="0" applyFont="1" applyFill="1" applyBorder="1" applyAlignment="1">
      <alignment horizontal="right"/>
    </xf>
    <xf numFmtId="164" fontId="29" fillId="6" borderId="0" xfId="0" applyNumberFormat="1" applyFont="1" applyFill="1"/>
    <xf numFmtId="1" fontId="7" fillId="6" borderId="67" xfId="0" applyNumberFormat="1" applyFont="1" applyFill="1" applyBorder="1" applyAlignment="1">
      <alignment horizontal="center"/>
    </xf>
    <xf numFmtId="167" fontId="45" fillId="0" borderId="10" xfId="0" applyNumberFormat="1" applyFont="1" applyBorder="1" applyAlignment="1">
      <alignment horizontal="left"/>
    </xf>
    <xf numFmtId="0" fontId="9" fillId="0" borderId="10" xfId="0" applyFont="1" applyBorder="1"/>
    <xf numFmtId="167" fontId="45" fillId="0" borderId="0" xfId="0" applyNumberFormat="1" applyFont="1" applyAlignment="1">
      <alignment horizontal="left"/>
    </xf>
    <xf numFmtId="0" fontId="53" fillId="0" borderId="0" xfId="0" applyFont="1" applyAlignment="1">
      <alignment horizontal="center"/>
    </xf>
    <xf numFmtId="168" fontId="53" fillId="0" borderId="15" xfId="0" applyNumberFormat="1" applyFont="1" applyBorder="1"/>
    <xf numFmtId="0" fontId="7" fillId="14" borderId="49" xfId="0" applyFont="1" applyFill="1" applyBorder="1" applyAlignment="1">
      <alignment vertical="center"/>
    </xf>
    <xf numFmtId="0" fontId="7" fillId="4" borderId="53" xfId="0" applyFont="1" applyFill="1" applyBorder="1" applyAlignment="1">
      <alignment vertic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64" fillId="0" borderId="0" xfId="0" applyNumberFormat="1" applyFont="1"/>
    <xf numFmtId="168" fontId="15" fillId="0" borderId="0" xfId="0" applyNumberFormat="1" applyFont="1"/>
    <xf numFmtId="168" fontId="27" fillId="0" borderId="0" xfId="0" applyNumberFormat="1" applyFont="1"/>
    <xf numFmtId="168" fontId="27" fillId="0" borderId="4" xfId="0" applyNumberFormat="1" applyFont="1" applyBorder="1"/>
    <xf numFmtId="0" fontId="16" fillId="8" borderId="0" xfId="0" applyFont="1" applyFill="1" applyAlignment="1">
      <alignment horizontal="center"/>
    </xf>
    <xf numFmtId="1" fontId="16" fillId="8" borderId="0" xfId="0" applyNumberFormat="1" applyFont="1" applyFill="1" applyAlignment="1">
      <alignment horizontal="center"/>
    </xf>
    <xf numFmtId="168" fontId="29" fillId="0" borderId="15" xfId="0" applyNumberFormat="1" applyFont="1" applyBorder="1"/>
    <xf numFmtId="2" fontId="29" fillId="0" borderId="0" xfId="0" applyNumberFormat="1" applyFont="1"/>
    <xf numFmtId="2" fontId="29" fillId="0" borderId="37" xfId="0" applyNumberFormat="1" applyFont="1" applyBorder="1" applyAlignment="1">
      <alignment horizontal="right"/>
    </xf>
    <xf numFmtId="0" fontId="46" fillId="0" borderId="0" xfId="0" applyFont="1" applyFill="1" applyAlignment="1">
      <alignment horizontal="center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0" fontId="50" fillId="0" borderId="0" xfId="0" applyFont="1" applyFill="1" applyAlignment="1">
      <alignment horizontal="left"/>
    </xf>
    <xf numFmtId="164" fontId="60" fillId="0" borderId="0" xfId="0" applyNumberFormat="1" applyFont="1" applyFill="1"/>
    <xf numFmtId="0" fontId="46" fillId="0" borderId="0" xfId="0" applyFont="1" applyFill="1" applyBorder="1" applyAlignment="1">
      <alignment horizontal="center"/>
    </xf>
    <xf numFmtId="164" fontId="62" fillId="0" borderId="0" xfId="0" applyNumberFormat="1" applyFont="1" applyFill="1" applyBorder="1"/>
    <xf numFmtId="167" fontId="65" fillId="0" borderId="0" xfId="0" applyNumberFormat="1" applyFont="1" applyFill="1" applyBorder="1"/>
    <xf numFmtId="167" fontId="63" fillId="0" borderId="0" xfId="0" applyNumberFormat="1" applyFont="1" applyFill="1" applyBorder="1" applyAlignment="1">
      <alignment horizontal="left"/>
    </xf>
    <xf numFmtId="166" fontId="46" fillId="0" borderId="0" xfId="0" applyNumberFormat="1" applyFont="1" applyFill="1" applyBorder="1" applyAlignment="1">
      <alignment horizontal="right"/>
    </xf>
    <xf numFmtId="166" fontId="62" fillId="0" borderId="0" xfId="0" applyNumberFormat="1" applyFont="1" applyFill="1" applyBorder="1" applyAlignment="1">
      <alignment horizontal="right"/>
    </xf>
    <xf numFmtId="0" fontId="63" fillId="0" borderId="0" xfId="0" applyFont="1" applyFill="1" applyBorder="1"/>
    <xf numFmtId="1" fontId="46" fillId="0" borderId="0" xfId="0" applyNumberFormat="1" applyFont="1" applyFill="1" applyBorder="1" applyAlignment="1">
      <alignment horizontal="center"/>
    </xf>
    <xf numFmtId="44" fontId="46" fillId="0" borderId="0" xfId="1" applyFont="1" applyFill="1" applyBorder="1"/>
    <xf numFmtId="167" fontId="49" fillId="0" borderId="0" xfId="0" applyNumberFormat="1" applyFont="1" applyFill="1" applyBorder="1" applyAlignment="1">
      <alignment horizontal="center"/>
    </xf>
    <xf numFmtId="164" fontId="46" fillId="0" borderId="0" xfId="0" applyNumberFormat="1" applyFont="1" applyFill="1" applyBorder="1"/>
    <xf numFmtId="167" fontId="45" fillId="0" borderId="0" xfId="0" applyNumberFormat="1" applyFont="1" applyFill="1" applyBorder="1" applyAlignment="1">
      <alignment horizontal="left"/>
    </xf>
    <xf numFmtId="166" fontId="46" fillId="0" borderId="0" xfId="0" applyNumberFormat="1" applyFont="1" applyFill="1" applyBorder="1"/>
    <xf numFmtId="167" fontId="49" fillId="0" borderId="0" xfId="0" applyNumberFormat="1" applyFont="1" applyFill="1" applyBorder="1"/>
    <xf numFmtId="0" fontId="46" fillId="0" borderId="0" xfId="0" applyFont="1" applyFill="1" applyBorder="1" applyAlignment="1">
      <alignment horizontal="center" wrapText="1"/>
    </xf>
    <xf numFmtId="0" fontId="45" fillId="0" borderId="0" xfId="0" applyFont="1" applyFill="1" applyBorder="1"/>
    <xf numFmtId="167" fontId="45" fillId="0" borderId="0" xfId="0" applyNumberFormat="1" applyFont="1" applyFill="1" applyBorder="1"/>
    <xf numFmtId="166" fontId="45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6" fontId="49" fillId="0" borderId="0" xfId="0" applyNumberFormat="1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left"/>
    </xf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7" fontId="48" fillId="0" borderId="1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0" fontId="52" fillId="0" borderId="0" xfId="0" applyFont="1" applyFill="1" applyAlignment="1">
      <alignment horizontal="center" wrapText="1"/>
    </xf>
    <xf numFmtId="167" fontId="48" fillId="0" borderId="0" xfId="0" applyNumberFormat="1" applyFont="1" applyFill="1" applyAlignment="1">
      <alignment horizontal="left"/>
    </xf>
    <xf numFmtId="0" fontId="59" fillId="0" borderId="0" xfId="0" applyFont="1" applyFill="1" applyAlignment="1">
      <alignment horizontal="center"/>
    </xf>
    <xf numFmtId="166" fontId="60" fillId="0" borderId="0" xfId="0" applyNumberFormat="1" applyFont="1" applyFill="1" applyAlignment="1">
      <alignment horizontal="right"/>
    </xf>
    <xf numFmtId="0" fontId="61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44" fontId="7" fillId="0" borderId="0" xfId="1" applyFont="1" applyFill="1" applyAlignment="1">
      <alignment wrapText="1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0" fillId="0" borderId="4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168" fontId="7" fillId="0" borderId="15" xfId="0" applyNumberFormat="1" applyFont="1" applyFill="1" applyBorder="1"/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10" fillId="0" borderId="0" xfId="0" applyNumberFormat="1" applyFont="1" applyFill="1" applyAlignment="1">
      <alignment horizontal="right"/>
    </xf>
    <xf numFmtId="16" fontId="10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/>
    <xf numFmtId="168" fontId="7" fillId="6" borderId="4" xfId="0" applyNumberFormat="1" applyFont="1" applyFill="1" applyBorder="1"/>
    <xf numFmtId="0" fontId="7" fillId="6" borderId="0" xfId="0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167" fontId="48" fillId="0" borderId="0" xfId="0" applyNumberFormat="1" applyFont="1" applyFill="1" applyBorder="1"/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0" fillId="19" borderId="0" xfId="0" applyFill="1"/>
    <xf numFmtId="0" fontId="7" fillId="18" borderId="0" xfId="0" applyFont="1" applyFill="1" applyAlignment="1">
      <alignment horizontal="center"/>
    </xf>
    <xf numFmtId="166" fontId="49" fillId="0" borderId="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2" fontId="66" fillId="0" borderId="0" xfId="0" applyNumberFormat="1" applyFont="1" applyAlignment="1">
      <alignment horizontal="right"/>
    </xf>
    <xf numFmtId="16" fontId="66" fillId="0" borderId="15" xfId="0" applyNumberFormat="1" applyFont="1" applyBorder="1"/>
    <xf numFmtId="0" fontId="66" fillId="0" borderId="10" xfId="0" applyFont="1" applyBorder="1" applyAlignment="1">
      <alignment horizontal="right"/>
    </xf>
    <xf numFmtId="164" fontId="66" fillId="0" borderId="0" xfId="0" applyNumberFormat="1" applyFont="1"/>
    <xf numFmtId="168" fontId="66" fillId="0" borderId="15" xfId="0" applyNumberFormat="1" applyFont="1" applyBorder="1"/>
    <xf numFmtId="4" fontId="8" fillId="5" borderId="0" xfId="0" applyNumberFormat="1" applyFont="1" applyFill="1"/>
    <xf numFmtId="16" fontId="66" fillId="0" borderId="0" xfId="0" applyNumberFormat="1" applyFont="1"/>
    <xf numFmtId="2" fontId="66" fillId="0" borderId="0" xfId="0" applyNumberFormat="1" applyFont="1"/>
    <xf numFmtId="2" fontId="66" fillId="0" borderId="5" xfId="0" applyNumberFormat="1" applyFont="1" applyBorder="1" applyAlignment="1">
      <alignment horizontal="right"/>
    </xf>
    <xf numFmtId="168" fontId="66" fillId="0" borderId="4" xfId="0" applyNumberFormat="1" applyFont="1" applyBorder="1"/>
    <xf numFmtId="168" fontId="66" fillId="0" borderId="0" xfId="0" applyNumberFormat="1" applyFont="1"/>
    <xf numFmtId="4" fontId="66" fillId="0" borderId="37" xfId="0" applyNumberFormat="1" applyFont="1" applyBorder="1" applyAlignment="1">
      <alignment horizontal="right"/>
    </xf>
    <xf numFmtId="16" fontId="66" fillId="0" borderId="4" xfId="0" applyNumberFormat="1" applyFont="1" applyBorder="1"/>
    <xf numFmtId="15" fontId="66" fillId="0" borderId="10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" fontId="67" fillId="0" borderId="15" xfId="0" applyNumberFormat="1" applyFont="1" applyBorder="1"/>
    <xf numFmtId="2" fontId="67" fillId="0" borderId="0" xfId="0" applyNumberFormat="1" applyFont="1" applyAlignment="1">
      <alignment horizontal="right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10" fillId="5" borderId="54" xfId="0" applyNumberFormat="1" applyFont="1" applyFill="1" applyBorder="1"/>
    <xf numFmtId="0" fontId="67" fillId="5" borderId="10" xfId="0" applyFont="1" applyFill="1" applyBorder="1" applyAlignment="1">
      <alignment horizontal="right"/>
    </xf>
    <xf numFmtId="164" fontId="67" fillId="5" borderId="0" xfId="0" applyNumberFormat="1" applyFont="1" applyFill="1"/>
    <xf numFmtId="165" fontId="8" fillId="5" borderId="0" xfId="0" applyNumberFormat="1" applyFont="1" applyFill="1" applyAlignment="1">
      <alignment horizontal="right"/>
    </xf>
    <xf numFmtId="2" fontId="7" fillId="19" borderId="0" xfId="0" applyNumberFormat="1" applyFont="1" applyFill="1"/>
    <xf numFmtId="0" fontId="66" fillId="5" borderId="10" xfId="0" applyFont="1" applyFill="1" applyBorder="1" applyAlignment="1">
      <alignment horizontal="right"/>
    </xf>
    <xf numFmtId="164" fontId="66" fillId="5" borderId="0" xfId="0" applyNumberFormat="1" applyFont="1" applyFill="1"/>
    <xf numFmtId="4" fontId="16" fillId="5" borderId="0" xfId="0" applyNumberFormat="1" applyFont="1" applyFill="1"/>
    <xf numFmtId="4" fontId="17" fillId="5" borderId="0" xfId="0" applyNumberFormat="1" applyFont="1" applyFill="1"/>
    <xf numFmtId="2" fontId="0" fillId="0" borderId="5" xfId="0" applyNumberFormat="1" applyFill="1" applyBorder="1" applyAlignment="1">
      <alignment horizontal="right"/>
    </xf>
    <xf numFmtId="4" fontId="7" fillId="5" borderId="0" xfId="0" applyNumberFormat="1" applyFont="1" applyFill="1"/>
    <xf numFmtId="2" fontId="66" fillId="0" borderId="0" xfId="0" applyNumberFormat="1" applyFont="1" applyFill="1" applyAlignment="1">
      <alignment horizontal="right"/>
    </xf>
    <xf numFmtId="16" fontId="66" fillId="0" borderId="0" xfId="0" applyNumberFormat="1" applyFont="1" applyFill="1"/>
    <xf numFmtId="2" fontId="66" fillId="0" borderId="0" xfId="0" applyNumberFormat="1" applyFont="1" applyFill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4" fontId="16" fillId="0" borderId="0" xfId="0" applyNumberFormat="1" applyFont="1" applyFill="1"/>
    <xf numFmtId="4" fontId="68" fillId="0" borderId="0" xfId="0" applyNumberFormat="1" applyFont="1"/>
    <xf numFmtId="2" fontId="0" fillId="5" borderId="0" xfId="0" applyNumberFormat="1" applyFill="1" applyAlignment="1">
      <alignment horizontal="right"/>
    </xf>
    <xf numFmtId="4" fontId="10" fillId="5" borderId="0" xfId="0" applyNumberFormat="1" applyFont="1" applyFill="1"/>
    <xf numFmtId="0" fontId="7" fillId="5" borderId="0" xfId="0" applyFont="1" applyFill="1" applyAlignment="1">
      <alignment horizontal="center"/>
    </xf>
    <xf numFmtId="4" fontId="0" fillId="5" borderId="0" xfId="0" applyNumberFormat="1" applyFill="1"/>
    <xf numFmtId="0" fontId="0" fillId="5" borderId="0" xfId="0" applyFill="1"/>
    <xf numFmtId="0" fontId="7" fillId="12" borderId="33" xfId="0" applyFont="1" applyFill="1" applyBorder="1" applyAlignment="1">
      <alignment horizontal="center"/>
    </xf>
    <xf numFmtId="164" fontId="46" fillId="18" borderId="0" xfId="0" applyNumberFormat="1" applyFont="1" applyFill="1" applyBorder="1"/>
    <xf numFmtId="167" fontId="49" fillId="18" borderId="0" xfId="0" applyNumberFormat="1" applyFont="1" applyFill="1" applyBorder="1"/>
    <xf numFmtId="0" fontId="46" fillId="18" borderId="0" xfId="0" applyFont="1" applyFill="1" applyBorder="1" applyAlignment="1">
      <alignment horizontal="center"/>
    </xf>
    <xf numFmtId="164" fontId="7" fillId="19" borderId="0" xfId="0" applyNumberFormat="1" applyFont="1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4" fontId="8" fillId="4" borderId="0" xfId="0" applyNumberFormat="1" applyFont="1" applyFill="1"/>
    <xf numFmtId="0" fontId="7" fillId="4" borderId="0" xfId="0" applyFont="1" applyFill="1" applyAlignment="1">
      <alignment horizontal="center"/>
    </xf>
    <xf numFmtId="164" fontId="69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166" fontId="70" fillId="0" borderId="0" xfId="0" applyNumberFormat="1" applyFont="1" applyFill="1" applyBorder="1" applyAlignment="1">
      <alignment horizontal="left"/>
    </xf>
    <xf numFmtId="2" fontId="70" fillId="0" borderId="0" xfId="0" applyNumberFormat="1" applyFont="1" applyFill="1" applyBorder="1" applyAlignment="1">
      <alignment horizontal="left"/>
    </xf>
    <xf numFmtId="166" fontId="69" fillId="0" borderId="0" xfId="0" applyNumberFormat="1" applyFont="1" applyFill="1" applyBorder="1"/>
    <xf numFmtId="167" fontId="71" fillId="0" borderId="0" xfId="0" applyNumberFormat="1" applyFont="1" applyFill="1" applyBorder="1"/>
    <xf numFmtId="4" fontId="8" fillId="7" borderId="0" xfId="0" applyNumberFormat="1" applyFont="1" applyFill="1"/>
    <xf numFmtId="2" fontId="7" fillId="5" borderId="0" xfId="0" applyNumberFormat="1" applyFont="1" applyFill="1"/>
    <xf numFmtId="0" fontId="0" fillId="7" borderId="0" xfId="0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0" fillId="7" borderId="0" xfId="0" applyNumberFormat="1" applyFill="1"/>
    <xf numFmtId="4" fontId="0" fillId="7" borderId="0" xfId="0" applyNumberFormat="1" applyFill="1"/>
    <xf numFmtId="0" fontId="66" fillId="7" borderId="10" xfId="0" applyFont="1" applyFill="1" applyBorder="1" applyAlignment="1">
      <alignment horizontal="right"/>
    </xf>
    <xf numFmtId="164" fontId="66" fillId="7" borderId="0" xfId="0" applyNumberFormat="1" applyFont="1" applyFill="1"/>
    <xf numFmtId="4" fontId="16" fillId="7" borderId="0" xfId="0" applyNumberFormat="1" applyFont="1" applyFill="1"/>
    <xf numFmtId="2" fontId="66" fillId="7" borderId="0" xfId="0" applyNumberFormat="1" applyFont="1" applyFill="1"/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7" xfId="0" applyNumberFormat="1" applyFont="1" applyFill="1" applyBorder="1" applyAlignment="1">
      <alignment horizontal="center"/>
    </xf>
    <xf numFmtId="0" fontId="7" fillId="11" borderId="0" xfId="0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68" fontId="7" fillId="2" borderId="0" xfId="0" applyNumberFormat="1" applyFont="1" applyFill="1" applyAlignment="1">
      <alignment horizontal="center" vertical="center"/>
    </xf>
    <xf numFmtId="4" fontId="13" fillId="2" borderId="0" xfId="0" applyNumberFormat="1" applyFont="1" applyFill="1" applyAlignment="1">
      <alignment horizontal="right" vertical="center"/>
    </xf>
    <xf numFmtId="1" fontId="13" fillId="2" borderId="0" xfId="0" applyNumberFormat="1" applyFont="1" applyFill="1" applyAlignment="1">
      <alignment horizontal="center" vertical="center"/>
    </xf>
    <xf numFmtId="4" fontId="8" fillId="2" borderId="0" xfId="0" applyNumberFormat="1" applyFont="1" applyFill="1" applyAlignment="1">
      <alignment horizontal="center" vertical="center"/>
    </xf>
    <xf numFmtId="168" fontId="7" fillId="2" borderId="0" xfId="0" applyNumberFormat="1" applyFont="1" applyFill="1"/>
    <xf numFmtId="4" fontId="13" fillId="2" borderId="0" xfId="0" applyNumberFormat="1" applyFont="1" applyFill="1" applyAlignment="1">
      <alignment horizontal="right"/>
    </xf>
    <xf numFmtId="0" fontId="13" fillId="2" borderId="0" xfId="0" applyFont="1" applyFill="1" applyAlignment="1">
      <alignment horizontal="center"/>
    </xf>
    <xf numFmtId="4" fontId="8" fillId="2" borderId="0" xfId="0" applyNumberFormat="1" applyFont="1" applyFill="1"/>
    <xf numFmtId="164" fontId="60" fillId="2" borderId="0" xfId="0" applyNumberFormat="1" applyFont="1" applyFill="1"/>
    <xf numFmtId="16" fontId="10" fillId="0" borderId="0" xfId="0" applyNumberFormat="1" applyFont="1"/>
    <xf numFmtId="4" fontId="72" fillId="0" borderId="0" xfId="0" applyNumberFormat="1" applyFont="1"/>
    <xf numFmtId="4" fontId="10" fillId="0" borderId="0" xfId="0" applyNumberFormat="1" applyFont="1" applyAlignment="1">
      <alignment horizontal="right"/>
    </xf>
    <xf numFmtId="164" fontId="60" fillId="0" borderId="0" xfId="0" applyNumberFormat="1" applyFont="1" applyFill="1" applyBorder="1"/>
    <xf numFmtId="167" fontId="73" fillId="0" borderId="0" xfId="0" applyNumberFormat="1" applyFont="1" applyFill="1" applyBorder="1"/>
    <xf numFmtId="167" fontId="74" fillId="0" borderId="0" xfId="0" applyNumberFormat="1" applyFont="1" applyFill="1" applyBorder="1" applyAlignment="1">
      <alignment horizontal="left"/>
    </xf>
    <xf numFmtId="0" fontId="74" fillId="0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45" fillId="0" borderId="0" xfId="0" applyFont="1" applyFill="1" applyAlignment="1">
      <alignment horizontal="left"/>
    </xf>
    <xf numFmtId="0" fontId="74" fillId="2" borderId="0" xfId="0" applyFont="1" applyFill="1" applyAlignment="1">
      <alignment horizontal="left"/>
    </xf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7" fillId="0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4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00CC00"/>
      <color rgb="FFFFCCFF"/>
      <color rgb="FFFF99FF"/>
      <color rgb="FFFF9900"/>
      <color rgb="FFFF3399"/>
      <color rgb="FF66FF99"/>
      <color rgb="FF00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ABRIL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ABRIL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ABRIL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ABRIL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43551</c:v>
                </c:pt>
                <c:pt idx="1">
                  <c:v>43557</c:v>
                </c:pt>
                <c:pt idx="2">
                  <c:v>43557</c:v>
                </c:pt>
                <c:pt idx="3">
                  <c:v>43557</c:v>
                </c:pt>
                <c:pt idx="4">
                  <c:v>43559</c:v>
                </c:pt>
                <c:pt idx="5">
                  <c:v>43560</c:v>
                </c:pt>
                <c:pt idx="6">
                  <c:v>43560</c:v>
                </c:pt>
                <c:pt idx="7">
                  <c:v>43561</c:v>
                </c:pt>
                <c:pt idx="8">
                  <c:v>43564</c:v>
                </c:pt>
                <c:pt idx="9">
                  <c:v>43564</c:v>
                </c:pt>
                <c:pt idx="10">
                  <c:v>43565</c:v>
                </c:pt>
                <c:pt idx="11">
                  <c:v>43566</c:v>
                </c:pt>
                <c:pt idx="12">
                  <c:v>43567</c:v>
                </c:pt>
                <c:pt idx="13">
                  <c:v>43568</c:v>
                </c:pt>
                <c:pt idx="14">
                  <c:v>43537</c:v>
                </c:pt>
                <c:pt idx="15">
                  <c:v>43571</c:v>
                </c:pt>
                <c:pt idx="16">
                  <c:v>43571</c:v>
                </c:pt>
                <c:pt idx="17">
                  <c:v>43572</c:v>
                </c:pt>
                <c:pt idx="18">
                  <c:v>43572</c:v>
                </c:pt>
                <c:pt idx="19">
                  <c:v>43572</c:v>
                </c:pt>
                <c:pt idx="20">
                  <c:v>43573</c:v>
                </c:pt>
                <c:pt idx="21">
                  <c:v>43575</c:v>
                </c:pt>
                <c:pt idx="22">
                  <c:v>43578</c:v>
                </c:pt>
                <c:pt idx="23">
                  <c:v>43578</c:v>
                </c:pt>
                <c:pt idx="24">
                  <c:v>43579</c:v>
                </c:pt>
                <c:pt idx="25">
                  <c:v>43579</c:v>
                </c:pt>
                <c:pt idx="26">
                  <c:v>43580</c:v>
                </c:pt>
                <c:pt idx="27">
                  <c:v>43581</c:v>
                </c:pt>
                <c:pt idx="28">
                  <c:v>43582</c:v>
                </c:pt>
                <c:pt idx="29">
                  <c:v>43585</c:v>
                </c:pt>
                <c:pt idx="30">
                  <c:v>43585</c:v>
                </c:pt>
                <c:pt idx="31">
                  <c:v>43586</c:v>
                </c:pt>
                <c:pt idx="32">
                  <c:v>43586</c:v>
                </c:pt>
                <c:pt idx="33">
                  <c:v>43588</c:v>
                </c:pt>
                <c:pt idx="34">
                  <c:v>43588</c:v>
                </c:pt>
                <c:pt idx="35">
                  <c:v>43589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ABRIL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18576.78</c:v>
                </c:pt>
                <c:pt idx="1">
                  <c:v>18527.87</c:v>
                </c:pt>
                <c:pt idx="2">
                  <c:v>19564.509999999998</c:v>
                </c:pt>
                <c:pt idx="3">
                  <c:v>18843.330000000002</c:v>
                </c:pt>
                <c:pt idx="4">
                  <c:v>19030.93</c:v>
                </c:pt>
                <c:pt idx="5">
                  <c:v>18875.439999999999</c:v>
                </c:pt>
                <c:pt idx="6">
                  <c:v>18790.650000000001</c:v>
                </c:pt>
                <c:pt idx="7">
                  <c:v>18493.3</c:v>
                </c:pt>
                <c:pt idx="8">
                  <c:v>18727.43</c:v>
                </c:pt>
                <c:pt idx="9">
                  <c:v>18938.78</c:v>
                </c:pt>
                <c:pt idx="10">
                  <c:v>18617.240000000002</c:v>
                </c:pt>
                <c:pt idx="11">
                  <c:v>19138.349999999999</c:v>
                </c:pt>
                <c:pt idx="12">
                  <c:v>18472.95</c:v>
                </c:pt>
                <c:pt idx="13">
                  <c:v>19289.37</c:v>
                </c:pt>
                <c:pt idx="14">
                  <c:v>19118.34</c:v>
                </c:pt>
                <c:pt idx="15">
                  <c:v>18802.23</c:v>
                </c:pt>
                <c:pt idx="16">
                  <c:v>19128.189999999999</c:v>
                </c:pt>
                <c:pt idx="17">
                  <c:v>18776.14</c:v>
                </c:pt>
                <c:pt idx="18">
                  <c:v>18459.349999999999</c:v>
                </c:pt>
                <c:pt idx="19">
                  <c:v>19258.759999999998</c:v>
                </c:pt>
                <c:pt idx="20">
                  <c:v>18884.48</c:v>
                </c:pt>
                <c:pt idx="21">
                  <c:v>19149.689999999999</c:v>
                </c:pt>
                <c:pt idx="22">
                  <c:v>19822.310000000001</c:v>
                </c:pt>
                <c:pt idx="23">
                  <c:v>18707.669999999998</c:v>
                </c:pt>
                <c:pt idx="24">
                  <c:v>19048.96</c:v>
                </c:pt>
                <c:pt idx="25">
                  <c:v>18601.240000000002</c:v>
                </c:pt>
                <c:pt idx="26">
                  <c:v>18740.900000000001</c:v>
                </c:pt>
                <c:pt idx="27">
                  <c:v>18629.64</c:v>
                </c:pt>
                <c:pt idx="28">
                  <c:v>19112.900000000001</c:v>
                </c:pt>
                <c:pt idx="29">
                  <c:v>18803.47</c:v>
                </c:pt>
                <c:pt idx="30">
                  <c:v>19018.18</c:v>
                </c:pt>
                <c:pt idx="31">
                  <c:v>18797.689999999999</c:v>
                </c:pt>
                <c:pt idx="32">
                  <c:v>18997.64</c:v>
                </c:pt>
                <c:pt idx="33">
                  <c:v>18620.16</c:v>
                </c:pt>
                <c:pt idx="34">
                  <c:v>19368.849999999999</c:v>
                </c:pt>
                <c:pt idx="35">
                  <c:v>19313.009999999998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ABRIL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ABRIL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18624.41</c:v>
                </c:pt>
                <c:pt idx="1">
                  <c:v>18623.5</c:v>
                </c:pt>
                <c:pt idx="2">
                  <c:v>19363.259999999998</c:v>
                </c:pt>
                <c:pt idx="3">
                  <c:v>18916.52</c:v>
                </c:pt>
                <c:pt idx="4">
                  <c:v>19062.2</c:v>
                </c:pt>
                <c:pt idx="5">
                  <c:v>18733.79</c:v>
                </c:pt>
                <c:pt idx="6">
                  <c:v>18864.830000000002</c:v>
                </c:pt>
                <c:pt idx="7">
                  <c:v>18578.5</c:v>
                </c:pt>
                <c:pt idx="8">
                  <c:v>18815</c:v>
                </c:pt>
                <c:pt idx="9">
                  <c:v>18783.22</c:v>
                </c:pt>
                <c:pt idx="10">
                  <c:v>18706.95</c:v>
                </c:pt>
                <c:pt idx="11">
                  <c:v>19209.3</c:v>
                </c:pt>
                <c:pt idx="12">
                  <c:v>18584.95</c:v>
                </c:pt>
                <c:pt idx="13">
                  <c:v>18986.400000000001</c:v>
                </c:pt>
                <c:pt idx="14">
                  <c:v>19180.099999999999</c:v>
                </c:pt>
                <c:pt idx="15">
                  <c:v>18839.849999999999</c:v>
                </c:pt>
                <c:pt idx="16">
                  <c:v>18912.46</c:v>
                </c:pt>
                <c:pt idx="17">
                  <c:v>18839.86</c:v>
                </c:pt>
                <c:pt idx="18">
                  <c:v>18488.330000000002</c:v>
                </c:pt>
                <c:pt idx="19">
                  <c:v>19119.7</c:v>
                </c:pt>
                <c:pt idx="20">
                  <c:v>18944.2</c:v>
                </c:pt>
                <c:pt idx="21">
                  <c:v>19225.900000000001</c:v>
                </c:pt>
                <c:pt idx="22">
                  <c:v>19575.599999999999</c:v>
                </c:pt>
                <c:pt idx="23">
                  <c:v>18718</c:v>
                </c:pt>
                <c:pt idx="24">
                  <c:v>19034.03</c:v>
                </c:pt>
                <c:pt idx="25">
                  <c:v>18635.3</c:v>
                </c:pt>
                <c:pt idx="26">
                  <c:v>18785.900000000001</c:v>
                </c:pt>
                <c:pt idx="27">
                  <c:v>18684.009999999998</c:v>
                </c:pt>
                <c:pt idx="28">
                  <c:v>19080.3</c:v>
                </c:pt>
                <c:pt idx="29">
                  <c:v>18859</c:v>
                </c:pt>
                <c:pt idx="30">
                  <c:v>19029.490000000002</c:v>
                </c:pt>
                <c:pt idx="31">
                  <c:v>18801.759999999998</c:v>
                </c:pt>
                <c:pt idx="32">
                  <c:v>18905.439999999999</c:v>
                </c:pt>
                <c:pt idx="33">
                  <c:v>18638.53</c:v>
                </c:pt>
                <c:pt idx="34">
                  <c:v>19454.86</c:v>
                </c:pt>
                <c:pt idx="35">
                  <c:v>19371.8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ABRIL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-47.630000000001019</c:v>
                </c:pt>
                <c:pt idx="1">
                  <c:v>-95.630000000001019</c:v>
                </c:pt>
                <c:pt idx="2">
                  <c:v>201.25</c:v>
                </c:pt>
                <c:pt idx="3">
                  <c:v>-73.18999999999869</c:v>
                </c:pt>
                <c:pt idx="4">
                  <c:v>-31.270000000000437</c:v>
                </c:pt>
                <c:pt idx="5">
                  <c:v>141.64999999999782</c:v>
                </c:pt>
                <c:pt idx="6">
                  <c:v>-74.180000000000291</c:v>
                </c:pt>
                <c:pt idx="7">
                  <c:v>-85.200000000000728</c:v>
                </c:pt>
                <c:pt idx="8">
                  <c:v>-87.569999999999709</c:v>
                </c:pt>
                <c:pt idx="9">
                  <c:v>155.55999999999767</c:v>
                </c:pt>
                <c:pt idx="10">
                  <c:v>-89.709999999999127</c:v>
                </c:pt>
                <c:pt idx="11">
                  <c:v>-70.950000000000728</c:v>
                </c:pt>
                <c:pt idx="12">
                  <c:v>-112</c:v>
                </c:pt>
                <c:pt idx="13">
                  <c:v>302.96999999999753</c:v>
                </c:pt>
                <c:pt idx="14">
                  <c:v>-61.759999999998399</c:v>
                </c:pt>
                <c:pt idx="15">
                  <c:v>-37.619999999998981</c:v>
                </c:pt>
                <c:pt idx="16">
                  <c:v>215.72999999999956</c:v>
                </c:pt>
                <c:pt idx="17">
                  <c:v>-63.720000000001164</c:v>
                </c:pt>
                <c:pt idx="18">
                  <c:v>-28.980000000003201</c:v>
                </c:pt>
                <c:pt idx="19">
                  <c:v>139.05999999999767</c:v>
                </c:pt>
                <c:pt idx="20">
                  <c:v>-59.720000000001164</c:v>
                </c:pt>
                <c:pt idx="21">
                  <c:v>-76.210000000002765</c:v>
                </c:pt>
                <c:pt idx="22">
                  <c:v>246.71000000000276</c:v>
                </c:pt>
                <c:pt idx="23">
                  <c:v>-10.330000000001746</c:v>
                </c:pt>
                <c:pt idx="24">
                  <c:v>14.930000000000291</c:v>
                </c:pt>
                <c:pt idx="25">
                  <c:v>-34.059999999997672</c:v>
                </c:pt>
                <c:pt idx="26">
                  <c:v>-45</c:v>
                </c:pt>
                <c:pt idx="27">
                  <c:v>-54.369999999998981</c:v>
                </c:pt>
                <c:pt idx="28">
                  <c:v>32.600000000002183</c:v>
                </c:pt>
                <c:pt idx="29">
                  <c:v>-55.529999999998836</c:v>
                </c:pt>
                <c:pt idx="30">
                  <c:v>-11.31000000000131</c:v>
                </c:pt>
                <c:pt idx="31">
                  <c:v>-4.069999999999709</c:v>
                </c:pt>
                <c:pt idx="32">
                  <c:v>92.200000000000728</c:v>
                </c:pt>
                <c:pt idx="33">
                  <c:v>-18.369999999998981</c:v>
                </c:pt>
                <c:pt idx="34">
                  <c:v>-86.010000000002037</c:v>
                </c:pt>
                <c:pt idx="35">
                  <c:v>-58.790000000000873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ABRIL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57065</c:v>
                </c:pt>
                <c:pt idx="4">
                  <c:v>0</c:v>
                </c:pt>
                <c:pt idx="5">
                  <c:v>0</c:v>
                </c:pt>
                <c:pt idx="6">
                  <c:v>57066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136316</c:v>
                </c:pt>
                <c:pt idx="2">
                  <c:v>137170</c:v>
                </c:pt>
                <c:pt idx="3" formatCode="_(&quot;$&quot;* #,##0.00_);_(&quot;$&quot;* \(#,##0.00\);_(&quot;$&quot;* &quot;-&quot;??_);_(@_)">
                  <c:v>136175</c:v>
                </c:pt>
                <c:pt idx="4">
                  <c:v>132041</c:v>
                </c:pt>
                <c:pt idx="5">
                  <c:v>128472</c:v>
                </c:pt>
                <c:pt idx="6">
                  <c:v>123301</c:v>
                </c:pt>
                <c:pt idx="7">
                  <c:v>119501</c:v>
                </c:pt>
                <c:pt idx="8">
                  <c:v>116431.4</c:v>
                </c:pt>
                <c:pt idx="9">
                  <c:v>111244</c:v>
                </c:pt>
                <c:pt idx="10">
                  <c:v>119840</c:v>
                </c:pt>
                <c:pt idx="11">
                  <c:v>115148</c:v>
                </c:pt>
                <c:pt idx="12">
                  <c:v>114307</c:v>
                </c:pt>
                <c:pt idx="13">
                  <c:v>111972</c:v>
                </c:pt>
                <c:pt idx="14" formatCode="_(&quot;$&quot;* #,##0.00_);_(&quot;$&quot;* \(#,##0.00\);_(&quot;$&quot;* &quot;-&quot;??_);_(@_)">
                  <c:v>120077</c:v>
                </c:pt>
                <c:pt idx="15">
                  <c:v>116268</c:v>
                </c:pt>
                <c:pt idx="16">
                  <c:v>111420</c:v>
                </c:pt>
                <c:pt idx="17">
                  <c:v>111544</c:v>
                </c:pt>
                <c:pt idx="18">
                  <c:v>109686</c:v>
                </c:pt>
                <c:pt idx="19">
                  <c:v>112201</c:v>
                </c:pt>
                <c:pt idx="20">
                  <c:v>113247</c:v>
                </c:pt>
                <c:pt idx="21">
                  <c:v>119848</c:v>
                </c:pt>
                <c:pt idx="22">
                  <c:v>128972</c:v>
                </c:pt>
                <c:pt idx="23">
                  <c:v>124604</c:v>
                </c:pt>
                <c:pt idx="24" formatCode="_(&quot;$&quot;* #,##0.00_);_(&quot;$&quot;* \(#,##0.00\);_(&quot;$&quot;* &quot;-&quot;??_);_(@_)">
                  <c:v>119900</c:v>
                </c:pt>
                <c:pt idx="25">
                  <c:v>123500</c:v>
                </c:pt>
                <c:pt idx="26" formatCode="_(&quot;$&quot;* #,##0.00_);_(&quot;$&quot;* \(#,##0.00\);_(&quot;$&quot;* &quot;-&quot;??_);_(@_)">
                  <c:v>122847</c:v>
                </c:pt>
                <c:pt idx="27">
                  <c:v>128926</c:v>
                </c:pt>
                <c:pt idx="28">
                  <c:v>134214</c:v>
                </c:pt>
                <c:pt idx="29" formatCode="_(&quot;$&quot;* #,##0.00_);_(&quot;$&quot;* \(#,##0.00\);_(&quot;$&quot;* &quot;-&quot;??_);_(@_)">
                  <c:v>140200</c:v>
                </c:pt>
                <c:pt idx="30">
                  <c:v>138248</c:v>
                </c:pt>
                <c:pt idx="31">
                  <c:v>136608</c:v>
                </c:pt>
                <c:pt idx="32">
                  <c:v>130657</c:v>
                </c:pt>
                <c:pt idx="33">
                  <c:v>127336</c:v>
                </c:pt>
                <c:pt idx="34">
                  <c:v>133205</c:v>
                </c:pt>
                <c:pt idx="35">
                  <c:v>133649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202341</c:v>
                </c:pt>
                <c:pt idx="2" formatCode="0">
                  <c:v>9000825771</c:v>
                </c:pt>
                <c:pt idx="3">
                  <c:v>0</c:v>
                </c:pt>
                <c:pt idx="4">
                  <c:v>1598768</c:v>
                </c:pt>
                <c:pt idx="5">
                  <c:v>9000833450</c:v>
                </c:pt>
                <c:pt idx="6">
                  <c:v>0</c:v>
                </c:pt>
                <c:pt idx="7">
                  <c:v>1599533</c:v>
                </c:pt>
                <c:pt idx="8">
                  <c:v>202346</c:v>
                </c:pt>
                <c:pt idx="9">
                  <c:v>9000845617</c:v>
                </c:pt>
                <c:pt idx="10">
                  <c:v>0</c:v>
                </c:pt>
                <c:pt idx="11">
                  <c:v>1601533</c:v>
                </c:pt>
                <c:pt idx="12">
                  <c:v>0</c:v>
                </c:pt>
                <c:pt idx="13">
                  <c:v>9000849282</c:v>
                </c:pt>
                <c:pt idx="14">
                  <c:v>1602219</c:v>
                </c:pt>
                <c:pt idx="15">
                  <c:v>0</c:v>
                </c:pt>
                <c:pt idx="16">
                  <c:v>9000861832</c:v>
                </c:pt>
                <c:pt idx="17" formatCode="0">
                  <c:v>0</c:v>
                </c:pt>
                <c:pt idx="18">
                  <c:v>0</c:v>
                </c:pt>
                <c:pt idx="19">
                  <c:v>9000862612</c:v>
                </c:pt>
                <c:pt idx="20">
                  <c:v>1604239</c:v>
                </c:pt>
                <c:pt idx="21">
                  <c:v>1605005</c:v>
                </c:pt>
                <c:pt idx="22">
                  <c:v>9000874734</c:v>
                </c:pt>
                <c:pt idx="23">
                  <c:v>202355</c:v>
                </c:pt>
                <c:pt idx="24">
                  <c:v>9000875402</c:v>
                </c:pt>
                <c:pt idx="25">
                  <c:v>0</c:v>
                </c:pt>
                <c:pt idx="26">
                  <c:v>1606986</c:v>
                </c:pt>
                <c:pt idx="27">
                  <c:v>0</c:v>
                </c:pt>
                <c:pt idx="28">
                  <c:v>1607819</c:v>
                </c:pt>
                <c:pt idx="29">
                  <c:v>202360</c:v>
                </c:pt>
                <c:pt idx="30">
                  <c:v>9000885922</c:v>
                </c:pt>
                <c:pt idx="31">
                  <c:v>0</c:v>
                </c:pt>
                <c:pt idx="32">
                  <c:v>6000892743</c:v>
                </c:pt>
                <c:pt idx="33">
                  <c:v>0</c:v>
                </c:pt>
                <c:pt idx="34">
                  <c:v>1610137</c:v>
                </c:pt>
                <c:pt idx="35">
                  <c:v>1610537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4843</c:v>
                </c:pt>
                <c:pt idx="2">
                  <c:v>4959</c:v>
                </c:pt>
                <c:pt idx="3">
                  <c:v>4901</c:v>
                </c:pt>
                <c:pt idx="4">
                  <c:v>4785</c:v>
                </c:pt>
                <c:pt idx="5">
                  <c:v>4698</c:v>
                </c:pt>
                <c:pt idx="6">
                  <c:v>4553</c:v>
                </c:pt>
                <c:pt idx="7">
                  <c:v>4408</c:v>
                </c:pt>
                <c:pt idx="8">
                  <c:v>4147</c:v>
                </c:pt>
                <c:pt idx="9">
                  <c:v>4089</c:v>
                </c:pt>
                <c:pt idx="10">
                  <c:v>4205</c:v>
                </c:pt>
                <c:pt idx="11">
                  <c:v>4263</c:v>
                </c:pt>
                <c:pt idx="12">
                  <c:v>4234</c:v>
                </c:pt>
                <c:pt idx="13">
                  <c:v>4089</c:v>
                </c:pt>
                <c:pt idx="14">
                  <c:v>4466</c:v>
                </c:pt>
                <c:pt idx="15">
                  <c:v>4292</c:v>
                </c:pt>
                <c:pt idx="16">
                  <c:v>4176</c:v>
                </c:pt>
                <c:pt idx="17">
                  <c:v>4060</c:v>
                </c:pt>
                <c:pt idx="18">
                  <c:v>4060</c:v>
                </c:pt>
                <c:pt idx="19">
                  <c:v>4147</c:v>
                </c:pt>
                <c:pt idx="20">
                  <c:v>4176</c:v>
                </c:pt>
                <c:pt idx="21">
                  <c:v>4292</c:v>
                </c:pt>
                <c:pt idx="22">
                  <c:v>4698</c:v>
                </c:pt>
                <c:pt idx="23">
                  <c:v>4582</c:v>
                </c:pt>
                <c:pt idx="24">
                  <c:v>4437</c:v>
                </c:pt>
                <c:pt idx="25">
                  <c:v>4495</c:v>
                </c:pt>
                <c:pt idx="26">
                  <c:v>4495</c:v>
                </c:pt>
                <c:pt idx="27">
                  <c:v>4698</c:v>
                </c:pt>
                <c:pt idx="28">
                  <c:v>4854.6000000000004</c:v>
                </c:pt>
                <c:pt idx="29">
                  <c:v>5046</c:v>
                </c:pt>
                <c:pt idx="30">
                  <c:v>4959</c:v>
                </c:pt>
                <c:pt idx="31">
                  <c:v>4872</c:v>
                </c:pt>
                <c:pt idx="32">
                  <c:v>4773.3999999999996</c:v>
                </c:pt>
                <c:pt idx="33">
                  <c:v>4669</c:v>
                </c:pt>
                <c:pt idx="34">
                  <c:v>4959</c:v>
                </c:pt>
                <c:pt idx="35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656058.41079999995</c:v>
                </c:pt>
                <c:pt idx="2">
                  <c:v>677419.47100000002</c:v>
                </c:pt>
                <c:pt idx="3">
                  <c:v>666591.28149000008</c:v>
                </c:pt>
                <c:pt idx="4">
                  <c:v>652475.77370000002</c:v>
                </c:pt>
                <c:pt idx="5">
                  <c:v>639862.38976000005</c:v>
                </c:pt>
                <c:pt idx="6">
                  <c:v>618362.61540000001</c:v>
                </c:pt>
                <c:pt idx="7">
                  <c:v>599096.28240000003</c:v>
                </c:pt>
                <c:pt idx="8">
                  <c:v>560002.54541999998</c:v>
                </c:pt>
                <c:pt idx="9" formatCode="_(&quot;$&quot;* #,##0.00_);_(&quot;$&quot;* \(#,##0.00\);_(&quot;$&quot;* &quot;-&quot;??_);_(@_)">
                  <c:v>551288.14520000003</c:v>
                </c:pt>
                <c:pt idx="10" formatCode="_(&quot;$&quot;* #,##0.00_);_(&quot;$&quot;* \(#,##0.00\);_(&quot;$&quot;* &quot;-&quot;??_);_(@_)">
                  <c:v>560388.12673999998</c:v>
                </c:pt>
                <c:pt idx="11" formatCode="_(&quot;$&quot;* #,##0.00_);_(&quot;$&quot;* \(#,##0.00\);_(&quot;$&quot;* &quot;-&quot;??_);_(@_)">
                  <c:v>580002.76620000007</c:v>
                </c:pt>
                <c:pt idx="12">
                  <c:v>575694.15749999997</c:v>
                </c:pt>
                <c:pt idx="13">
                  <c:v>554480.13104999997</c:v>
                </c:pt>
                <c:pt idx="14">
                  <c:v>607577.4327</c:v>
                </c:pt>
                <c:pt idx="15">
                  <c:v>584456.99316000007</c:v>
                </c:pt>
                <c:pt idx="16">
                  <c:v>554690.26740000001</c:v>
                </c:pt>
                <c:pt idx="17">
                  <c:v>557946.348</c:v>
                </c:pt>
                <c:pt idx="18">
                  <c:v>547795.50774000003</c:v>
                </c:pt>
                <c:pt idx="19">
                  <c:v>561588.15603000007</c:v>
                </c:pt>
                <c:pt idx="20">
                  <c:v>564608.79399999988</c:v>
                </c:pt>
                <c:pt idx="21">
                  <c:v>587323.98540000001</c:v>
                </c:pt>
                <c:pt idx="22">
                  <c:v>639215.57400999998</c:v>
                </c:pt>
                <c:pt idx="23">
                  <c:v>618621.05250000011</c:v>
                </c:pt>
                <c:pt idx="24">
                  <c:v>657237.68500000006</c:v>
                </c:pt>
                <c:pt idx="25">
                  <c:v>612853.67359999998</c:v>
                </c:pt>
                <c:pt idx="26">
                  <c:v>612737.79148999997</c:v>
                </c:pt>
                <c:pt idx="27">
                  <c:v>636769.34719999996</c:v>
                </c:pt>
                <c:pt idx="28">
                  <c:v>662152.41611999995</c:v>
                </c:pt>
                <c:pt idx="29">
                  <c:v>678806.65125000011</c:v>
                </c:pt>
                <c:pt idx="30" formatCode="&quot;$&quot;#,##0.00">
                  <c:v>673676.17102000001</c:v>
                </c:pt>
                <c:pt idx="31" formatCode="&quot;$&quot;#,##0.00">
                  <c:v>674685.54669999995</c:v>
                </c:pt>
                <c:pt idx="32" formatCode="&quot;$&quot;#,##0.00">
                  <c:v>652204.78570000001</c:v>
                </c:pt>
                <c:pt idx="33" formatCode="&quot;$&quot;#,##0.00">
                  <c:v>634882.93389999995</c:v>
                </c:pt>
                <c:pt idx="34" formatCode="&quot;$&quot;#,##0.00">
                  <c:v>666793.32374999998</c:v>
                </c:pt>
                <c:pt idx="35">
                  <c:v>664437.64274000004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827377.41079999995</c:v>
                </c:pt>
                <c:pt idx="2">
                  <c:v>849708.47100000002</c:v>
                </c:pt>
                <c:pt idx="3">
                  <c:v>837827.28149000008</c:v>
                </c:pt>
                <c:pt idx="4">
                  <c:v>819461.77370000002</c:v>
                </c:pt>
                <c:pt idx="5">
                  <c:v>803192.38976000005</c:v>
                </c:pt>
                <c:pt idx="6">
                  <c:v>776376.61540000001</c:v>
                </c:pt>
                <c:pt idx="7">
                  <c:v>753165.28240000003</c:v>
                </c:pt>
                <c:pt idx="8">
                  <c:v>710740.94542</c:v>
                </c:pt>
                <c:pt idx="9">
                  <c:v>696781.14520000003</c:v>
                </c:pt>
                <c:pt idx="10">
                  <c:v>714593.12673999998</c:v>
                </c:pt>
                <c:pt idx="11">
                  <c:v>729573.76620000007</c:v>
                </c:pt>
                <c:pt idx="12">
                  <c:v>724395.15749999997</c:v>
                </c:pt>
                <c:pt idx="13">
                  <c:v>700701.13104999997</c:v>
                </c:pt>
                <c:pt idx="14">
                  <c:v>762280.4327</c:v>
                </c:pt>
                <c:pt idx="15">
                  <c:v>735176.99316000007</c:v>
                </c:pt>
                <c:pt idx="16">
                  <c:v>700446.26740000001</c:v>
                </c:pt>
                <c:pt idx="17">
                  <c:v>703710.348</c:v>
                </c:pt>
                <c:pt idx="18">
                  <c:v>691701.50774000003</c:v>
                </c:pt>
                <c:pt idx="19">
                  <c:v>708096.15603000007</c:v>
                </c:pt>
                <c:pt idx="20">
                  <c:v>712191.79399999988</c:v>
                </c:pt>
                <c:pt idx="21">
                  <c:v>741623.98540000001</c:v>
                </c:pt>
                <c:pt idx="22">
                  <c:v>803045.57400999998</c:v>
                </c:pt>
                <c:pt idx="23">
                  <c:v>777967.05250000011</c:v>
                </c:pt>
                <c:pt idx="24">
                  <c:v>811734.68500000006</c:v>
                </c:pt>
                <c:pt idx="25">
                  <c:v>771008.67359999998</c:v>
                </c:pt>
                <c:pt idx="26">
                  <c:v>770239.79148999997</c:v>
                </c:pt>
                <c:pt idx="27">
                  <c:v>800553.34719999996</c:v>
                </c:pt>
                <c:pt idx="28">
                  <c:v>831381.01611999993</c:v>
                </c:pt>
                <c:pt idx="29">
                  <c:v>854212.65125000011</c:v>
                </c:pt>
                <c:pt idx="30">
                  <c:v>847043.17102000001</c:v>
                </c:pt>
                <c:pt idx="31">
                  <c:v>841453.54669999995</c:v>
                </c:pt>
                <c:pt idx="32">
                  <c:v>813021.78570000001</c:v>
                </c:pt>
                <c:pt idx="33">
                  <c:v>792378.93389999995</c:v>
                </c:pt>
                <c:pt idx="34">
                  <c:v>830158.32374999998</c:v>
                </c:pt>
                <c:pt idx="35">
                  <c:v>828246.64274000004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44.426526206137403</c:v>
                </c:pt>
                <c:pt idx="2">
                  <c:v>43.982511054440216</c:v>
                </c:pt>
                <c:pt idx="3">
                  <c:v>44.390772377266011</c:v>
                </c:pt>
                <c:pt idx="4">
                  <c:v>43.088835165930483</c:v>
                </c:pt>
                <c:pt idx="5">
                  <c:v>42.973993450337602</c:v>
                </c:pt>
                <c:pt idx="6">
                  <c:v>41.25471040025274</c:v>
                </c:pt>
                <c:pt idx="7">
                  <c:v>40.639617428748288</c:v>
                </c:pt>
                <c:pt idx="8">
                  <c:v>37.87522962636195</c:v>
                </c:pt>
                <c:pt idx="9">
                  <c:v>37.195936969273639</c:v>
                </c:pt>
                <c:pt idx="10">
                  <c:v>38.299339108726969</c:v>
                </c:pt>
                <c:pt idx="11">
                  <c:v>38.08023697896332</c:v>
                </c:pt>
                <c:pt idx="12">
                  <c:v>39.077514467351271</c:v>
                </c:pt>
                <c:pt idx="13">
                  <c:v>37.00542341096785</c:v>
                </c:pt>
                <c:pt idx="14">
                  <c:v>39.843298142345454</c:v>
                </c:pt>
                <c:pt idx="15">
                  <c:v>39.122444083153539</c:v>
                </c:pt>
                <c:pt idx="16">
                  <c:v>37.136232589520354</c:v>
                </c:pt>
                <c:pt idx="17">
                  <c:v>37.452206863532957</c:v>
                </c:pt>
                <c:pt idx="18">
                  <c:v>37.512871132222323</c:v>
                </c:pt>
                <c:pt idx="19">
                  <c:v>37.134898875505371</c:v>
                </c:pt>
                <c:pt idx="20">
                  <c:v>37.694186822351952</c:v>
                </c:pt>
                <c:pt idx="21">
                  <c:v>38.6742142318435</c:v>
                </c:pt>
                <c:pt idx="22">
                  <c:v>41.122782137456838</c:v>
                </c:pt>
                <c:pt idx="23">
                  <c:v>41.662509482850737</c:v>
                </c:pt>
                <c:pt idx="24">
                  <c:v>42.746496038936584</c:v>
                </c:pt>
                <c:pt idx="25">
                  <c:v>41.473558440164638</c:v>
                </c:pt>
                <c:pt idx="26">
                  <c:v>41.100952389291969</c:v>
                </c:pt>
                <c:pt idx="27">
                  <c:v>42.94697702473934</c:v>
                </c:pt>
                <c:pt idx="28">
                  <c:v>43.672743411791217</c:v>
                </c:pt>
                <c:pt idx="29">
                  <c:v>45.394694906940991</c:v>
                </c:pt>
                <c:pt idx="30">
                  <c:v>44.612132012996668</c:v>
                </c:pt>
                <c:pt idx="31">
                  <c:v>44.853977643582304</c:v>
                </c:pt>
                <c:pt idx="32">
                  <c:v>43.104647641102247</c:v>
                </c:pt>
                <c:pt idx="33">
                  <c:v>42.612952142685074</c:v>
                </c:pt>
                <c:pt idx="34">
                  <c:v>42.770999624258408</c:v>
                </c:pt>
                <c:pt idx="35">
                  <c:v>42.855275335281185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"/>
  <sheetViews>
    <sheetView tabSelected="1" topLeftCell="E25" zoomScaleNormal="100" workbookViewId="0">
      <pane xSplit="6" topLeftCell="O1" activePane="topRight" state="frozen"/>
      <selection activeCell="E1" sqref="E1"/>
      <selection pane="topRight" activeCell="P40" sqref="P40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4.140625" style="197" customWidth="1"/>
    <col min="13" max="13" width="12.42578125" bestFit="1" customWidth="1"/>
    <col min="14" max="14" width="13.140625" customWidth="1"/>
    <col min="15" max="15" width="13.5703125" style="13" bestFit="1" customWidth="1"/>
    <col min="16" max="16" width="12.140625" style="137" customWidth="1"/>
    <col min="17" max="17" width="16.57031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2" t="s">
        <v>245</v>
      </c>
      <c r="C1" s="54"/>
      <c r="D1" s="146"/>
      <c r="E1" s="117"/>
      <c r="F1" s="64"/>
      <c r="G1" s="63"/>
      <c r="H1" s="63"/>
      <c r="I1" s="63"/>
      <c r="K1" s="738" t="s">
        <v>26</v>
      </c>
      <c r="L1" s="196"/>
      <c r="M1" s="740" t="s">
        <v>27</v>
      </c>
      <c r="N1" s="70"/>
      <c r="P1" s="139" t="s">
        <v>38</v>
      </c>
      <c r="Q1" s="742" t="s">
        <v>28</v>
      </c>
      <c r="R1" s="229"/>
    </row>
    <row r="2" spans="1:29" ht="17.25" thickTop="1" thickBot="1" x14ac:dyDescent="0.3">
      <c r="A2" s="36"/>
      <c r="B2" s="68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39"/>
      <c r="L2" s="13" t="s">
        <v>29</v>
      </c>
      <c r="M2" s="741"/>
      <c r="N2" s="5" t="s">
        <v>29</v>
      </c>
      <c r="O2" s="75" t="s">
        <v>30</v>
      </c>
      <c r="P2" s="140" t="s">
        <v>39</v>
      </c>
      <c r="Q2" s="743"/>
      <c r="R2" s="230" t="s">
        <v>29</v>
      </c>
    </row>
    <row r="3" spans="1:29" s="237" customFormat="1" thickTop="1" x14ac:dyDescent="0.3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256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7">
        <f>PIERNA!I3</f>
        <v>0</v>
      </c>
      <c r="J3" s="334"/>
      <c r="K3" s="345"/>
      <c r="L3" s="416"/>
      <c r="M3" s="18"/>
      <c r="N3" s="510"/>
      <c r="O3" s="341"/>
      <c r="P3" s="354"/>
      <c r="Q3" s="352"/>
      <c r="R3" s="417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480" t="str">
        <f>PIERNA!B4</f>
        <v>TYSON FRESH MEATS</v>
      </c>
      <c r="C4" s="480" t="str">
        <f>PIERNA!C4</f>
        <v xml:space="preserve">I B P </v>
      </c>
      <c r="D4" s="148" t="str">
        <f>PIERNA!D4</f>
        <v>PED. 35917865</v>
      </c>
      <c r="E4" s="119">
        <f>PIERNA!E4</f>
        <v>43551</v>
      </c>
      <c r="F4" s="228">
        <f>PIERNA!F4</f>
        <v>18576.78</v>
      </c>
      <c r="G4" s="145">
        <f>PIERNA!G4</f>
        <v>20</v>
      </c>
      <c r="H4" s="52">
        <f>PIERNA!H4</f>
        <v>18624.41</v>
      </c>
      <c r="I4" s="257">
        <f>PIERNA!I4</f>
        <v>-47.630000000001019</v>
      </c>
      <c r="J4" s="534"/>
      <c r="K4" s="535"/>
      <c r="L4" s="536"/>
      <c r="M4" s="535"/>
      <c r="N4" s="537"/>
      <c r="O4" s="534"/>
      <c r="P4" s="538"/>
      <c r="Q4" s="539"/>
      <c r="R4" s="540"/>
      <c r="S4" s="83">
        <f t="shared" si="0"/>
        <v>0</v>
      </c>
      <c r="T4" s="83">
        <f t="shared" ref="T4:T5" si="1">S4/H4</f>
        <v>0</v>
      </c>
      <c r="U4" s="432"/>
    </row>
    <row r="5" spans="1:29" s="237" customFormat="1" x14ac:dyDescent="0.25">
      <c r="A5" s="145">
        <v>2</v>
      </c>
      <c r="B5" s="582" t="str">
        <f>PIERNA!B5</f>
        <v>SIOUXPREME PACKING</v>
      </c>
      <c r="C5" s="582" t="str">
        <f>PIERNA!C5</f>
        <v>SIOUX</v>
      </c>
      <c r="D5" s="148" t="str">
        <f>PIERNA!D5</f>
        <v>PED. 3611388</v>
      </c>
      <c r="E5" s="119">
        <f>PIERNA!E5</f>
        <v>43557</v>
      </c>
      <c r="F5" s="228">
        <f>PIERNA!F5</f>
        <v>18527.87</v>
      </c>
      <c r="G5" s="145">
        <f>PIERNA!G5</f>
        <v>21</v>
      </c>
      <c r="H5" s="52">
        <f>PIERNA!H5</f>
        <v>18623.5</v>
      </c>
      <c r="I5" s="257">
        <f>PIERNA!I5</f>
        <v>-95.630000000001019</v>
      </c>
      <c r="J5" s="534" t="s">
        <v>271</v>
      </c>
      <c r="K5" s="544">
        <v>136316</v>
      </c>
      <c r="L5" s="621" t="s">
        <v>276</v>
      </c>
      <c r="M5" s="544">
        <v>30160</v>
      </c>
      <c r="N5" s="545" t="s">
        <v>277</v>
      </c>
      <c r="O5" s="534">
        <v>202341</v>
      </c>
      <c r="P5" s="538">
        <v>4843</v>
      </c>
      <c r="Q5" s="538">
        <f>34098.67*19.24</f>
        <v>656058.41079999995</v>
      </c>
      <c r="R5" s="549" t="s">
        <v>276</v>
      </c>
      <c r="S5" s="83">
        <f t="shared" si="0"/>
        <v>827377.41079999995</v>
      </c>
      <c r="T5" s="83">
        <f t="shared" si="1"/>
        <v>44.426526206137403</v>
      </c>
      <c r="U5" s="361"/>
    </row>
    <row r="6" spans="1:29" s="237" customFormat="1" x14ac:dyDescent="0.25">
      <c r="A6" s="145">
        <v>3</v>
      </c>
      <c r="B6" s="582" t="str">
        <f>PIERNA!B6</f>
        <v>SMITHFIELD FRESH MEATS</v>
      </c>
      <c r="C6" s="582" t="str">
        <f>PIERNA!C6</f>
        <v>Smithfield</v>
      </c>
      <c r="D6" s="148" t="str">
        <f>PIERNA!D6</f>
        <v>PED. 36112501</v>
      </c>
      <c r="E6" s="119">
        <f>PIERNA!E6</f>
        <v>43557</v>
      </c>
      <c r="F6" s="228">
        <f>PIERNA!F6</f>
        <v>19564.509999999998</v>
      </c>
      <c r="G6" s="145">
        <f>PIERNA!G6</f>
        <v>20</v>
      </c>
      <c r="H6" s="52">
        <f>PIERNA!H6</f>
        <v>19363.259999999998</v>
      </c>
      <c r="I6" s="257">
        <f>PIERNA!I6</f>
        <v>201.25</v>
      </c>
      <c r="J6" s="534" t="s">
        <v>272</v>
      </c>
      <c r="K6" s="544">
        <v>137170</v>
      </c>
      <c r="L6" s="547" t="s">
        <v>276</v>
      </c>
      <c r="M6" s="544">
        <v>30160</v>
      </c>
      <c r="N6" s="545" t="s">
        <v>277</v>
      </c>
      <c r="O6" s="541">
        <v>9000825771</v>
      </c>
      <c r="P6" s="538">
        <v>4959</v>
      </c>
      <c r="Q6" s="538">
        <f>35245.55*19.22</f>
        <v>677419.47100000002</v>
      </c>
      <c r="R6" s="549" t="s">
        <v>276</v>
      </c>
      <c r="S6" s="83">
        <f t="shared" si="0"/>
        <v>849708.47100000002</v>
      </c>
      <c r="T6" s="83">
        <f>S6/H6+0.1</f>
        <v>43.982511054440216</v>
      </c>
      <c r="U6" s="432"/>
    </row>
    <row r="7" spans="1:29" s="237" customFormat="1" ht="15.75" customHeight="1" x14ac:dyDescent="0.25">
      <c r="A7" s="145">
        <v>4</v>
      </c>
      <c r="B7" s="582" t="str">
        <f>PIERNA!B7</f>
        <v>TYSON FRESH MEATS</v>
      </c>
      <c r="C7" s="582" t="str">
        <f>PIERNA!C7</f>
        <v xml:space="preserve">I B P </v>
      </c>
      <c r="D7" s="148" t="str">
        <f>PIERNA!D7</f>
        <v>PED. 36111398</v>
      </c>
      <c r="E7" s="119">
        <f>PIERNA!E7</f>
        <v>43557</v>
      </c>
      <c r="F7" s="228">
        <f>PIERNA!F7</f>
        <v>18843.330000000002</v>
      </c>
      <c r="G7" s="145">
        <f>PIERNA!G7</f>
        <v>20</v>
      </c>
      <c r="H7" s="52">
        <f>PIERNA!H7</f>
        <v>18916.52</v>
      </c>
      <c r="I7" s="257">
        <f>PIERNA!I7</f>
        <v>-73.18999999999869</v>
      </c>
      <c r="J7" s="534">
        <v>57065</v>
      </c>
      <c r="K7" s="542">
        <v>136175</v>
      </c>
      <c r="L7" s="543" t="s">
        <v>276</v>
      </c>
      <c r="M7" s="544">
        <v>30160</v>
      </c>
      <c r="N7" s="545" t="s">
        <v>277</v>
      </c>
      <c r="O7" s="534" t="s">
        <v>359</v>
      </c>
      <c r="P7" s="546">
        <v>4901</v>
      </c>
      <c r="Q7" s="539">
        <f>34960.47*19.067</f>
        <v>666591.28149000008</v>
      </c>
      <c r="R7" s="540" t="s">
        <v>360</v>
      </c>
      <c r="S7" s="83">
        <f t="shared" si="0"/>
        <v>837827.28149000008</v>
      </c>
      <c r="T7" s="83">
        <f>S7/H7+0.1</f>
        <v>44.390772377266011</v>
      </c>
      <c r="U7" s="361"/>
      <c r="W7" s="97"/>
      <c r="X7" s="97"/>
      <c r="Y7" s="304"/>
      <c r="Z7" s="305">
        <v>5.0000000000000001E-3</v>
      </c>
      <c r="AA7" s="304">
        <f t="shared" ref="AA7:AA22" si="2">Y7*Z7</f>
        <v>0</v>
      </c>
      <c r="AB7" s="304">
        <f t="shared" ref="AB7:AB22" si="3">AA7*16%</f>
        <v>0</v>
      </c>
      <c r="AC7" s="304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 xml:space="preserve">SEABOARD FOODS </v>
      </c>
      <c r="C8" s="237" t="str">
        <f>PIERNA!C8</f>
        <v>Seaboard</v>
      </c>
      <c r="D8" s="148" t="str">
        <f>PIERNA!D8</f>
        <v>PED. 36221613</v>
      </c>
      <c r="E8" s="119">
        <f>PIERNA!E8</f>
        <v>43559</v>
      </c>
      <c r="F8" s="228">
        <f>PIERNA!F8</f>
        <v>19030.93</v>
      </c>
      <c r="G8" s="145">
        <f>PIERNA!G8</f>
        <v>21</v>
      </c>
      <c r="H8" s="52">
        <f>PIERNA!H8</f>
        <v>19062.2</v>
      </c>
      <c r="I8" s="257">
        <f>PIERNA!I8</f>
        <v>-31.270000000000437</v>
      </c>
      <c r="J8" s="534" t="s">
        <v>289</v>
      </c>
      <c r="K8" s="544">
        <v>132041</v>
      </c>
      <c r="L8" s="547" t="s">
        <v>334</v>
      </c>
      <c r="M8" s="544">
        <v>30160</v>
      </c>
      <c r="N8" s="545" t="s">
        <v>335</v>
      </c>
      <c r="O8" s="548">
        <v>1598768</v>
      </c>
      <c r="P8" s="733">
        <v>4785</v>
      </c>
      <c r="Q8" s="539">
        <f>34178.93*19.09</f>
        <v>652475.77370000002</v>
      </c>
      <c r="R8" s="540" t="s">
        <v>357</v>
      </c>
      <c r="S8" s="83">
        <f t="shared" si="0"/>
        <v>819461.77370000002</v>
      </c>
      <c r="T8" s="83">
        <f t="shared" ref="T8:T41" si="5">S8/H8+0.1</f>
        <v>43.088835165930483</v>
      </c>
      <c r="U8" s="432"/>
      <c r="W8" s="97"/>
      <c r="X8" s="97"/>
      <c r="Y8" s="304"/>
      <c r="Z8" s="305">
        <v>5.0000000000000001E-3</v>
      </c>
      <c r="AA8" s="304">
        <f t="shared" si="2"/>
        <v>0</v>
      </c>
      <c r="AB8" s="304">
        <f t="shared" si="3"/>
        <v>0</v>
      </c>
      <c r="AC8" s="304">
        <f t="shared" si="4"/>
        <v>0</v>
      </c>
    </row>
    <row r="9" spans="1:29" s="237" customFormat="1" ht="14.45" x14ac:dyDescent="0.3">
      <c r="A9" s="145">
        <v>6</v>
      </c>
      <c r="B9" s="237" t="str">
        <f>PIERNA!B9</f>
        <v>SMITHFIELD FARMLAND</v>
      </c>
      <c r="C9" s="237" t="str">
        <f>PIERNA!C9</f>
        <v>Smithfield</v>
      </c>
      <c r="D9" s="148" t="str">
        <f>PIERNA!D9</f>
        <v>PED. 36268909</v>
      </c>
      <c r="E9" s="119">
        <f>PIERNA!E9</f>
        <v>43560</v>
      </c>
      <c r="F9" s="228">
        <f>PIERNA!F9</f>
        <v>18875.439999999999</v>
      </c>
      <c r="G9" s="145">
        <f>PIERNA!G9</f>
        <v>20</v>
      </c>
      <c r="H9" s="52">
        <f>PIERNA!H9</f>
        <v>18733.79</v>
      </c>
      <c r="I9" s="257">
        <f>PIERNA!I9</f>
        <v>141.64999999999782</v>
      </c>
      <c r="J9" s="534" t="s">
        <v>290</v>
      </c>
      <c r="K9" s="544">
        <v>128472</v>
      </c>
      <c r="L9" s="547" t="s">
        <v>335</v>
      </c>
      <c r="M9" s="544">
        <v>30160</v>
      </c>
      <c r="N9" s="545" t="s">
        <v>337</v>
      </c>
      <c r="O9" s="534">
        <v>9000833450</v>
      </c>
      <c r="P9" s="546">
        <v>4698</v>
      </c>
      <c r="Q9" s="538">
        <f>33182.72*19.283</f>
        <v>639862.38976000005</v>
      </c>
      <c r="R9" s="549" t="s">
        <v>337</v>
      </c>
      <c r="S9" s="83">
        <f t="shared" si="0"/>
        <v>803192.38976000005</v>
      </c>
      <c r="T9" s="83">
        <f t="shared" si="5"/>
        <v>42.973993450337602</v>
      </c>
      <c r="U9" s="432"/>
      <c r="W9" s="97"/>
      <c r="X9" s="97"/>
      <c r="Y9" s="304"/>
      <c r="Z9" s="305">
        <v>5.0000000000000001E-3</v>
      </c>
      <c r="AA9" s="304">
        <f t="shared" si="2"/>
        <v>0</v>
      </c>
      <c r="AB9" s="304">
        <f t="shared" si="3"/>
        <v>0</v>
      </c>
      <c r="AC9" s="304">
        <f t="shared" si="4"/>
        <v>0</v>
      </c>
    </row>
    <row r="10" spans="1:29" s="237" customFormat="1" x14ac:dyDescent="0.25">
      <c r="A10" s="145">
        <v>7</v>
      </c>
      <c r="B10" s="237" t="str">
        <f>PIERNA!B10</f>
        <v>TYSON FRESH MEATS</v>
      </c>
      <c r="C10" s="237" t="str">
        <f>PIERNA!C10</f>
        <v xml:space="preserve">I B P </v>
      </c>
      <c r="D10" s="148" t="str">
        <f>PIERNA!D10</f>
        <v>PED. 36271547</v>
      </c>
      <c r="E10" s="119">
        <f>PIERNA!E10</f>
        <v>43560</v>
      </c>
      <c r="F10" s="228">
        <f>PIERNA!F10</f>
        <v>18790.650000000001</v>
      </c>
      <c r="G10" s="145">
        <f>PIERNA!G10</f>
        <v>20</v>
      </c>
      <c r="H10" s="52">
        <f>PIERNA!H10</f>
        <v>18864.830000000002</v>
      </c>
      <c r="I10" s="257">
        <f>PIERNA!I10</f>
        <v>-74.180000000000291</v>
      </c>
      <c r="J10" s="534">
        <v>57066</v>
      </c>
      <c r="K10" s="544">
        <v>123301</v>
      </c>
      <c r="L10" s="547" t="s">
        <v>335</v>
      </c>
      <c r="M10" s="544">
        <v>30160</v>
      </c>
      <c r="N10" s="545" t="s">
        <v>337</v>
      </c>
      <c r="O10" s="534" t="s">
        <v>361</v>
      </c>
      <c r="P10" s="538">
        <v>4553</v>
      </c>
      <c r="Q10" s="539">
        <f>31857.94*19.41</f>
        <v>618362.61540000001</v>
      </c>
      <c r="R10" s="540" t="s">
        <v>358</v>
      </c>
      <c r="S10" s="83">
        <f t="shared" si="0"/>
        <v>776376.61540000001</v>
      </c>
      <c r="T10" s="83">
        <f t="shared" si="5"/>
        <v>41.25471040025274</v>
      </c>
      <c r="U10" s="432"/>
      <c r="W10" s="97"/>
      <c r="X10" s="97"/>
      <c r="Y10" s="304"/>
      <c r="Z10" s="305">
        <v>5.0000000000000001E-3</v>
      </c>
      <c r="AA10" s="304">
        <f t="shared" si="2"/>
        <v>0</v>
      </c>
      <c r="AB10" s="304">
        <f t="shared" si="3"/>
        <v>0</v>
      </c>
      <c r="AC10" s="304">
        <f t="shared" si="4"/>
        <v>0</v>
      </c>
    </row>
    <row r="11" spans="1:29" s="237" customFormat="1" x14ac:dyDescent="0.25">
      <c r="A11" s="145">
        <v>8</v>
      </c>
      <c r="B11" s="237" t="str">
        <f>PIERNA!B11</f>
        <v>SEABOARD FOODS</v>
      </c>
      <c r="C11" s="237" t="str">
        <f>PIERNA!C11</f>
        <v>Seaboard</v>
      </c>
      <c r="D11" s="148" t="str">
        <f>PIERNA!D11</f>
        <v>PED. 36333839</v>
      </c>
      <c r="E11" s="119">
        <f>PIERNA!E11</f>
        <v>43561</v>
      </c>
      <c r="F11" s="228">
        <f>PIERNA!F11</f>
        <v>18493.3</v>
      </c>
      <c r="G11" s="145">
        <f>PIERNA!G11</f>
        <v>21</v>
      </c>
      <c r="H11" s="52">
        <f>PIERNA!H11</f>
        <v>18578.5</v>
      </c>
      <c r="I11" s="257">
        <f>PIERNA!I11</f>
        <v>-85.200000000000728</v>
      </c>
      <c r="J11" s="534" t="s">
        <v>291</v>
      </c>
      <c r="K11" s="544">
        <v>119501</v>
      </c>
      <c r="L11" s="547" t="s">
        <v>337</v>
      </c>
      <c r="M11" s="544">
        <v>30160</v>
      </c>
      <c r="N11" s="545" t="s">
        <v>338</v>
      </c>
      <c r="O11" s="534">
        <v>1599533</v>
      </c>
      <c r="P11" s="734">
        <v>4408</v>
      </c>
      <c r="Q11" s="539">
        <f>30817.71*19.44</f>
        <v>599096.28240000003</v>
      </c>
      <c r="R11" s="540" t="s">
        <v>362</v>
      </c>
      <c r="S11" s="83">
        <f t="shared" si="0"/>
        <v>753165.28240000003</v>
      </c>
      <c r="T11" s="83">
        <f t="shared" si="5"/>
        <v>40.639617428748288</v>
      </c>
      <c r="U11" s="432"/>
      <c r="W11" s="97"/>
      <c r="X11" s="97"/>
      <c r="Y11" s="304"/>
      <c r="Z11" s="305">
        <v>5.0000000000000001E-3</v>
      </c>
      <c r="AA11" s="304">
        <f t="shared" si="2"/>
        <v>0</v>
      </c>
      <c r="AB11" s="304">
        <f t="shared" si="3"/>
        <v>0</v>
      </c>
      <c r="AC11" s="304">
        <f t="shared" si="4"/>
        <v>0</v>
      </c>
    </row>
    <row r="12" spans="1:29" s="237" customFormat="1" x14ac:dyDescent="0.25">
      <c r="A12" s="145">
        <v>9</v>
      </c>
      <c r="B12" s="237" t="str">
        <f>PIERNA!B12</f>
        <v>SIOUXPREME PACKING</v>
      </c>
      <c r="C12" s="237" t="str">
        <f>PIERNA!C12</f>
        <v>SIOUX</v>
      </c>
      <c r="D12" s="148" t="str">
        <f>PIERNA!D12</f>
        <v>PED. 36406557</v>
      </c>
      <c r="E12" s="119">
        <f>PIERNA!E12</f>
        <v>43564</v>
      </c>
      <c r="F12" s="228">
        <f>PIERNA!F12</f>
        <v>18727.43</v>
      </c>
      <c r="G12" s="145">
        <f>PIERNA!G12</f>
        <v>21</v>
      </c>
      <c r="H12" s="52">
        <f>PIERNA!H12</f>
        <v>18815</v>
      </c>
      <c r="I12" s="154">
        <f>PIERNA!I12</f>
        <v>-87.569999999999709</v>
      </c>
      <c r="J12" s="534" t="s">
        <v>292</v>
      </c>
      <c r="K12" s="544">
        <v>116431.4</v>
      </c>
      <c r="L12" s="547" t="s">
        <v>338</v>
      </c>
      <c r="M12" s="544">
        <v>30160</v>
      </c>
      <c r="N12" s="545" t="s">
        <v>324</v>
      </c>
      <c r="O12" s="548">
        <v>202346</v>
      </c>
      <c r="P12" s="733">
        <v>4147</v>
      </c>
      <c r="Q12" s="538">
        <f>29298.03*19.114</f>
        <v>560002.54541999998</v>
      </c>
      <c r="R12" s="549" t="s">
        <v>324</v>
      </c>
      <c r="S12" s="83">
        <f t="shared" si="0"/>
        <v>710740.94542</v>
      </c>
      <c r="T12" s="83">
        <f t="shared" si="5"/>
        <v>37.87522962636195</v>
      </c>
      <c r="U12" s="433"/>
      <c r="W12" s="97"/>
      <c r="X12" s="97"/>
      <c r="Y12" s="304"/>
      <c r="Z12" s="305">
        <v>5.0000000000000001E-3</v>
      </c>
      <c r="AA12" s="304">
        <f t="shared" si="2"/>
        <v>0</v>
      </c>
      <c r="AB12" s="304">
        <f t="shared" si="3"/>
        <v>0</v>
      </c>
      <c r="AC12" s="304">
        <f t="shared" si="4"/>
        <v>0</v>
      </c>
    </row>
    <row r="13" spans="1:29" s="237" customFormat="1" x14ac:dyDescent="0.25">
      <c r="A13" s="145">
        <v>10</v>
      </c>
      <c r="B13" s="237" t="str">
        <f>PIERNA!B13</f>
        <v>SMITHFIELD FARMLAND</v>
      </c>
      <c r="C13" s="237" t="str">
        <f>PIERNA!C13</f>
        <v>Smithfield</v>
      </c>
      <c r="D13" s="148" t="str">
        <f>PIERNA!D13</f>
        <v>PED. 36406212</v>
      </c>
      <c r="E13" s="119">
        <f>PIERNA!E13</f>
        <v>43564</v>
      </c>
      <c r="F13" s="228">
        <f>PIERNA!F13</f>
        <v>18938.78</v>
      </c>
      <c r="G13" s="145">
        <f>PIERNA!G13</f>
        <v>20</v>
      </c>
      <c r="H13" s="52">
        <f>PIERNA!H13</f>
        <v>18783.22</v>
      </c>
      <c r="I13" s="257">
        <f>PIERNA!I13</f>
        <v>155.55999999999767</v>
      </c>
      <c r="J13" s="534" t="s">
        <v>293</v>
      </c>
      <c r="K13" s="544">
        <v>111244</v>
      </c>
      <c r="L13" s="547" t="s">
        <v>338</v>
      </c>
      <c r="M13" s="544">
        <v>30160</v>
      </c>
      <c r="N13" s="545" t="s">
        <v>324</v>
      </c>
      <c r="O13" s="548">
        <v>9000845617</v>
      </c>
      <c r="P13" s="733">
        <v>4089</v>
      </c>
      <c r="Q13" s="542">
        <f>29045.74*18.98</f>
        <v>551288.14520000003</v>
      </c>
      <c r="R13" s="549" t="s">
        <v>338</v>
      </c>
      <c r="S13" s="83">
        <f t="shared" si="0"/>
        <v>696781.14520000003</v>
      </c>
      <c r="T13" s="83">
        <f t="shared" si="5"/>
        <v>37.195936969273639</v>
      </c>
      <c r="U13" s="361"/>
      <c r="W13" s="97"/>
      <c r="X13" s="97"/>
      <c r="Y13" s="304"/>
      <c r="Z13" s="305">
        <v>5.0000000000000001E-3</v>
      </c>
      <c r="AA13" s="304">
        <f t="shared" si="2"/>
        <v>0</v>
      </c>
      <c r="AB13" s="304">
        <f t="shared" si="3"/>
        <v>0</v>
      </c>
      <c r="AC13" s="304">
        <f t="shared" si="4"/>
        <v>0</v>
      </c>
    </row>
    <row r="14" spans="1:29" s="237" customFormat="1" x14ac:dyDescent="0.25">
      <c r="A14" s="145">
        <v>11</v>
      </c>
      <c r="B14" s="237" t="str">
        <f>PIERNA!B14</f>
        <v xml:space="preserve">TYSON FRESH MEATS </v>
      </c>
      <c r="C14" s="237" t="str">
        <f>PIERNA!C14</f>
        <v xml:space="preserve">I B P </v>
      </c>
      <c r="D14" s="148" t="str">
        <f>PIERNA!D14</f>
        <v>PED. 36452176</v>
      </c>
      <c r="E14" s="119">
        <f>PIERNA!E14</f>
        <v>43565</v>
      </c>
      <c r="F14" s="228">
        <f>PIERNA!F14</f>
        <v>18617.240000000002</v>
      </c>
      <c r="G14" s="145">
        <f>PIERNA!G14</f>
        <v>20</v>
      </c>
      <c r="H14" s="52">
        <f>PIERNA!H14</f>
        <v>18706.95</v>
      </c>
      <c r="I14" s="257">
        <f>PIERNA!I14</f>
        <v>-89.709999999999127</v>
      </c>
      <c r="J14" s="534" t="s">
        <v>294</v>
      </c>
      <c r="K14" s="544">
        <v>119840</v>
      </c>
      <c r="L14" s="547" t="s">
        <v>324</v>
      </c>
      <c r="M14" s="544">
        <v>30160</v>
      </c>
      <c r="N14" s="545" t="s">
        <v>351</v>
      </c>
      <c r="O14" s="534" t="s">
        <v>332</v>
      </c>
      <c r="P14" s="733">
        <v>4205</v>
      </c>
      <c r="Q14" s="542">
        <f>29129.23*19.238</f>
        <v>560388.12673999998</v>
      </c>
      <c r="R14" s="628" t="s">
        <v>333</v>
      </c>
      <c r="S14" s="83">
        <f t="shared" si="0"/>
        <v>714593.12673999998</v>
      </c>
      <c r="T14" s="83">
        <f t="shared" si="5"/>
        <v>38.299339108726969</v>
      </c>
      <c r="U14" s="361"/>
      <c r="W14" s="97"/>
      <c r="X14" s="97"/>
      <c r="Y14" s="304"/>
      <c r="Z14" s="305">
        <v>5.0000000000000001E-3</v>
      </c>
      <c r="AA14" s="304">
        <f t="shared" si="2"/>
        <v>0</v>
      </c>
      <c r="AB14" s="304">
        <f t="shared" si="3"/>
        <v>0</v>
      </c>
      <c r="AC14" s="304">
        <f t="shared" si="4"/>
        <v>0</v>
      </c>
    </row>
    <row r="15" spans="1:29" s="237" customFormat="1" x14ac:dyDescent="0.25">
      <c r="A15" s="145">
        <v>12</v>
      </c>
      <c r="B15" s="237" t="str">
        <f>PIERNA!B15</f>
        <v>SEABOARD FOODS</v>
      </c>
      <c r="C15" s="237" t="str">
        <f>PIERNA!C15</f>
        <v>Seaboard</v>
      </c>
      <c r="D15" s="148" t="str">
        <f>PIERNA!D15</f>
        <v>PED. 36492290</v>
      </c>
      <c r="E15" s="119">
        <f>PIERNA!E15</f>
        <v>43566</v>
      </c>
      <c r="F15" s="228">
        <f>PIERNA!F15</f>
        <v>19138.349999999999</v>
      </c>
      <c r="G15" s="145">
        <f>PIERNA!G15</f>
        <v>21</v>
      </c>
      <c r="H15" s="52">
        <f>PIERNA!H15</f>
        <v>19209.3</v>
      </c>
      <c r="I15" s="257">
        <f>PIERNA!I15</f>
        <v>-70.950000000000728</v>
      </c>
      <c r="J15" s="548" t="s">
        <v>308</v>
      </c>
      <c r="K15" s="544">
        <v>115148</v>
      </c>
      <c r="L15" s="547" t="s">
        <v>326</v>
      </c>
      <c r="M15" s="544">
        <v>30160</v>
      </c>
      <c r="N15" s="550" t="s">
        <v>339</v>
      </c>
      <c r="O15" s="534">
        <v>1601533</v>
      </c>
      <c r="P15" s="733">
        <v>4263</v>
      </c>
      <c r="Q15" s="542">
        <f>30114.37*19.26</f>
        <v>580002.76620000007</v>
      </c>
      <c r="R15" s="551" t="s">
        <v>335</v>
      </c>
      <c r="S15" s="83">
        <f t="shared" si="0"/>
        <v>729573.76620000007</v>
      </c>
      <c r="T15" s="83">
        <f t="shared" si="5"/>
        <v>38.08023697896332</v>
      </c>
      <c r="U15" s="361"/>
      <c r="W15" s="97"/>
      <c r="X15" s="97"/>
      <c r="Y15" s="304"/>
      <c r="Z15" s="305">
        <v>5.0000000000000001E-3</v>
      </c>
      <c r="AA15" s="304">
        <f t="shared" si="2"/>
        <v>0</v>
      </c>
      <c r="AB15" s="304">
        <f t="shared" si="3"/>
        <v>0</v>
      </c>
      <c r="AC15" s="304">
        <f t="shared" si="4"/>
        <v>0</v>
      </c>
    </row>
    <row r="16" spans="1:29" s="237" customFormat="1" x14ac:dyDescent="0.25">
      <c r="A16" s="145">
        <v>13</v>
      </c>
      <c r="B16" s="237" t="str">
        <f>PIERNA!B16</f>
        <v>TYSON FRESH MEATS</v>
      </c>
      <c r="C16" s="237" t="str">
        <f>PIERNA!C16</f>
        <v xml:space="preserve">I B P </v>
      </c>
      <c r="D16" s="148" t="str">
        <f>PIERNA!D16</f>
        <v>PED. 36560196</v>
      </c>
      <c r="E16" s="119">
        <f>PIERNA!E16</f>
        <v>43567</v>
      </c>
      <c r="F16" s="228">
        <f>PIERNA!F16</f>
        <v>18472.95</v>
      </c>
      <c r="G16" s="145">
        <f>PIERNA!G16</f>
        <v>20</v>
      </c>
      <c r="H16" s="52">
        <f>PIERNA!H16</f>
        <v>18584.95</v>
      </c>
      <c r="I16" s="257">
        <f>PIERNA!I16</f>
        <v>-112</v>
      </c>
      <c r="J16" s="552" t="s">
        <v>310</v>
      </c>
      <c r="K16" s="544">
        <v>114307</v>
      </c>
      <c r="L16" s="547" t="s">
        <v>328</v>
      </c>
      <c r="M16" s="544">
        <v>30160</v>
      </c>
      <c r="N16" s="550" t="s">
        <v>352</v>
      </c>
      <c r="O16" s="534" t="s">
        <v>336</v>
      </c>
      <c r="P16" s="733">
        <v>4234</v>
      </c>
      <c r="Q16" s="538">
        <f>29906.19*19.25</f>
        <v>575694.15749999997</v>
      </c>
      <c r="R16" s="549" t="s">
        <v>335</v>
      </c>
      <c r="S16" s="83">
        <f t="shared" si="0"/>
        <v>724395.15749999997</v>
      </c>
      <c r="T16" s="83">
        <f t="shared" si="5"/>
        <v>39.077514467351271</v>
      </c>
      <c r="U16" s="361"/>
      <c r="W16" s="97"/>
      <c r="X16" s="97"/>
      <c r="Y16" s="304"/>
      <c r="Z16" s="305">
        <v>5.0000000000000001E-3</v>
      </c>
      <c r="AA16" s="304">
        <f t="shared" si="2"/>
        <v>0</v>
      </c>
      <c r="AB16" s="304">
        <f t="shared" si="3"/>
        <v>0</v>
      </c>
      <c r="AC16" s="304">
        <f t="shared" si="4"/>
        <v>0</v>
      </c>
    </row>
    <row r="17" spans="1:29" s="237" customFormat="1" x14ac:dyDescent="0.25">
      <c r="A17" s="145">
        <v>14</v>
      </c>
      <c r="B17" s="237" t="str">
        <f>PIERNA!B17</f>
        <v>SMITHFIELD FRESH MEATS</v>
      </c>
      <c r="C17" s="237" t="str">
        <f>PIERNA!C17</f>
        <v>Smithfield</v>
      </c>
      <c r="D17" s="148" t="str">
        <f>PIERNA!D17</f>
        <v>PED. 36560590</v>
      </c>
      <c r="E17" s="119">
        <f>PIERNA!E17</f>
        <v>43568</v>
      </c>
      <c r="F17" s="228">
        <f>PIERNA!F17</f>
        <v>19289.37</v>
      </c>
      <c r="G17" s="145">
        <f>PIERNA!G17</f>
        <v>20</v>
      </c>
      <c r="H17" s="52">
        <f>PIERNA!H17</f>
        <v>18986.400000000001</v>
      </c>
      <c r="I17" s="257">
        <f>PIERNA!I17</f>
        <v>302.96999999999753</v>
      </c>
      <c r="J17" s="534" t="s">
        <v>311</v>
      </c>
      <c r="K17" s="544">
        <v>111972</v>
      </c>
      <c r="L17" s="547" t="s">
        <v>328</v>
      </c>
      <c r="M17" s="544">
        <v>30160</v>
      </c>
      <c r="N17" s="550" t="s">
        <v>352</v>
      </c>
      <c r="O17" s="534">
        <v>9000849282</v>
      </c>
      <c r="P17" s="733">
        <v>4089</v>
      </c>
      <c r="Q17" s="538">
        <f>29351.55*18.891</f>
        <v>554480.13104999997</v>
      </c>
      <c r="R17" s="553" t="s">
        <v>330</v>
      </c>
      <c r="S17" s="83">
        <f t="shared" si="0"/>
        <v>700701.13104999997</v>
      </c>
      <c r="T17" s="83">
        <f t="shared" si="5"/>
        <v>37.00542341096785</v>
      </c>
      <c r="U17" s="431"/>
      <c r="W17" s="97"/>
      <c r="X17" s="97"/>
      <c r="Y17" s="304"/>
      <c r="Z17" s="305">
        <v>5.0000000000000001E-3</v>
      </c>
      <c r="AA17" s="304">
        <f t="shared" si="2"/>
        <v>0</v>
      </c>
      <c r="AB17" s="304">
        <f t="shared" si="3"/>
        <v>0</v>
      </c>
      <c r="AC17" s="304">
        <f t="shared" si="4"/>
        <v>0</v>
      </c>
    </row>
    <row r="18" spans="1:29" s="237" customFormat="1" x14ac:dyDescent="0.25">
      <c r="A18" s="145">
        <v>15</v>
      </c>
      <c r="B18" s="102" t="str">
        <f>PIERNA!B18</f>
        <v>SEABOARD FOODS</v>
      </c>
      <c r="C18" s="237" t="str">
        <f>PIERNA!C18</f>
        <v>Seaboard</v>
      </c>
      <c r="D18" s="148" t="str">
        <f>PIERNA!D18</f>
        <v>PED. 36612666</v>
      </c>
      <c r="E18" s="119">
        <f>PIERNA!E18</f>
        <v>43537</v>
      </c>
      <c r="F18" s="228">
        <f>PIERNA!F18</f>
        <v>19118.34</v>
      </c>
      <c r="G18" s="145">
        <f>PIERNA!G18</f>
        <v>21</v>
      </c>
      <c r="H18" s="52">
        <f>PIERNA!H18</f>
        <v>19180.099999999999</v>
      </c>
      <c r="I18" s="257">
        <f>PIERNA!I18</f>
        <v>-61.759999999998399</v>
      </c>
      <c r="J18" s="534" t="s">
        <v>312</v>
      </c>
      <c r="K18" s="542">
        <v>120077</v>
      </c>
      <c r="L18" s="543" t="s">
        <v>329</v>
      </c>
      <c r="M18" s="544">
        <v>30160</v>
      </c>
      <c r="N18" s="545" t="s">
        <v>353</v>
      </c>
      <c r="O18" s="534">
        <v>1602219</v>
      </c>
      <c r="P18" s="735">
        <v>4466</v>
      </c>
      <c r="Q18" s="538">
        <f>31654.55*19.194</f>
        <v>607577.4327</v>
      </c>
      <c r="R18" s="549" t="s">
        <v>338</v>
      </c>
      <c r="S18" s="83">
        <f t="shared" si="0"/>
        <v>762280.4327</v>
      </c>
      <c r="T18" s="83">
        <f t="shared" si="5"/>
        <v>39.843298142345454</v>
      </c>
      <c r="U18" s="357"/>
      <c r="W18" s="97"/>
      <c r="X18" s="97"/>
      <c r="Y18" s="304"/>
      <c r="Z18" s="305">
        <v>5.0000000000000001E-3</v>
      </c>
      <c r="AA18" s="304">
        <f t="shared" si="2"/>
        <v>0</v>
      </c>
      <c r="AB18" s="304">
        <f t="shared" si="3"/>
        <v>0</v>
      </c>
      <c r="AC18" s="304">
        <f t="shared" si="4"/>
        <v>0</v>
      </c>
    </row>
    <row r="19" spans="1:29" s="237" customFormat="1" x14ac:dyDescent="0.25">
      <c r="A19" s="145">
        <v>16</v>
      </c>
      <c r="B19" s="237" t="str">
        <f>PIERNA!B19</f>
        <v>TYSON FRESH MEATS</v>
      </c>
      <c r="C19" s="237" t="str">
        <f>PIERNA!C19</f>
        <v xml:space="preserve">I B P </v>
      </c>
      <c r="D19" s="148" t="str">
        <f>PIERNA!D19</f>
        <v>PED. 36686526</v>
      </c>
      <c r="E19" s="119">
        <f>PIERNA!E19</f>
        <v>43571</v>
      </c>
      <c r="F19" s="228">
        <f>PIERNA!F19</f>
        <v>18802.23</v>
      </c>
      <c r="G19" s="145">
        <f>PIERNA!G19</f>
        <v>20</v>
      </c>
      <c r="H19" s="52">
        <f>PIERNA!H19</f>
        <v>18839.849999999999</v>
      </c>
      <c r="I19" s="257">
        <f>PIERNA!I19</f>
        <v>-37.619999999998981</v>
      </c>
      <c r="J19" s="534" t="s">
        <v>313</v>
      </c>
      <c r="K19" s="544">
        <v>116268</v>
      </c>
      <c r="L19" s="547" t="s">
        <v>330</v>
      </c>
      <c r="M19" s="544">
        <v>30160</v>
      </c>
      <c r="N19" s="545" t="s">
        <v>354</v>
      </c>
      <c r="O19" s="534" t="s">
        <v>323</v>
      </c>
      <c r="P19" s="733">
        <v>4292</v>
      </c>
      <c r="Q19" s="538">
        <f>30540.68*19.137</f>
        <v>584456.99316000007</v>
      </c>
      <c r="R19" s="554" t="s">
        <v>324</v>
      </c>
      <c r="S19" s="83">
        <f t="shared" si="0"/>
        <v>735176.99316000007</v>
      </c>
      <c r="T19" s="83">
        <f t="shared" si="5"/>
        <v>39.122444083153539</v>
      </c>
      <c r="W19" s="97"/>
      <c r="X19" s="97"/>
      <c r="Y19" s="304"/>
      <c r="Z19" s="305">
        <v>5.0000000000000001E-3</v>
      </c>
      <c r="AA19" s="304">
        <f t="shared" si="2"/>
        <v>0</v>
      </c>
      <c r="AB19" s="304">
        <f t="shared" si="3"/>
        <v>0</v>
      </c>
      <c r="AC19" s="304">
        <f t="shared" si="4"/>
        <v>0</v>
      </c>
    </row>
    <row r="20" spans="1:29" s="237" customFormat="1" x14ac:dyDescent="0.25">
      <c r="A20" s="145">
        <v>17</v>
      </c>
      <c r="B20" s="237" t="str">
        <f>PIERNA!B20</f>
        <v>SMITHFIELF FRESS MEATS</v>
      </c>
      <c r="C20" s="102" t="str">
        <f>PIERNA!C20</f>
        <v>Smithfield</v>
      </c>
      <c r="D20" s="148" t="str">
        <f>PIERNA!D20</f>
        <v>PED. 36685963</v>
      </c>
      <c r="E20" s="119">
        <f>PIERNA!E20</f>
        <v>43571</v>
      </c>
      <c r="F20" s="228">
        <f>PIERNA!F20</f>
        <v>19128.189999999999</v>
      </c>
      <c r="G20" s="145">
        <f>PIERNA!G20</f>
        <v>20</v>
      </c>
      <c r="H20" s="52">
        <f>PIERNA!H20</f>
        <v>18912.46</v>
      </c>
      <c r="I20" s="257">
        <f>PIERNA!I20</f>
        <v>215.72999999999956</v>
      </c>
      <c r="J20" s="534" t="s">
        <v>314</v>
      </c>
      <c r="K20" s="544">
        <v>111420</v>
      </c>
      <c r="L20" s="547" t="s">
        <v>330</v>
      </c>
      <c r="M20" s="544">
        <v>30160</v>
      </c>
      <c r="N20" s="545" t="s">
        <v>354</v>
      </c>
      <c r="O20" s="534">
        <v>9000861832</v>
      </c>
      <c r="P20" s="735">
        <v>4176</v>
      </c>
      <c r="Q20" s="538">
        <f>29302.18*18.93</f>
        <v>554690.26740000001</v>
      </c>
      <c r="R20" s="554" t="s">
        <v>331</v>
      </c>
      <c r="S20" s="83">
        <f t="shared" si="0"/>
        <v>700446.26740000001</v>
      </c>
      <c r="T20" s="83">
        <f t="shared" si="5"/>
        <v>37.136232589520354</v>
      </c>
      <c r="W20" s="97"/>
      <c r="X20" s="97"/>
      <c r="Y20" s="304"/>
      <c r="Z20" s="305">
        <v>5.0000000000000001E-3</v>
      </c>
      <c r="AA20" s="304">
        <f t="shared" si="2"/>
        <v>0</v>
      </c>
      <c r="AB20" s="304">
        <f t="shared" si="3"/>
        <v>0</v>
      </c>
      <c r="AC20" s="304">
        <f t="shared" si="4"/>
        <v>0</v>
      </c>
    </row>
    <row r="21" spans="1:29" s="237" customFormat="1" x14ac:dyDescent="0.25">
      <c r="A21" s="145">
        <v>18</v>
      </c>
      <c r="B21" s="237" t="str">
        <f>PIERNA!B21</f>
        <v>TYSON FRESH MEATS</v>
      </c>
      <c r="C21" s="237" t="str">
        <f>PIERNA!C21</f>
        <v xml:space="preserve">I B P </v>
      </c>
      <c r="D21" s="148" t="str">
        <f>PIERNA!D21</f>
        <v>PED. 36733328</v>
      </c>
      <c r="E21" s="119">
        <f>PIERNA!E21</f>
        <v>43572</v>
      </c>
      <c r="F21" s="228">
        <f>PIERNA!F21</f>
        <v>18776.14</v>
      </c>
      <c r="G21" s="145">
        <f>PIERNA!G21</f>
        <v>20</v>
      </c>
      <c r="H21" s="52">
        <f>PIERNA!H21</f>
        <v>18839.86</v>
      </c>
      <c r="I21" s="257">
        <f>PIERNA!I21</f>
        <v>-63.720000000001164</v>
      </c>
      <c r="J21" s="681" t="s">
        <v>315</v>
      </c>
      <c r="K21" s="679">
        <v>111544</v>
      </c>
      <c r="L21" s="680" t="s">
        <v>496</v>
      </c>
      <c r="M21" s="544">
        <v>30160</v>
      </c>
      <c r="N21" s="545" t="s">
        <v>331</v>
      </c>
      <c r="O21" s="541" t="s">
        <v>325</v>
      </c>
      <c r="P21" s="737">
        <v>4060</v>
      </c>
      <c r="Q21" s="538">
        <f>29427.55*18.96</f>
        <v>557946.348</v>
      </c>
      <c r="R21" s="554" t="s">
        <v>326</v>
      </c>
      <c r="S21" s="83">
        <f t="shared" si="0"/>
        <v>703710.348</v>
      </c>
      <c r="T21" s="83">
        <f t="shared" si="5"/>
        <v>37.452206863532957</v>
      </c>
      <c r="W21" s="97"/>
      <c r="X21" s="97"/>
      <c r="Y21" s="304"/>
      <c r="Z21" s="305">
        <v>5.0000000000000001E-3</v>
      </c>
      <c r="AA21" s="304">
        <f t="shared" si="2"/>
        <v>0</v>
      </c>
      <c r="AB21" s="304">
        <f t="shared" si="3"/>
        <v>0</v>
      </c>
      <c r="AC21" s="304">
        <f t="shared" si="4"/>
        <v>0</v>
      </c>
    </row>
    <row r="22" spans="1:29" s="237" customFormat="1" x14ac:dyDescent="0.25">
      <c r="A22" s="145">
        <v>19</v>
      </c>
      <c r="B22" s="237" t="str">
        <f>PIERNA!B22</f>
        <v>TYSON FRESH MEATS</v>
      </c>
      <c r="C22" s="237" t="str">
        <f>PIERNA!C22</f>
        <v xml:space="preserve">I B P </v>
      </c>
      <c r="D22" s="148" t="str">
        <f>PIERNA!D22</f>
        <v>PED. 36732990</v>
      </c>
      <c r="E22" s="119">
        <f>PIERNA!E22</f>
        <v>43572</v>
      </c>
      <c r="F22" s="228">
        <f>PIERNA!F22</f>
        <v>18459.349999999999</v>
      </c>
      <c r="G22" s="145">
        <f>PIERNA!G22</f>
        <v>20</v>
      </c>
      <c r="H22" s="52">
        <f>PIERNA!H22</f>
        <v>18488.330000000002</v>
      </c>
      <c r="I22" s="257">
        <f>PIERNA!I22</f>
        <v>-28.980000000003201</v>
      </c>
      <c r="J22" s="681" t="s">
        <v>316</v>
      </c>
      <c r="K22" s="679">
        <v>109686</v>
      </c>
      <c r="L22" s="680" t="s">
        <v>496</v>
      </c>
      <c r="M22" s="544">
        <v>30160</v>
      </c>
      <c r="N22" s="545" t="s">
        <v>340</v>
      </c>
      <c r="O22" s="548" t="s">
        <v>327</v>
      </c>
      <c r="P22" s="737">
        <v>4060</v>
      </c>
      <c r="Q22" s="538">
        <f>28878.46*18.969</f>
        <v>547795.50774000003</v>
      </c>
      <c r="R22" s="554" t="s">
        <v>326</v>
      </c>
      <c r="S22" s="83">
        <f t="shared" si="0"/>
        <v>691701.50774000003</v>
      </c>
      <c r="T22" s="83">
        <f t="shared" si="5"/>
        <v>37.512871132222323</v>
      </c>
      <c r="W22" s="97"/>
      <c r="X22" s="97"/>
      <c r="Y22" s="304"/>
      <c r="Z22" s="305">
        <v>5.0000000000000001E-3</v>
      </c>
      <c r="AA22" s="304">
        <f t="shared" si="2"/>
        <v>0</v>
      </c>
      <c r="AB22" s="304">
        <f t="shared" si="3"/>
        <v>0</v>
      </c>
      <c r="AC22" s="304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SMITHFIEDL FRESH MEATS</v>
      </c>
      <c r="C23" s="237" t="str">
        <f>PIERNA!C23</f>
        <v>PED. 36733783</v>
      </c>
      <c r="D23" s="148" t="str">
        <f>PIERNA!D23</f>
        <v>PED. 36733783</v>
      </c>
      <c r="E23" s="119">
        <f>PIERNA!E23</f>
        <v>43572</v>
      </c>
      <c r="F23" s="228">
        <f>PIERNA!F23</f>
        <v>19258.759999999998</v>
      </c>
      <c r="G23" s="145">
        <f>PIERNA!G23</f>
        <v>20</v>
      </c>
      <c r="H23" s="52">
        <f>PIERNA!H23</f>
        <v>19119.7</v>
      </c>
      <c r="I23" s="257">
        <f>PIERNA!I23</f>
        <v>139.05999999999767</v>
      </c>
      <c r="J23" s="681" t="s">
        <v>317</v>
      </c>
      <c r="K23" s="679">
        <v>112201</v>
      </c>
      <c r="L23" s="680" t="s">
        <v>496</v>
      </c>
      <c r="M23" s="544">
        <v>30160</v>
      </c>
      <c r="N23" s="545" t="s">
        <v>331</v>
      </c>
      <c r="O23" s="534">
        <v>9000862612</v>
      </c>
      <c r="P23" s="737">
        <v>4147</v>
      </c>
      <c r="Q23" s="538">
        <f>29646.21*18.943</f>
        <v>561588.15603000007</v>
      </c>
      <c r="R23" s="554" t="s">
        <v>331</v>
      </c>
      <c r="S23" s="83">
        <f t="shared" si="0"/>
        <v>708096.15603000007</v>
      </c>
      <c r="T23" s="83">
        <f t="shared" si="5"/>
        <v>37.134898875505371</v>
      </c>
      <c r="W23" s="97"/>
      <c r="X23" s="97"/>
      <c r="Y23" s="304"/>
      <c r="Z23" s="305">
        <v>5.0000000000000001E-3</v>
      </c>
      <c r="AA23" s="304">
        <f t="shared" ref="AA23:AA28" si="6">Y23*Z23</f>
        <v>0</v>
      </c>
      <c r="AB23" s="304">
        <f t="shared" ref="AB23:AB28" si="7">AA23*16%</f>
        <v>0</v>
      </c>
      <c r="AC23" s="304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SEBOARD FOODS</v>
      </c>
      <c r="C24" s="237" t="str">
        <f>PIERNA!C24</f>
        <v>Seaboard</v>
      </c>
      <c r="D24" s="147" t="str">
        <f>PIERNA!D24</f>
        <v>PED. 36790273</v>
      </c>
      <c r="E24" s="119">
        <f>PIERNA!E24</f>
        <v>43573</v>
      </c>
      <c r="F24" s="228">
        <f>PIERNA!F24</f>
        <v>18884.48</v>
      </c>
      <c r="G24" s="145">
        <f>PIERNA!G24</f>
        <v>21</v>
      </c>
      <c r="H24" s="52">
        <f>PIERNA!H24</f>
        <v>18944.2</v>
      </c>
      <c r="I24" s="257">
        <f>PIERNA!I24</f>
        <v>-59.720000000001164</v>
      </c>
      <c r="J24" s="681" t="s">
        <v>320</v>
      </c>
      <c r="K24" s="679">
        <v>113247</v>
      </c>
      <c r="L24" s="680" t="s">
        <v>496</v>
      </c>
      <c r="M24" s="544">
        <v>30160</v>
      </c>
      <c r="N24" s="545" t="s">
        <v>355</v>
      </c>
      <c r="O24" s="534">
        <v>1604239</v>
      </c>
      <c r="P24" s="737">
        <v>4176</v>
      </c>
      <c r="Q24" s="538">
        <f>29786.8*18.955</f>
        <v>564608.79399999988</v>
      </c>
      <c r="R24" s="554" t="s">
        <v>328</v>
      </c>
      <c r="S24" s="83">
        <f t="shared" si="0"/>
        <v>712191.79399999988</v>
      </c>
      <c r="T24" s="83">
        <f t="shared" si="5"/>
        <v>37.694186822351952</v>
      </c>
      <c r="W24" s="97"/>
      <c r="X24" s="97"/>
      <c r="Y24" s="304"/>
      <c r="Z24" s="305">
        <v>5.0000000000000001E-3</v>
      </c>
      <c r="AA24" s="304">
        <f t="shared" si="6"/>
        <v>0</v>
      </c>
      <c r="AB24" s="304">
        <f t="shared" si="7"/>
        <v>0</v>
      </c>
      <c r="AC24" s="304">
        <f t="shared" si="8"/>
        <v>0</v>
      </c>
    </row>
    <row r="25" spans="1:29" s="237" customFormat="1" x14ac:dyDescent="0.25">
      <c r="A25" s="145">
        <v>22</v>
      </c>
      <c r="B25" s="237" t="str">
        <f>PIERNA!GR5</f>
        <v>SEABOARD FOODS</v>
      </c>
      <c r="C25" s="83" t="str">
        <f>PIERNA!GS5</f>
        <v>Seaboard</v>
      </c>
      <c r="D25" s="147" t="str">
        <f>PIERNA!GT5</f>
        <v>PED. 36823128</v>
      </c>
      <c r="E25" s="119">
        <f>PIERNA!E25</f>
        <v>43575</v>
      </c>
      <c r="F25" s="228">
        <f>PIERNA!GV5</f>
        <v>19149.689999999999</v>
      </c>
      <c r="G25" s="145">
        <f>PIERNA!GW5</f>
        <v>21</v>
      </c>
      <c r="H25" s="52">
        <f>PIERNA!GX5</f>
        <v>19225.900000000001</v>
      </c>
      <c r="I25" s="257">
        <f>PIERNA!I25</f>
        <v>-76.210000000002765</v>
      </c>
      <c r="J25" s="681" t="s">
        <v>322</v>
      </c>
      <c r="K25" s="679">
        <v>119848</v>
      </c>
      <c r="L25" s="680" t="s">
        <v>496</v>
      </c>
      <c r="M25" s="544">
        <v>30160</v>
      </c>
      <c r="N25" s="554" t="s">
        <v>355</v>
      </c>
      <c r="O25" s="534">
        <v>1605005</v>
      </c>
      <c r="P25" s="737">
        <v>4292</v>
      </c>
      <c r="Q25" s="538">
        <f>31119.8*18.873</f>
        <v>587323.98540000001</v>
      </c>
      <c r="R25" s="554" t="s">
        <v>329</v>
      </c>
      <c r="S25" s="83">
        <f t="shared" si="0"/>
        <v>741623.98540000001</v>
      </c>
      <c r="T25" s="83">
        <f t="shared" si="5"/>
        <v>38.6742142318435</v>
      </c>
      <c r="W25" s="97"/>
      <c r="X25" s="97"/>
      <c r="Y25" s="304"/>
      <c r="Z25" s="305">
        <v>5.0000000000000001E-3</v>
      </c>
      <c r="AA25" s="304">
        <f t="shared" si="6"/>
        <v>0</v>
      </c>
      <c r="AB25" s="304">
        <f t="shared" si="7"/>
        <v>0</v>
      </c>
      <c r="AC25" s="304">
        <f t="shared" si="8"/>
        <v>0</v>
      </c>
    </row>
    <row r="26" spans="1:29" s="237" customFormat="1" x14ac:dyDescent="0.25">
      <c r="A26" s="145">
        <v>23</v>
      </c>
      <c r="B26" s="237" t="str">
        <f>PIERNA!HA5</f>
        <v>SMITHFIELD FRESH MEATS</v>
      </c>
      <c r="C26" s="237" t="str">
        <f>PIERNA!HB5</f>
        <v>Smithfield</v>
      </c>
      <c r="D26" s="147" t="str">
        <f>PIERNA!HC5</f>
        <v>PED. 36899372</v>
      </c>
      <c r="E26" s="119">
        <f>PIERNA!HD5</f>
        <v>43578</v>
      </c>
      <c r="F26" s="228">
        <f>PIERNA!HE5</f>
        <v>19822.310000000001</v>
      </c>
      <c r="G26" s="260">
        <f>PIERNA!HF5</f>
        <v>20</v>
      </c>
      <c r="H26" s="52">
        <f>PIERNA!HG5</f>
        <v>19575.599999999999</v>
      </c>
      <c r="I26" s="154">
        <f>PIERNA!I26</f>
        <v>246.71000000000276</v>
      </c>
      <c r="J26" s="534" t="s">
        <v>344</v>
      </c>
      <c r="K26" s="544">
        <v>128972</v>
      </c>
      <c r="L26" s="547" t="s">
        <v>348</v>
      </c>
      <c r="M26" s="544">
        <v>30160</v>
      </c>
      <c r="N26" s="554" t="s">
        <v>356</v>
      </c>
      <c r="O26" s="534">
        <v>9000874734</v>
      </c>
      <c r="P26" s="737">
        <v>4698</v>
      </c>
      <c r="Q26" s="538">
        <f>33887.27*18.863</f>
        <v>639215.57400999998</v>
      </c>
      <c r="R26" s="554" t="s">
        <v>349</v>
      </c>
      <c r="S26" s="83">
        <f t="shared" si="0"/>
        <v>803045.57400999998</v>
      </c>
      <c r="T26" s="83">
        <f t="shared" si="5"/>
        <v>41.122782137456838</v>
      </c>
      <c r="W26" s="97"/>
      <c r="X26" s="97"/>
      <c r="Y26" s="304"/>
      <c r="Z26" s="305">
        <v>5.0000000000000001E-3</v>
      </c>
      <c r="AA26" s="304">
        <f t="shared" si="6"/>
        <v>0</v>
      </c>
      <c r="AB26" s="304">
        <f t="shared" si="7"/>
        <v>0</v>
      </c>
      <c r="AC26" s="304">
        <f t="shared" si="8"/>
        <v>0</v>
      </c>
    </row>
    <row r="27" spans="1:29" s="237" customFormat="1" x14ac:dyDescent="0.25">
      <c r="A27" s="145">
        <v>24</v>
      </c>
      <c r="B27" s="102" t="str">
        <f>PIERNA!HJ5</f>
        <v>IDEAL TRADING FOODS</v>
      </c>
      <c r="C27" s="237" t="str">
        <f>PIERNA!HK5</f>
        <v>SIOUX</v>
      </c>
      <c r="D27" s="147" t="str">
        <f>PIERNA!HL5</f>
        <v>PED. 36900243</v>
      </c>
      <c r="E27" s="119">
        <f>PIERNA!HM5</f>
        <v>43578</v>
      </c>
      <c r="F27" s="228">
        <f>PIERNA!HN5</f>
        <v>18707.669999999998</v>
      </c>
      <c r="G27" s="260">
        <f>PIERNA!HO5</f>
        <v>21</v>
      </c>
      <c r="H27" s="52">
        <f>PIERNA!HP5</f>
        <v>18718</v>
      </c>
      <c r="I27" s="257">
        <f>PIERNA!I27</f>
        <v>-10.330000000001746</v>
      </c>
      <c r="J27" s="534" t="s">
        <v>345</v>
      </c>
      <c r="K27" s="544">
        <v>124604</v>
      </c>
      <c r="L27" s="547" t="s">
        <v>348</v>
      </c>
      <c r="M27" s="544">
        <v>30160</v>
      </c>
      <c r="N27" s="554" t="s">
        <v>356</v>
      </c>
      <c r="O27" s="534">
        <v>202355</v>
      </c>
      <c r="P27" s="737">
        <v>4582</v>
      </c>
      <c r="Q27" s="538">
        <f>32601.9*18.975</f>
        <v>618621.05250000011</v>
      </c>
      <c r="R27" s="555" t="s">
        <v>350</v>
      </c>
      <c r="S27" s="83">
        <f t="shared" si="0"/>
        <v>777967.05250000011</v>
      </c>
      <c r="T27" s="83">
        <f t="shared" si="5"/>
        <v>41.662509482850737</v>
      </c>
      <c r="W27" s="97"/>
      <c r="Y27" s="304"/>
      <c r="Z27" s="305">
        <v>5.0000000000000001E-3</v>
      </c>
      <c r="AA27" s="304">
        <f t="shared" si="6"/>
        <v>0</v>
      </c>
      <c r="AB27" s="304">
        <f t="shared" si="7"/>
        <v>0</v>
      </c>
      <c r="AC27" s="304">
        <f t="shared" si="8"/>
        <v>0</v>
      </c>
    </row>
    <row r="28" spans="1:29" s="237" customFormat="1" x14ac:dyDescent="0.25">
      <c r="A28" s="145">
        <v>25</v>
      </c>
      <c r="B28" s="237" t="str">
        <f>PIERNA!HS5</f>
        <v>SMITHFIELD FRESH MEATS</v>
      </c>
      <c r="C28" s="237" t="str">
        <f>PIERNA!HT5</f>
        <v>Smithfield</v>
      </c>
      <c r="D28" s="147" t="str">
        <f>PIERNA!HU5</f>
        <v>PED. 36899371</v>
      </c>
      <c r="E28" s="119">
        <f>PIERNA!HV5</f>
        <v>43579</v>
      </c>
      <c r="F28" s="228">
        <f>PIERNA!HW5</f>
        <v>19048.96</v>
      </c>
      <c r="G28" s="260">
        <f>PIERNA!HX5</f>
        <v>20</v>
      </c>
      <c r="H28" s="52">
        <f>PIERNA!HY5</f>
        <v>19034.03</v>
      </c>
      <c r="I28" s="257">
        <f>PIERNA!I28</f>
        <v>14.930000000000291</v>
      </c>
      <c r="J28" s="534" t="s">
        <v>347</v>
      </c>
      <c r="K28" s="542">
        <v>119900</v>
      </c>
      <c r="L28" s="547" t="s">
        <v>348</v>
      </c>
      <c r="M28" s="544">
        <v>30160</v>
      </c>
      <c r="N28" s="554" t="s">
        <v>482</v>
      </c>
      <c r="O28" s="534">
        <v>9000875402</v>
      </c>
      <c r="P28" s="737">
        <v>4437</v>
      </c>
      <c r="Q28" s="538">
        <f>34410.35*19.1</f>
        <v>657237.68500000006</v>
      </c>
      <c r="R28" s="555" t="s">
        <v>350</v>
      </c>
      <c r="S28" s="83">
        <f t="shared" si="0"/>
        <v>811734.68500000006</v>
      </c>
      <c r="T28" s="83">
        <f t="shared" si="5"/>
        <v>42.746496038936584</v>
      </c>
      <c r="W28" s="97"/>
      <c r="X28" s="97"/>
      <c r="Y28" s="304"/>
      <c r="Z28" s="305">
        <v>0</v>
      </c>
      <c r="AA28" s="304">
        <f t="shared" si="6"/>
        <v>0</v>
      </c>
      <c r="AB28" s="304">
        <f t="shared" si="7"/>
        <v>0</v>
      </c>
      <c r="AC28" s="304">
        <f t="shared" si="8"/>
        <v>0</v>
      </c>
    </row>
    <row r="29" spans="1:29" s="237" customFormat="1" x14ac:dyDescent="0.25">
      <c r="A29" s="145">
        <v>26</v>
      </c>
      <c r="B29" s="237" t="str">
        <f>PIERNA!IB5</f>
        <v>TYSON FRESH MEATS</v>
      </c>
      <c r="C29" s="237" t="str">
        <f>PIERNA!IC5</f>
        <v xml:space="preserve">I B P </v>
      </c>
      <c r="D29" s="147" t="str">
        <f>PIERNA!ID5</f>
        <v>PED. 36937313</v>
      </c>
      <c r="E29" s="119">
        <f>PIERNA!IE5</f>
        <v>43579</v>
      </c>
      <c r="F29" s="228">
        <f>PIERNA!IF5</f>
        <v>18601.240000000002</v>
      </c>
      <c r="G29" s="260">
        <f>PIERNA!IG5</f>
        <v>20</v>
      </c>
      <c r="H29" s="52">
        <f>PIERNA!IH5</f>
        <v>18635.3</v>
      </c>
      <c r="I29" s="257">
        <f>PIERNA!II5</f>
        <v>-34.059999999997672</v>
      </c>
      <c r="J29" s="534" t="s">
        <v>471</v>
      </c>
      <c r="K29" s="544">
        <v>123500</v>
      </c>
      <c r="L29" s="547" t="s">
        <v>480</v>
      </c>
      <c r="M29" s="544">
        <v>30160</v>
      </c>
      <c r="N29" s="554" t="s">
        <v>483</v>
      </c>
      <c r="O29" s="534" t="s">
        <v>478</v>
      </c>
      <c r="P29" s="737">
        <v>4495</v>
      </c>
      <c r="Q29" s="538">
        <f>32460.47*18.88</f>
        <v>612853.67359999998</v>
      </c>
      <c r="R29" s="555" t="s">
        <v>479</v>
      </c>
      <c r="S29" s="83">
        <f t="shared" si="0"/>
        <v>771008.67359999998</v>
      </c>
      <c r="T29" s="83">
        <f t="shared" si="5"/>
        <v>41.473558440164638</v>
      </c>
      <c r="W29" s="97"/>
      <c r="X29" s="97"/>
      <c r="Y29" s="304"/>
      <c r="Z29" s="305"/>
      <c r="AA29" s="304"/>
      <c r="AB29" s="304"/>
      <c r="AC29" s="304">
        <f>SUM(AC7:AC28)</f>
        <v>0</v>
      </c>
    </row>
    <row r="30" spans="1:29" s="237" customFormat="1" x14ac:dyDescent="0.25">
      <c r="A30" s="145">
        <v>27</v>
      </c>
      <c r="B30" s="237" t="str">
        <f>PIERNA!IK5</f>
        <v>SEABOARD FOODS</v>
      </c>
      <c r="C30" s="237" t="str">
        <f>PIERNA!IL5</f>
        <v>Seaboard</v>
      </c>
      <c r="D30" s="147" t="str">
        <f>PIERNA!IM5</f>
        <v xml:space="preserve">PED. </v>
      </c>
      <c r="E30" s="119">
        <f>PIERNA!IN5</f>
        <v>43580</v>
      </c>
      <c r="F30" s="228">
        <f>PIERNA!IO5</f>
        <v>18740.900000000001</v>
      </c>
      <c r="G30" s="260">
        <f>PIERNA!IP5</f>
        <v>21</v>
      </c>
      <c r="H30" s="52">
        <f>PIERNA!IQ5</f>
        <v>18785.900000000001</v>
      </c>
      <c r="I30" s="257">
        <f>PIERNA!IR5</f>
        <v>-45</v>
      </c>
      <c r="J30" s="534" t="s">
        <v>472</v>
      </c>
      <c r="K30" s="542">
        <v>122847</v>
      </c>
      <c r="L30" s="547" t="s">
        <v>481</v>
      </c>
      <c r="M30" s="544">
        <v>30160</v>
      </c>
      <c r="N30" s="554" t="s">
        <v>483</v>
      </c>
      <c r="O30" s="534">
        <v>1606986</v>
      </c>
      <c r="P30" s="737">
        <v>4495</v>
      </c>
      <c r="Q30" s="538">
        <f>32329.33*18.953</f>
        <v>612737.79148999997</v>
      </c>
      <c r="R30" s="555" t="s">
        <v>331</v>
      </c>
      <c r="S30" s="83">
        <f>Q30+M30+K30+P30</f>
        <v>770239.79148999997</v>
      </c>
      <c r="T30" s="83">
        <f t="shared" si="5"/>
        <v>41.100952389291969</v>
      </c>
      <c r="W30" s="97"/>
      <c r="X30" s="97"/>
      <c r="Y30" s="304"/>
      <c r="Z30" s="305"/>
      <c r="AA30" s="304"/>
      <c r="AB30" s="304"/>
      <c r="AC30" s="304"/>
    </row>
    <row r="31" spans="1:29" s="237" customFormat="1" x14ac:dyDescent="0.25">
      <c r="A31" s="145">
        <v>28</v>
      </c>
      <c r="B31" s="237" t="str">
        <f>PIERNA!IT5</f>
        <v>TYSON FRESH MEATS</v>
      </c>
      <c r="C31" s="238" t="str">
        <f>PIERNA!IU5</f>
        <v xml:space="preserve">I B P </v>
      </c>
      <c r="D31" s="147" t="str">
        <f>PIERNA!IV5</f>
        <v>PED. 37060440</v>
      </c>
      <c r="E31" s="119">
        <f>PIERNA!IW5</f>
        <v>43581</v>
      </c>
      <c r="F31" s="228">
        <f>PIERNA!IX5</f>
        <v>18629.64</v>
      </c>
      <c r="G31" s="260">
        <f>PIERNA!IY5</f>
        <v>20</v>
      </c>
      <c r="H31" s="52">
        <f>PIERNA!IZ5</f>
        <v>18684.009999999998</v>
      </c>
      <c r="I31" s="257">
        <f>PIERNA!JA5</f>
        <v>-54.369999999998981</v>
      </c>
      <c r="J31" s="534" t="s">
        <v>488</v>
      </c>
      <c r="K31" s="544">
        <v>128926</v>
      </c>
      <c r="L31" s="547" t="s">
        <v>493</v>
      </c>
      <c r="M31" s="544">
        <v>30160</v>
      </c>
      <c r="N31" s="554" t="s">
        <v>495</v>
      </c>
      <c r="O31" s="534" t="s">
        <v>492</v>
      </c>
      <c r="P31" s="737">
        <v>4698</v>
      </c>
      <c r="Q31" s="538">
        <f>33727.19*18.88</f>
        <v>636769.34719999996</v>
      </c>
      <c r="R31" s="555" t="s">
        <v>479</v>
      </c>
      <c r="S31" s="83">
        <f t="shared" si="0"/>
        <v>800553.34719999996</v>
      </c>
      <c r="T31" s="83">
        <f t="shared" si="5"/>
        <v>42.94697702473934</v>
      </c>
      <c r="W31" s="97"/>
      <c r="X31" s="97"/>
      <c r="Y31" s="304"/>
      <c r="Z31" s="305"/>
      <c r="AA31" s="304"/>
      <c r="AB31" s="304"/>
      <c r="AC31" s="304"/>
    </row>
    <row r="32" spans="1:29" s="237" customFormat="1" x14ac:dyDescent="0.25">
      <c r="A32" s="145">
        <v>29</v>
      </c>
      <c r="B32" s="237" t="str">
        <f>PIERNA!JC5</f>
        <v>SEABOARD FOODS</v>
      </c>
      <c r="C32" s="237" t="str">
        <f>PIERNA!JD5</f>
        <v>Seaboard</v>
      </c>
      <c r="D32" s="147" t="str">
        <f>PIERNA!JE5</f>
        <v>PED. 37103526</v>
      </c>
      <c r="E32" s="119">
        <f>PIERNA!JF5</f>
        <v>43582</v>
      </c>
      <c r="F32" s="228">
        <f>PIERNA!JG5</f>
        <v>19112.900000000001</v>
      </c>
      <c r="G32" s="260">
        <f>PIERNA!JH5</f>
        <v>21</v>
      </c>
      <c r="H32" s="52">
        <f>PIERNA!JI5</f>
        <v>19080.3</v>
      </c>
      <c r="I32" s="257">
        <f>PIERNA!JJ5</f>
        <v>32.600000000002183</v>
      </c>
      <c r="J32" s="534" t="s">
        <v>489</v>
      </c>
      <c r="K32" s="544">
        <v>134214</v>
      </c>
      <c r="L32" s="547" t="s">
        <v>474</v>
      </c>
      <c r="M32" s="544">
        <v>30160</v>
      </c>
      <c r="N32" s="554" t="s">
        <v>497</v>
      </c>
      <c r="O32" s="534">
        <v>1607819</v>
      </c>
      <c r="P32" s="737">
        <v>4854.6000000000004</v>
      </c>
      <c r="Q32" s="538">
        <f>35103.24*18.863</f>
        <v>662152.41611999995</v>
      </c>
      <c r="R32" s="555" t="s">
        <v>349</v>
      </c>
      <c r="S32" s="83">
        <f>Q32+M32+K32+P32</f>
        <v>831381.01611999993</v>
      </c>
      <c r="T32" s="83">
        <f t="shared" si="5"/>
        <v>43.672743411791217</v>
      </c>
      <c r="W32" s="97"/>
      <c r="X32" s="97"/>
      <c r="Y32" s="304"/>
      <c r="Z32" s="305"/>
      <c r="AA32" s="304"/>
      <c r="AB32" s="304"/>
      <c r="AC32" s="304"/>
    </row>
    <row r="33" spans="1:29" s="237" customFormat="1" x14ac:dyDescent="0.25">
      <c r="A33" s="145">
        <v>30</v>
      </c>
      <c r="B33" s="425" t="str">
        <f>PIERNA!JL5</f>
        <v>SIOUXPREME PACKING</v>
      </c>
      <c r="C33" s="237" t="str">
        <f>PIERNA!JM5</f>
        <v>SIOUX</v>
      </c>
      <c r="D33" s="147" t="str">
        <f>PIERNA!JN5</f>
        <v>PED. 37172460</v>
      </c>
      <c r="E33" s="119">
        <f>PIERNA!JO5</f>
        <v>43585</v>
      </c>
      <c r="F33" s="228">
        <f>PIERNA!JP5</f>
        <v>18803.47</v>
      </c>
      <c r="G33" s="260">
        <f>PIERNA!JQ5</f>
        <v>21</v>
      </c>
      <c r="H33" s="52">
        <f>PIERNA!JR5</f>
        <v>18859</v>
      </c>
      <c r="I33" s="257">
        <f>PIERNA!JS5</f>
        <v>-55.529999999998836</v>
      </c>
      <c r="J33" s="534" t="s">
        <v>490</v>
      </c>
      <c r="K33" s="542">
        <v>140200</v>
      </c>
      <c r="L33" s="547" t="s">
        <v>494</v>
      </c>
      <c r="M33" s="544">
        <v>30160</v>
      </c>
      <c r="N33" s="554" t="s">
        <v>496</v>
      </c>
      <c r="O33" s="534">
        <v>202360</v>
      </c>
      <c r="P33" s="737">
        <v>5046</v>
      </c>
      <c r="Q33" s="538">
        <f>35642.25*19.045</f>
        <v>678806.65125000011</v>
      </c>
      <c r="R33" s="555" t="s">
        <v>477</v>
      </c>
      <c r="S33" s="83">
        <f>Q33+M33+K33+P33</f>
        <v>854212.65125000011</v>
      </c>
      <c r="T33" s="83">
        <f t="shared" si="5"/>
        <v>45.394694906940991</v>
      </c>
      <c r="W33" s="97"/>
      <c r="X33" s="97"/>
      <c r="Y33" s="304"/>
      <c r="Z33" s="305"/>
      <c r="AA33" s="304"/>
      <c r="AB33" s="304"/>
      <c r="AC33" s="304"/>
    </row>
    <row r="34" spans="1:29" s="237" customFormat="1" x14ac:dyDescent="0.25">
      <c r="A34" s="145">
        <v>31</v>
      </c>
      <c r="B34" s="102" t="str">
        <f>PIERNA!B34</f>
        <v>SMITHFIELD FRESH MEATS</v>
      </c>
      <c r="C34" s="261" t="str">
        <f>PIERNA!C34</f>
        <v>Smithfield</v>
      </c>
      <c r="D34" s="147" t="str">
        <f>PIERNA!D34</f>
        <v>PED. 37172720</v>
      </c>
      <c r="E34" s="119">
        <f>PIERNA!E34</f>
        <v>43585</v>
      </c>
      <c r="F34" s="228">
        <f>PIERNA!F34</f>
        <v>19018.18</v>
      </c>
      <c r="G34" s="260">
        <f>PIERNA!G34</f>
        <v>20</v>
      </c>
      <c r="H34" s="52">
        <f>PIERNA!H34</f>
        <v>19029.490000000002</v>
      </c>
      <c r="I34" s="257">
        <f>F34-H34</f>
        <v>-11.31000000000131</v>
      </c>
      <c r="J34" s="534" t="s">
        <v>491</v>
      </c>
      <c r="K34" s="544">
        <v>138248</v>
      </c>
      <c r="L34" s="547" t="s">
        <v>494</v>
      </c>
      <c r="M34" s="544">
        <v>30160</v>
      </c>
      <c r="N34" s="554" t="s">
        <v>496</v>
      </c>
      <c r="O34" s="534">
        <v>9000885922</v>
      </c>
      <c r="P34" s="737">
        <v>4959</v>
      </c>
      <c r="Q34" s="544">
        <f>35477.18*18.989</f>
        <v>673676.17102000001</v>
      </c>
      <c r="R34" s="555" t="s">
        <v>494</v>
      </c>
      <c r="S34" s="83">
        <f>Q34+M34+K34+P34</f>
        <v>847043.17102000001</v>
      </c>
      <c r="T34" s="83">
        <f t="shared" si="5"/>
        <v>44.612132012996668</v>
      </c>
      <c r="W34" s="97"/>
      <c r="X34" s="97"/>
      <c r="Y34" s="304"/>
      <c r="Z34" s="305"/>
      <c r="AA34" s="304"/>
      <c r="AB34" s="304"/>
      <c r="AC34" s="304"/>
    </row>
    <row r="35" spans="1:29" s="237" customFormat="1" x14ac:dyDescent="0.25">
      <c r="A35" s="145">
        <v>32</v>
      </c>
      <c r="B35" s="237" t="str">
        <f>PIERNA!B35</f>
        <v>TYSON FRESH MEATS</v>
      </c>
      <c r="C35" s="261" t="str">
        <f>PIERNA!C35</f>
        <v xml:space="preserve">I B P </v>
      </c>
      <c r="D35" s="147" t="str">
        <f>PIERNA!D35</f>
        <v>PED. 37233205</v>
      </c>
      <c r="E35" s="723">
        <f>PIERNA!E35</f>
        <v>43586</v>
      </c>
      <c r="F35" s="725">
        <f>PIERNA!F35</f>
        <v>18797.689999999999</v>
      </c>
      <c r="G35" s="80">
        <f>PIERNA!G35</f>
        <v>20</v>
      </c>
      <c r="H35" s="724">
        <f>PIERNA!H35</f>
        <v>18801.759999999998</v>
      </c>
      <c r="I35" s="116">
        <f>PIERNA!I35</f>
        <v>-4.069999999999709</v>
      </c>
      <c r="J35" s="730" t="s">
        <v>530</v>
      </c>
      <c r="K35" s="687">
        <v>136608</v>
      </c>
      <c r="L35" s="692" t="s">
        <v>477</v>
      </c>
      <c r="M35" s="726">
        <v>30160</v>
      </c>
      <c r="N35" s="729" t="s">
        <v>564</v>
      </c>
      <c r="O35" s="534" t="s">
        <v>535</v>
      </c>
      <c r="P35" s="737">
        <v>4872</v>
      </c>
      <c r="Q35" s="687">
        <f>35535.95*18.986</f>
        <v>674685.54669999995</v>
      </c>
      <c r="R35" s="688" t="s">
        <v>536</v>
      </c>
      <c r="S35" s="83">
        <f>Q35+M35+K35</f>
        <v>841453.54669999995</v>
      </c>
      <c r="T35" s="83">
        <f t="shared" si="5"/>
        <v>44.853977643582304</v>
      </c>
      <c r="W35" s="97"/>
      <c r="X35" s="97"/>
      <c r="Y35" s="304"/>
      <c r="Z35" s="305"/>
      <c r="AA35" s="304"/>
      <c r="AB35" s="304"/>
      <c r="AC35" s="304"/>
    </row>
    <row r="36" spans="1:29" s="237" customFormat="1" x14ac:dyDescent="0.25">
      <c r="A36" s="145">
        <v>33</v>
      </c>
      <c r="B36" s="237" t="str">
        <f>PIERNA!B36</f>
        <v>SMITHFIELD FRESH MEATS</v>
      </c>
      <c r="C36" s="261" t="str">
        <f>PIERNA!C36</f>
        <v>Smithfield</v>
      </c>
      <c r="D36" s="147" t="str">
        <f>PIERNA!D36</f>
        <v>PED. 37232224</v>
      </c>
      <c r="E36" s="723">
        <f>PIERNA!E36</f>
        <v>43586</v>
      </c>
      <c r="F36" s="725">
        <f>PIERNA!F36</f>
        <v>18997.64</v>
      </c>
      <c r="G36" s="80">
        <f>PIERNA!G36</f>
        <v>20</v>
      </c>
      <c r="H36" s="724">
        <f>PIERNA!H36</f>
        <v>18905.439999999999</v>
      </c>
      <c r="I36" s="116">
        <f>PIERNA!I36</f>
        <v>92.200000000000728</v>
      </c>
      <c r="J36" s="730" t="s">
        <v>531</v>
      </c>
      <c r="K36" s="687">
        <v>130657</v>
      </c>
      <c r="L36" s="692" t="s">
        <v>477</v>
      </c>
      <c r="M36" s="726">
        <v>30160</v>
      </c>
      <c r="N36" s="728" t="s">
        <v>564</v>
      </c>
      <c r="O36" s="534">
        <v>6000892743</v>
      </c>
      <c r="P36" s="737">
        <v>4773.3999999999996</v>
      </c>
      <c r="Q36" s="687">
        <f>34245.46*19.045</f>
        <v>652204.78570000001</v>
      </c>
      <c r="R36" s="688" t="s">
        <v>477</v>
      </c>
      <c r="S36" s="83">
        <f t="shared" ref="S36:S39" si="9">Q36+M36+K36</f>
        <v>813021.78570000001</v>
      </c>
      <c r="T36" s="83">
        <f t="shared" si="5"/>
        <v>43.104647641102247</v>
      </c>
      <c r="W36" s="97"/>
      <c r="X36" s="97"/>
      <c r="Y36" s="304"/>
      <c r="Z36" s="305"/>
      <c r="AA36" s="304"/>
      <c r="AB36" s="304"/>
      <c r="AC36" s="304"/>
    </row>
    <row r="37" spans="1:29" s="237" customFormat="1" x14ac:dyDescent="0.25">
      <c r="A37" s="145">
        <v>34</v>
      </c>
      <c r="B37" s="237" t="str">
        <f>PIERNA!B37</f>
        <v>TYSON FRESH MEATS</v>
      </c>
      <c r="C37" s="261" t="str">
        <f>PIERNA!C37</f>
        <v xml:space="preserve">I B P </v>
      </c>
      <c r="D37" s="148" t="str">
        <f>PIERNA!D37</f>
        <v>PED. 37305463</v>
      </c>
      <c r="E37" s="723">
        <f>PIERNA!E37</f>
        <v>43588</v>
      </c>
      <c r="F37" s="725">
        <f>PIERNA!F37</f>
        <v>18620.16</v>
      </c>
      <c r="G37" s="80">
        <f>PIERNA!G37</f>
        <v>20</v>
      </c>
      <c r="H37" s="724">
        <f>PIERNA!H37</f>
        <v>18638.53</v>
      </c>
      <c r="I37" s="116">
        <f>PIERNA!I37</f>
        <v>-18.369999999998981</v>
      </c>
      <c r="J37" s="730" t="s">
        <v>532</v>
      </c>
      <c r="K37" s="726">
        <v>127336</v>
      </c>
      <c r="L37" s="727" t="s">
        <v>564</v>
      </c>
      <c r="M37" s="726">
        <v>30160</v>
      </c>
      <c r="N37" s="728" t="s">
        <v>562</v>
      </c>
      <c r="O37" s="534" t="s">
        <v>537</v>
      </c>
      <c r="P37" s="736">
        <v>4669</v>
      </c>
      <c r="Q37" s="687">
        <f>33213.86*19.115</f>
        <v>634882.93389999995</v>
      </c>
      <c r="R37" s="689" t="s">
        <v>493</v>
      </c>
      <c r="S37" s="83">
        <f t="shared" si="9"/>
        <v>792378.93389999995</v>
      </c>
      <c r="T37" s="83">
        <f t="shared" si="5"/>
        <v>42.612952142685074</v>
      </c>
      <c r="W37" s="97"/>
      <c r="X37" s="97"/>
      <c r="Y37" s="304"/>
      <c r="Z37" s="305"/>
      <c r="AA37" s="304"/>
      <c r="AB37" s="304"/>
      <c r="AC37" s="304"/>
    </row>
    <row r="38" spans="1:29" s="237" customFormat="1" x14ac:dyDescent="0.25">
      <c r="A38" s="145">
        <v>35</v>
      </c>
      <c r="B38" s="237" t="str">
        <f>PIERNA!B38</f>
        <v>SEABOARD FOODS</v>
      </c>
      <c r="C38" s="261" t="str">
        <f>PIERNA!C38</f>
        <v>Seaboard</v>
      </c>
      <c r="D38" s="187" t="str">
        <f>PIERNA!D38</f>
        <v>PED. 37308596</v>
      </c>
      <c r="E38" s="723">
        <f>PIERNA!E38</f>
        <v>43588</v>
      </c>
      <c r="F38" s="422">
        <f>PIERNA!F38</f>
        <v>19368.849999999999</v>
      </c>
      <c r="G38" s="80">
        <f>PIERNA!G38</f>
        <v>21</v>
      </c>
      <c r="H38" s="422">
        <f>PIERNA!H38</f>
        <v>19454.86</v>
      </c>
      <c r="I38" s="116">
        <f>PIERNA!I38</f>
        <v>-86.010000000002037</v>
      </c>
      <c r="J38" s="730" t="s">
        <v>533</v>
      </c>
      <c r="K38" s="726">
        <v>133205</v>
      </c>
      <c r="L38" s="727" t="s">
        <v>564</v>
      </c>
      <c r="M38" s="726">
        <v>30160</v>
      </c>
      <c r="N38" s="728" t="s">
        <v>562</v>
      </c>
      <c r="O38" s="534">
        <v>1610137</v>
      </c>
      <c r="P38" s="736">
        <v>4959</v>
      </c>
      <c r="Q38" s="687">
        <f>34883.25*19.115</f>
        <v>666793.32374999998</v>
      </c>
      <c r="R38" s="690" t="s">
        <v>350</v>
      </c>
      <c r="S38" s="83">
        <f t="shared" si="9"/>
        <v>830158.32374999998</v>
      </c>
      <c r="T38" s="83">
        <f t="shared" si="5"/>
        <v>42.770999624258408</v>
      </c>
      <c r="W38" s="97"/>
      <c r="X38" s="97"/>
      <c r="Y38" s="304"/>
      <c r="Z38" s="305"/>
      <c r="AA38" s="304"/>
      <c r="AB38" s="304"/>
      <c r="AC38" s="304"/>
    </row>
    <row r="39" spans="1:29" s="237" customFormat="1" x14ac:dyDescent="0.25">
      <c r="A39" s="145">
        <v>36</v>
      </c>
      <c r="B39" s="237" t="str">
        <f>PIERNA!B39</f>
        <v>SEABOARD FOODS</v>
      </c>
      <c r="C39" s="261" t="str">
        <f>PIERNA!C39</f>
        <v>Seaboard</v>
      </c>
      <c r="D39" s="187" t="str">
        <f>PIERNA!D39</f>
        <v>PED. 37363911</v>
      </c>
      <c r="E39" s="723">
        <f>PIERNA!E39</f>
        <v>43589</v>
      </c>
      <c r="F39" s="422">
        <f>PIERNA!F39</f>
        <v>19313.009999999998</v>
      </c>
      <c r="G39" s="80">
        <f>PIERNA!G39</f>
        <v>21</v>
      </c>
      <c r="H39" s="422">
        <f>PIERNA!H39</f>
        <v>19371.8</v>
      </c>
      <c r="I39" s="116">
        <f>PIERNA!I39</f>
        <v>-58.790000000000873</v>
      </c>
      <c r="J39" s="730" t="s">
        <v>534</v>
      </c>
      <c r="K39" s="726">
        <v>133649</v>
      </c>
      <c r="L39" s="727" t="s">
        <v>562</v>
      </c>
      <c r="M39" s="726">
        <v>30160</v>
      </c>
      <c r="N39" s="728" t="s">
        <v>563</v>
      </c>
      <c r="O39" s="534">
        <v>1610537</v>
      </c>
      <c r="P39" s="736">
        <v>4872</v>
      </c>
      <c r="Q39" s="691">
        <f>34990.66*18.989</f>
        <v>664437.64274000004</v>
      </c>
      <c r="R39" s="690" t="s">
        <v>494</v>
      </c>
      <c r="S39" s="83">
        <f t="shared" si="9"/>
        <v>828246.64274000004</v>
      </c>
      <c r="T39" s="83">
        <f t="shared" si="5"/>
        <v>42.855275335281185</v>
      </c>
      <c r="W39" s="97"/>
      <c r="X39" s="97"/>
      <c r="Y39" s="304"/>
      <c r="Z39" s="305"/>
      <c r="AA39" s="304"/>
      <c r="AB39" s="304"/>
      <c r="AC39" s="304"/>
    </row>
    <row r="40" spans="1:29" s="237" customFormat="1" x14ac:dyDescent="0.25">
      <c r="A40" s="145">
        <v>37</v>
      </c>
      <c r="B40" s="237">
        <f>PIERNA!B40</f>
        <v>0</v>
      </c>
      <c r="C40" s="261">
        <f>PIERNA!C40</f>
        <v>0</v>
      </c>
      <c r="D40" s="187">
        <f>PIERNA!D40</f>
        <v>0</v>
      </c>
      <c r="E40" s="119">
        <f>PIERNA!E40</f>
        <v>0</v>
      </c>
      <c r="F40" s="262">
        <f>PIERNA!F40</f>
        <v>0</v>
      </c>
      <c r="G40" s="145">
        <f>PIERNA!G40</f>
        <v>0</v>
      </c>
      <c r="H40" s="194">
        <f>PIERNA!H40</f>
        <v>0</v>
      </c>
      <c r="I40" s="257">
        <f>PIERNA!I40</f>
        <v>0</v>
      </c>
      <c r="J40" s="341"/>
      <c r="K40" s="345"/>
      <c r="L40" s="372"/>
      <c r="M40" s="352"/>
      <c r="N40" s="509"/>
      <c r="O40" s="341"/>
      <c r="P40" s="168"/>
      <c r="Q40" s="355"/>
      <c r="R40" s="373"/>
      <c r="S40" s="83">
        <f>Q40+M40+K40+P40</f>
        <v>0</v>
      </c>
      <c r="T40" s="83" t="e">
        <f t="shared" si="5"/>
        <v>#DIV/0!</v>
      </c>
      <c r="W40" s="97"/>
      <c r="X40" s="97"/>
      <c r="Y40" s="304"/>
      <c r="Z40" s="305"/>
      <c r="AA40" s="304"/>
      <c r="AB40" s="304"/>
      <c r="AC40" s="304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2">
        <f>PIERNA!F41</f>
        <v>0</v>
      </c>
      <c r="G41" s="145">
        <f>PIERNA!G41</f>
        <v>0</v>
      </c>
      <c r="H41" s="194">
        <f>PIERNA!H41</f>
        <v>0</v>
      </c>
      <c r="I41" s="257">
        <f>PIERNA!I41</f>
        <v>0</v>
      </c>
      <c r="J41" s="341"/>
      <c r="K41" s="345"/>
      <c r="L41" s="372"/>
      <c r="M41" s="352"/>
      <c r="N41" s="509"/>
      <c r="O41" s="341"/>
      <c r="P41" s="168"/>
      <c r="Q41" s="355"/>
      <c r="R41" s="359"/>
      <c r="S41" s="83">
        <f>Q41+M41+K41+P41</f>
        <v>0</v>
      </c>
      <c r="T41" s="83" t="e">
        <f t="shared" si="5"/>
        <v>#DIV/0!</v>
      </c>
      <c r="W41" s="97"/>
      <c r="X41" s="97"/>
      <c r="Y41" s="304"/>
      <c r="AA41" s="304"/>
      <c r="AB41" s="304"/>
      <c r="AC41" s="304"/>
    </row>
    <row r="42" spans="1:29" s="237" customFormat="1" x14ac:dyDescent="0.25">
      <c r="A42" s="145">
        <v>39</v>
      </c>
      <c r="B42" s="237">
        <f>PIERNA!B42</f>
        <v>0</v>
      </c>
      <c r="C42" s="263">
        <f>PIERNA!C42</f>
        <v>0</v>
      </c>
      <c r="D42" s="288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7">
        <f>PIERNA!I42</f>
        <v>0</v>
      </c>
      <c r="J42" s="341"/>
      <c r="K42" s="345"/>
      <c r="L42" s="372"/>
      <c r="M42" s="352"/>
      <c r="N42" s="509"/>
      <c r="O42" s="341"/>
      <c r="P42" s="168"/>
      <c r="Q42" s="355"/>
      <c r="R42" s="359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4"/>
      <c r="AA42" s="304"/>
      <c r="AB42" s="304"/>
      <c r="AC42" s="304"/>
    </row>
    <row r="43" spans="1:29" s="237" customFormat="1" x14ac:dyDescent="0.25">
      <c r="A43" s="145">
        <v>40</v>
      </c>
      <c r="B43" s="237">
        <f>PIERNA!B43</f>
        <v>0</v>
      </c>
      <c r="C43" s="261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7">
        <f>PIERNA!I43</f>
        <v>0</v>
      </c>
      <c r="J43" s="341"/>
      <c r="K43" s="345"/>
      <c r="L43" s="372"/>
      <c r="M43" s="352"/>
      <c r="N43" s="509"/>
      <c r="O43" s="341"/>
      <c r="P43" s="168"/>
      <c r="Q43" s="352"/>
      <c r="R43" s="360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1">
        <f>PIERNA!C44</f>
        <v>0</v>
      </c>
      <c r="D44" s="288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7">
        <f>PIERNA!I44</f>
        <v>0</v>
      </c>
      <c r="J44" s="341"/>
      <c r="K44" s="345"/>
      <c r="L44" s="372"/>
      <c r="M44" s="352"/>
      <c r="N44" s="509"/>
      <c r="O44" s="341"/>
      <c r="P44" s="354"/>
      <c r="Q44" s="352"/>
      <c r="R44" s="357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1">
        <f>PIERNA!C45</f>
        <v>0</v>
      </c>
      <c r="D45" s="288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7">
        <f>PIERNA!I45</f>
        <v>0</v>
      </c>
      <c r="J45" s="341"/>
      <c r="K45" s="345"/>
      <c r="L45" s="372"/>
      <c r="M45" s="352"/>
      <c r="N45" s="509"/>
      <c r="O45" s="381"/>
      <c r="P45" s="354"/>
      <c r="Q45" s="352"/>
      <c r="R45" s="357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1">
        <f>PIERNA!C46</f>
        <v>0</v>
      </c>
      <c r="D46" s="288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7">
        <f>PIERNA!I46</f>
        <v>0</v>
      </c>
      <c r="J46" s="341"/>
      <c r="K46" s="345"/>
      <c r="L46" s="372"/>
      <c r="M46" s="352"/>
      <c r="N46" s="509"/>
      <c r="O46" s="381"/>
      <c r="P46" s="354"/>
      <c r="Q46" s="352"/>
      <c r="R46" s="357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1">
        <f>PIERNA!C47</f>
        <v>0</v>
      </c>
      <c r="D47" s="288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7">
        <f>PIERNA!I47</f>
        <v>0</v>
      </c>
      <c r="J47" s="341"/>
      <c r="K47" s="345"/>
      <c r="L47" s="372"/>
      <c r="M47" s="385"/>
      <c r="N47" s="511"/>
      <c r="O47" s="383"/>
      <c r="P47" s="354"/>
      <c r="Q47" s="352"/>
      <c r="R47" s="357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1">
        <f>PIERNA!C48</f>
        <v>0</v>
      </c>
      <c r="D48" s="288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7">
        <f>PIERNA!I48</f>
        <v>0</v>
      </c>
      <c r="J48" s="341"/>
      <c r="K48" s="345"/>
      <c r="L48" s="372"/>
      <c r="M48" s="355"/>
      <c r="N48" s="511"/>
      <c r="O48" s="381"/>
      <c r="P48" s="354"/>
      <c r="Q48" s="352"/>
      <c r="R48" s="357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1">
        <f>PIERNA!PA5</f>
        <v>0</v>
      </c>
      <c r="D49" s="288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7">
        <f>PIERNA!I49</f>
        <v>0</v>
      </c>
      <c r="J49" s="341"/>
      <c r="K49" s="345"/>
      <c r="L49" s="346"/>
      <c r="M49" s="355"/>
      <c r="N49" s="356"/>
      <c r="O49" s="381"/>
      <c r="P49" s="354"/>
      <c r="Q49" s="352"/>
      <c r="R49" s="357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1">
        <f>PIERNA!PJ5</f>
        <v>0</v>
      </c>
      <c r="D50" s="288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7">
        <f>PIERNA!I50</f>
        <v>0</v>
      </c>
      <c r="J50" s="341"/>
      <c r="K50" s="345"/>
      <c r="L50" s="346"/>
      <c r="M50" s="355"/>
      <c r="N50" s="356"/>
      <c r="O50" s="381"/>
      <c r="P50" s="354"/>
      <c r="Q50" s="352"/>
      <c r="R50" s="357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1">
        <f>PIERNA!C49</f>
        <v>0</v>
      </c>
      <c r="D51" s="288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7">
        <f>PIERNA!I51</f>
        <v>0</v>
      </c>
      <c r="J51" s="341"/>
      <c r="K51" s="345"/>
      <c r="L51" s="346"/>
      <c r="M51" s="355"/>
      <c r="N51" s="356"/>
      <c r="O51" s="381"/>
      <c r="P51" s="361"/>
      <c r="Q51" s="352"/>
      <c r="R51" s="357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1">
        <f>PIERNA!C50</f>
        <v>0</v>
      </c>
      <c r="D52" s="288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7">
        <f>PIERNA!I52</f>
        <v>0</v>
      </c>
      <c r="J52" s="341"/>
      <c r="K52" s="345"/>
      <c r="L52" s="346"/>
      <c r="M52" s="355"/>
      <c r="N52" s="356"/>
      <c r="O52" s="381"/>
      <c r="P52" s="354"/>
      <c r="Q52" s="352"/>
      <c r="R52" s="357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1">
        <f>PIERNA!QK5</f>
        <v>0</v>
      </c>
      <c r="D53" s="288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7">
        <f>PIERNA!QQ5</f>
        <v>0</v>
      </c>
      <c r="J53" s="341"/>
      <c r="K53" s="345"/>
      <c r="L53" s="346"/>
      <c r="M53" s="355"/>
      <c r="N53" s="356"/>
      <c r="O53" s="381"/>
      <c r="P53" s="354"/>
      <c r="Q53" s="352"/>
      <c r="R53" s="357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1">
        <f>PIERNA!QT5</f>
        <v>0</v>
      </c>
      <c r="D54" s="288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7">
        <f>PIERNA!RI5</f>
        <v>0</v>
      </c>
      <c r="J54" s="341"/>
      <c r="K54" s="345"/>
      <c r="L54" s="346"/>
      <c r="M54" s="355"/>
      <c r="N54" s="356"/>
      <c r="O54" s="381"/>
      <c r="P54" s="354"/>
      <c r="Q54" s="352"/>
      <c r="R54" s="357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1">
        <f>PIERNA!RC5</f>
        <v>0</v>
      </c>
      <c r="D55" s="464">
        <f>PIERNA!RD5</f>
        <v>0</v>
      </c>
      <c r="E55" s="119">
        <f>PIERNA!RE5</f>
        <v>0</v>
      </c>
      <c r="F55" s="465">
        <f>PIERNA!RF5</f>
        <v>0</v>
      </c>
      <c r="G55" s="145">
        <f>PIERNA!RG5</f>
        <v>0</v>
      </c>
      <c r="H55" s="52">
        <f>PIERNA!RH5</f>
        <v>0</v>
      </c>
      <c r="I55" s="257">
        <f t="shared" ref="I55:I95" si="14">H55-F55</f>
        <v>0</v>
      </c>
      <c r="J55" s="341"/>
      <c r="K55" s="345"/>
      <c r="L55" s="372"/>
      <c r="M55" s="355"/>
      <c r="N55" s="356"/>
      <c r="O55" s="381"/>
      <c r="P55" s="354"/>
      <c r="Q55" s="352"/>
      <c r="R55" s="357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1">
        <f>PIERNA!RL5</f>
        <v>0</v>
      </c>
      <c r="D56" s="288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7">
        <f>PIERNA!RR5</f>
        <v>0</v>
      </c>
      <c r="J56" s="341"/>
      <c r="K56" s="345"/>
      <c r="L56" s="423"/>
      <c r="M56" s="355"/>
      <c r="N56" s="356"/>
      <c r="O56" s="381"/>
      <c r="P56" s="354"/>
      <c r="Q56" s="352"/>
      <c r="R56" s="357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6">
        <f>PIERNA!B57</f>
        <v>0</v>
      </c>
      <c r="C57" s="261">
        <f>PIERNA!C57</f>
        <v>0</v>
      </c>
      <c r="D57" s="288">
        <f>PIERNA!D57</f>
        <v>0</v>
      </c>
      <c r="E57" s="119">
        <f>PIERNA!E57</f>
        <v>0</v>
      </c>
      <c r="F57" s="228">
        <f>PIERNA!F57</f>
        <v>0</v>
      </c>
      <c r="G57" s="267">
        <f>PIERNA!G57</f>
        <v>0</v>
      </c>
      <c r="H57" s="52">
        <f>PIERNA!H57</f>
        <v>0</v>
      </c>
      <c r="I57" s="257">
        <f t="shared" si="14"/>
        <v>0</v>
      </c>
      <c r="J57" s="341"/>
      <c r="K57" s="345"/>
      <c r="L57" s="380"/>
      <c r="M57" s="384"/>
      <c r="N57" s="356"/>
      <c r="O57" s="381"/>
      <c r="P57" s="354"/>
      <c r="Q57" s="352"/>
      <c r="R57" s="357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1">
        <f>PIERNA!C58</f>
        <v>0</v>
      </c>
      <c r="D58" s="288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7">
        <f t="shared" si="14"/>
        <v>0</v>
      </c>
      <c r="J58" s="341"/>
      <c r="K58" s="345"/>
      <c r="L58" s="380"/>
      <c r="M58" s="384"/>
      <c r="N58" s="356"/>
      <c r="O58" s="381"/>
      <c r="P58" s="354"/>
      <c r="Q58" s="352"/>
      <c r="R58" s="357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1">
        <f>PIERNA!C59</f>
        <v>0</v>
      </c>
      <c r="D59" s="288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7">
        <f t="shared" si="14"/>
        <v>0</v>
      </c>
      <c r="J59" s="341"/>
      <c r="K59" s="345"/>
      <c r="L59" s="380"/>
      <c r="M59" s="384"/>
      <c r="N59" s="356"/>
      <c r="O59" s="381"/>
      <c r="P59" s="354"/>
      <c r="Q59" s="352"/>
      <c r="R59" s="357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1">
        <f>PIERNA!SV5</f>
        <v>0</v>
      </c>
      <c r="D60" s="288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7">
        <f t="shared" si="14"/>
        <v>0</v>
      </c>
      <c r="J60" s="341"/>
      <c r="K60" s="345"/>
      <c r="L60" s="380"/>
      <c r="M60" s="384"/>
      <c r="N60" s="356"/>
      <c r="O60" s="381"/>
      <c r="P60" s="354"/>
      <c r="Q60" s="352"/>
      <c r="R60" s="357"/>
      <c r="S60" s="83">
        <f t="shared" ref="S60:S71" si="15">Q60+M60+K60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1">
        <f>PIERNA!C61</f>
        <v>0</v>
      </c>
      <c r="D61" s="288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7">
        <f t="shared" si="14"/>
        <v>0</v>
      </c>
      <c r="J61" s="341"/>
      <c r="K61" s="345"/>
      <c r="L61" s="380"/>
      <c r="M61" s="384"/>
      <c r="N61" s="356"/>
      <c r="O61" s="381"/>
      <c r="P61" s="354"/>
      <c r="Q61" s="352"/>
      <c r="R61" s="357"/>
      <c r="S61" s="83">
        <f t="shared" si="15"/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1">
        <f>PIERNA!C62</f>
        <v>0</v>
      </c>
      <c r="D62" s="288">
        <f>PIERNA!D62</f>
        <v>0</v>
      </c>
      <c r="E62" s="119">
        <f>PIERNA!F62</f>
        <v>0</v>
      </c>
      <c r="F62" s="228">
        <f>PIERNA!F62</f>
        <v>0</v>
      </c>
      <c r="G62" s="260">
        <f>PIERNA!G62</f>
        <v>0</v>
      </c>
      <c r="H62" s="52">
        <f>PIERNA!H62</f>
        <v>0</v>
      </c>
      <c r="I62" s="257">
        <f t="shared" si="14"/>
        <v>0</v>
      </c>
      <c r="J62" s="341"/>
      <c r="K62" s="345"/>
      <c r="L62" s="380"/>
      <c r="M62" s="384"/>
      <c r="N62" s="356"/>
      <c r="O62" s="381"/>
      <c r="P62" s="354"/>
      <c r="Q62" s="352"/>
      <c r="R62" s="357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1">
        <f>PIERNA!C62</f>
        <v>0</v>
      </c>
      <c r="D63" s="288">
        <f>PIERNA!D62</f>
        <v>0</v>
      </c>
      <c r="E63" s="119">
        <f>PIERNA!E63</f>
        <v>0</v>
      </c>
      <c r="F63" s="228">
        <f>PIERNA!F63</f>
        <v>0</v>
      </c>
      <c r="G63" s="260">
        <f>PIERNA!G63</f>
        <v>0</v>
      </c>
      <c r="H63" s="52">
        <f>PIERNA!H63</f>
        <v>0</v>
      </c>
      <c r="I63" s="257">
        <f t="shared" si="14"/>
        <v>0</v>
      </c>
      <c r="J63" s="341"/>
      <c r="K63" s="345"/>
      <c r="L63" s="380"/>
      <c r="M63" s="384"/>
      <c r="N63" s="356"/>
      <c r="O63" s="381"/>
      <c r="P63" s="354"/>
      <c r="Q63" s="352"/>
      <c r="R63" s="357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1">
        <f>PIERNA!C64</f>
        <v>0</v>
      </c>
      <c r="D64" s="288">
        <f>PIERNA!D64</f>
        <v>0</v>
      </c>
      <c r="E64" s="119">
        <f>PIERNA!E64</f>
        <v>0</v>
      </c>
      <c r="F64" s="228">
        <f>PIERNA!F64</f>
        <v>0</v>
      </c>
      <c r="G64" s="260">
        <f>PIERNA!G64</f>
        <v>0</v>
      </c>
      <c r="H64" s="52">
        <f>PIERNA!H64</f>
        <v>0</v>
      </c>
      <c r="I64" s="257">
        <f t="shared" si="14"/>
        <v>0</v>
      </c>
      <c r="J64" s="341"/>
      <c r="K64" s="345"/>
      <c r="L64" s="380"/>
      <c r="M64" s="384"/>
      <c r="N64" s="356"/>
      <c r="O64" s="381"/>
      <c r="P64" s="354"/>
      <c r="Q64" s="352"/>
      <c r="R64" s="357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1">
        <f>PIERNA!C65</f>
        <v>0</v>
      </c>
      <c r="D65" s="288">
        <f>PIERNA!D65</f>
        <v>0</v>
      </c>
      <c r="E65" s="119">
        <f>PIERNA!E65</f>
        <v>0</v>
      </c>
      <c r="F65" s="228">
        <f>PIERNA!F65</f>
        <v>0</v>
      </c>
      <c r="G65" s="260">
        <f>PIERNA!G65</f>
        <v>0</v>
      </c>
      <c r="H65" s="52">
        <f>PIERNA!H65</f>
        <v>0</v>
      </c>
      <c r="I65" s="257">
        <f t="shared" si="14"/>
        <v>0</v>
      </c>
      <c r="J65" s="341"/>
      <c r="K65" s="345"/>
      <c r="L65" s="380"/>
      <c r="M65" s="384"/>
      <c r="N65" s="356"/>
      <c r="O65" s="381"/>
      <c r="P65" s="354"/>
      <c r="Q65" s="352"/>
      <c r="R65" s="357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1">
        <f>PIERNA!C61</f>
        <v>0</v>
      </c>
      <c r="D66" s="288">
        <f>PIERNA!D61</f>
        <v>0</v>
      </c>
      <c r="E66" s="119">
        <f>PIERNA!E61</f>
        <v>0</v>
      </c>
      <c r="F66" s="228">
        <f>PIERNA!F61</f>
        <v>0</v>
      </c>
      <c r="G66" s="260">
        <f>PIERNA!G61</f>
        <v>0</v>
      </c>
      <c r="H66" s="52">
        <f>PIERNA!H61</f>
        <v>0</v>
      </c>
      <c r="I66" s="257">
        <f t="shared" si="14"/>
        <v>0</v>
      </c>
      <c r="J66" s="341"/>
      <c r="K66" s="345"/>
      <c r="L66" s="380"/>
      <c r="M66" s="384"/>
      <c r="N66" s="356"/>
      <c r="O66" s="381"/>
      <c r="P66" s="354"/>
      <c r="Q66" s="352"/>
      <c r="R66" s="357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1">
        <f>PIERNA!C62</f>
        <v>0</v>
      </c>
      <c r="D67" s="288">
        <f>PIERNA!D62</f>
        <v>0</v>
      </c>
      <c r="E67" s="119">
        <f>PIERNA!E62</f>
        <v>0</v>
      </c>
      <c r="F67" s="228">
        <f>PIERNA!F62</f>
        <v>0</v>
      </c>
      <c r="G67" s="260">
        <f>PIERNA!G62</f>
        <v>0</v>
      </c>
      <c r="H67" s="52">
        <f>PIERNA!H62</f>
        <v>0</v>
      </c>
      <c r="I67" s="257">
        <f t="shared" si="14"/>
        <v>0</v>
      </c>
      <c r="J67" s="341"/>
      <c r="K67" s="345"/>
      <c r="L67" s="346"/>
      <c r="M67" s="355"/>
      <c r="N67" s="356"/>
      <c r="O67" s="381"/>
      <c r="P67" s="354"/>
      <c r="Q67" s="352"/>
      <c r="R67" s="357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60">
        <f>PIERNA!G63</f>
        <v>0</v>
      </c>
      <c r="H68" s="52">
        <f>PIERNA!H63</f>
        <v>0</v>
      </c>
      <c r="I68" s="257">
        <f t="shared" si="14"/>
        <v>0</v>
      </c>
      <c r="J68" s="341"/>
      <c r="K68" s="345"/>
      <c r="L68" s="346"/>
      <c r="M68" s="355"/>
      <c r="N68" s="356"/>
      <c r="O68" s="381"/>
      <c r="P68" s="354"/>
      <c r="Q68" s="352"/>
      <c r="R68" s="357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60">
        <f>PIERNA!G64</f>
        <v>0</v>
      </c>
      <c r="H69" s="52">
        <f>PIERNA!H64</f>
        <v>0</v>
      </c>
      <c r="I69" s="257">
        <f t="shared" si="14"/>
        <v>0</v>
      </c>
      <c r="J69" s="341"/>
      <c r="K69" s="345"/>
      <c r="L69" s="346"/>
      <c r="M69" s="355"/>
      <c r="N69" s="356"/>
      <c r="O69" s="381"/>
      <c r="P69" s="354"/>
      <c r="Q69" s="352"/>
      <c r="R69" s="357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60">
        <f>PIERNA!G65</f>
        <v>0</v>
      </c>
      <c r="H70" s="52">
        <f>PIERNA!H65</f>
        <v>0</v>
      </c>
      <c r="I70" s="257">
        <f t="shared" si="14"/>
        <v>0</v>
      </c>
      <c r="J70" s="335"/>
      <c r="K70" s="345"/>
      <c r="L70" s="346"/>
      <c r="M70" s="355"/>
      <c r="N70" s="353"/>
      <c r="O70" s="341"/>
      <c r="P70" s="354"/>
      <c r="Q70" s="352"/>
      <c r="R70" s="357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60">
        <f>PIERNA!G66</f>
        <v>0</v>
      </c>
      <c r="H71" s="52">
        <f>PIERNA!H66</f>
        <v>0</v>
      </c>
      <c r="I71" s="257">
        <f t="shared" si="14"/>
        <v>0</v>
      </c>
      <c r="J71" s="335"/>
      <c r="K71" s="345"/>
      <c r="L71" s="346"/>
      <c r="M71" s="355"/>
      <c r="N71" s="353"/>
      <c r="O71" s="341"/>
      <c r="P71" s="354"/>
      <c r="Q71" s="352"/>
      <c r="R71" s="357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60">
        <f>PIERNA!G67</f>
        <v>0</v>
      </c>
      <c r="H72" s="52">
        <f>PIERNA!H67</f>
        <v>0</v>
      </c>
      <c r="I72" s="257">
        <f t="shared" si="14"/>
        <v>0</v>
      </c>
      <c r="J72" s="335"/>
      <c r="K72" s="345"/>
      <c r="L72" s="346"/>
      <c r="M72" s="355"/>
      <c r="N72" s="353"/>
      <c r="O72" s="341"/>
      <c r="P72" s="354"/>
      <c r="Q72" s="352"/>
      <c r="R72" s="357"/>
      <c r="S72" s="83">
        <f t="shared" ref="S72:S95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60">
        <f>PIERNA!G68</f>
        <v>0</v>
      </c>
      <c r="H73" s="52">
        <f>PIERNA!H68</f>
        <v>0</v>
      </c>
      <c r="I73" s="257">
        <f t="shared" si="14"/>
        <v>0</v>
      </c>
      <c r="J73" s="335"/>
      <c r="K73" s="345"/>
      <c r="L73" s="346"/>
      <c r="M73" s="355"/>
      <c r="N73" s="353"/>
      <c r="O73" s="341"/>
      <c r="P73" s="354"/>
      <c r="Q73" s="352"/>
      <c r="R73" s="357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60">
        <f>PIERNA!G69</f>
        <v>0</v>
      </c>
      <c r="H74" s="52">
        <f>PIERNA!H69</f>
        <v>0</v>
      </c>
      <c r="I74" s="257">
        <f t="shared" si="14"/>
        <v>0</v>
      </c>
      <c r="J74" s="335"/>
      <c r="K74" s="345"/>
      <c r="L74" s="346"/>
      <c r="M74" s="355"/>
      <c r="N74" s="353"/>
      <c r="O74" s="341"/>
      <c r="P74" s="354"/>
      <c r="Q74" s="352"/>
      <c r="R74" s="357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60">
        <f>PIERNA!G70</f>
        <v>0</v>
      </c>
      <c r="H75" s="52">
        <f>PIERNA!H70</f>
        <v>0</v>
      </c>
      <c r="I75" s="257">
        <f t="shared" si="14"/>
        <v>0</v>
      </c>
      <c r="J75" s="335"/>
      <c r="K75" s="345"/>
      <c r="L75" s="346"/>
      <c r="M75" s="355"/>
      <c r="N75" s="353"/>
      <c r="O75" s="341"/>
      <c r="P75" s="354"/>
      <c r="Q75" s="352"/>
      <c r="R75" s="357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60">
        <f>PIERNA!G71</f>
        <v>0</v>
      </c>
      <c r="H76" s="52">
        <f>PIERNA!H71</f>
        <v>0</v>
      </c>
      <c r="I76" s="257">
        <f t="shared" si="14"/>
        <v>0</v>
      </c>
      <c r="J76" s="335"/>
      <c r="K76" s="345"/>
      <c r="L76" s="346"/>
      <c r="M76" s="355"/>
      <c r="N76" s="353"/>
      <c r="O76" s="341"/>
      <c r="P76" s="354"/>
      <c r="Q76" s="352"/>
      <c r="R76" s="357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60">
        <f>PIERNA!G72</f>
        <v>0</v>
      </c>
      <c r="H77" s="52">
        <f>PIERNA!H72</f>
        <v>0</v>
      </c>
      <c r="I77" s="257">
        <f t="shared" si="14"/>
        <v>0</v>
      </c>
      <c r="J77" s="335"/>
      <c r="K77" s="345"/>
      <c r="L77" s="346"/>
      <c r="M77" s="355"/>
      <c r="N77" s="353"/>
      <c r="O77" s="341"/>
      <c r="P77" s="354"/>
      <c r="Q77" s="352"/>
      <c r="R77" s="357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60">
        <f>PIERNA!G73</f>
        <v>0</v>
      </c>
      <c r="H78" s="52">
        <f>PIERNA!H73</f>
        <v>0</v>
      </c>
      <c r="I78" s="257">
        <f t="shared" si="14"/>
        <v>0</v>
      </c>
      <c r="J78" s="335"/>
      <c r="K78" s="345"/>
      <c r="L78" s="346"/>
      <c r="M78" s="355"/>
      <c r="N78" s="353"/>
      <c r="O78" s="341"/>
      <c r="P78" s="354"/>
      <c r="Q78" s="352"/>
      <c r="R78" s="357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60">
        <f>PIERNA!G74</f>
        <v>0</v>
      </c>
      <c r="H79" s="52">
        <f>PIERNA!H74</f>
        <v>0</v>
      </c>
      <c r="I79" s="257">
        <f t="shared" si="14"/>
        <v>0</v>
      </c>
      <c r="J79" s="335"/>
      <c r="K79" s="345"/>
      <c r="L79" s="346"/>
      <c r="M79" s="355"/>
      <c r="N79" s="353"/>
      <c r="O79" s="341"/>
      <c r="P79" s="354"/>
      <c r="Q79" s="352"/>
      <c r="R79" s="357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60">
        <f>PIERNA!G75</f>
        <v>0</v>
      </c>
      <c r="H80" s="52">
        <f>PIERNA!H75</f>
        <v>0</v>
      </c>
      <c r="I80" s="257">
        <f t="shared" si="14"/>
        <v>0</v>
      </c>
      <c r="J80" s="335"/>
      <c r="K80" s="345"/>
      <c r="L80" s="346"/>
      <c r="M80" s="355"/>
      <c r="N80" s="353"/>
      <c r="O80" s="341"/>
      <c r="P80" s="354"/>
      <c r="Q80" s="352"/>
      <c r="R80" s="357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60">
        <f>PIERNA!G76</f>
        <v>0</v>
      </c>
      <c r="H81" s="52">
        <f>PIERNA!H76</f>
        <v>0</v>
      </c>
      <c r="I81" s="257">
        <f t="shared" si="14"/>
        <v>0</v>
      </c>
      <c r="J81" s="335"/>
      <c r="K81" s="345"/>
      <c r="L81" s="346"/>
      <c r="M81" s="355"/>
      <c r="N81" s="353"/>
      <c r="O81" s="341"/>
      <c r="P81" s="354"/>
      <c r="Q81" s="352"/>
      <c r="R81" s="357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60">
        <f>PIERNA!G77</f>
        <v>0</v>
      </c>
      <c r="H82" s="52">
        <f>PIERNA!H77</f>
        <v>0</v>
      </c>
      <c r="I82" s="257">
        <f t="shared" si="14"/>
        <v>0</v>
      </c>
      <c r="J82" s="335"/>
      <c r="K82" s="345"/>
      <c r="L82" s="346"/>
      <c r="M82" s="355"/>
      <c r="N82" s="353"/>
      <c r="O82" s="341"/>
      <c r="P82" s="354"/>
      <c r="Q82" s="352"/>
      <c r="R82" s="357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60">
        <f>PIERNA!G78</f>
        <v>0</v>
      </c>
      <c r="H83" s="52">
        <f>PIERNA!H78</f>
        <v>0</v>
      </c>
      <c r="I83" s="257">
        <f t="shared" si="14"/>
        <v>0</v>
      </c>
      <c r="J83" s="335"/>
      <c r="K83" s="345"/>
      <c r="L83" s="346"/>
      <c r="M83" s="355"/>
      <c r="N83" s="353"/>
      <c r="O83" s="341"/>
      <c r="P83" s="354"/>
      <c r="Q83" s="352"/>
      <c r="R83" s="357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60">
        <f>PIERNA!G79</f>
        <v>0</v>
      </c>
      <c r="H84" s="52">
        <f>PIERNA!H79</f>
        <v>0</v>
      </c>
      <c r="I84" s="257">
        <f t="shared" si="14"/>
        <v>0</v>
      </c>
      <c r="J84" s="335"/>
      <c r="K84" s="345"/>
      <c r="L84" s="346"/>
      <c r="M84" s="355"/>
      <c r="N84" s="353"/>
      <c r="O84" s="341"/>
      <c r="P84" s="354"/>
      <c r="Q84" s="352"/>
      <c r="R84" s="357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60">
        <f>PIERNA!G80</f>
        <v>0</v>
      </c>
      <c r="H85" s="52">
        <f>PIERNA!H80</f>
        <v>0</v>
      </c>
      <c r="I85" s="257">
        <f t="shared" si="14"/>
        <v>0</v>
      </c>
      <c r="J85" s="335"/>
      <c r="K85" s="345"/>
      <c r="L85" s="346"/>
      <c r="M85" s="355"/>
      <c r="N85" s="353"/>
      <c r="O85" s="341"/>
      <c r="P85" s="354"/>
      <c r="Q85" s="352"/>
      <c r="R85" s="357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60">
        <f>PIERNA!G81</f>
        <v>0</v>
      </c>
      <c r="H86" s="52">
        <f>PIERNA!H81</f>
        <v>0</v>
      </c>
      <c r="I86" s="257">
        <f t="shared" si="14"/>
        <v>0</v>
      </c>
      <c r="J86" s="335"/>
      <c r="K86" s="345"/>
      <c r="L86" s="346"/>
      <c r="M86" s="355"/>
      <c r="N86" s="353"/>
      <c r="O86" s="341"/>
      <c r="P86" s="354"/>
      <c r="Q86" s="352"/>
      <c r="R86" s="357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60">
        <f>PIERNA!G82</f>
        <v>0</v>
      </c>
      <c r="H87" s="52">
        <f>PIERNA!H82</f>
        <v>0</v>
      </c>
      <c r="I87" s="257">
        <f t="shared" si="14"/>
        <v>0</v>
      </c>
      <c r="J87" s="335"/>
      <c r="K87" s="345"/>
      <c r="L87" s="346"/>
      <c r="M87" s="355"/>
      <c r="N87" s="353"/>
      <c r="O87" s="341"/>
      <c r="P87" s="354"/>
      <c r="Q87" s="352"/>
      <c r="R87" s="357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60">
        <f>PIERNA!G83</f>
        <v>0</v>
      </c>
      <c r="H88" s="52">
        <f>PIERNA!H83</f>
        <v>0</v>
      </c>
      <c r="I88" s="257">
        <f t="shared" si="14"/>
        <v>0</v>
      </c>
      <c r="J88" s="335"/>
      <c r="K88" s="345"/>
      <c r="L88" s="346"/>
      <c r="M88" s="355"/>
      <c r="N88" s="353"/>
      <c r="O88" s="341"/>
      <c r="P88" s="354"/>
      <c r="Q88" s="352"/>
      <c r="R88" s="357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60">
        <f>PIERNA!G84</f>
        <v>0</v>
      </c>
      <c r="H89" s="52">
        <f>PIERNA!H84</f>
        <v>0</v>
      </c>
      <c r="I89" s="257">
        <f t="shared" si="14"/>
        <v>0</v>
      </c>
      <c r="J89" s="335"/>
      <c r="K89" s="345"/>
      <c r="L89" s="346"/>
      <c r="M89" s="355"/>
      <c r="N89" s="353"/>
      <c r="O89" s="341"/>
      <c r="P89" s="354"/>
      <c r="Q89" s="352"/>
      <c r="R89" s="357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60">
        <f>PIERNA!G85</f>
        <v>0</v>
      </c>
      <c r="H90" s="52">
        <f>PIERNA!H85</f>
        <v>0</v>
      </c>
      <c r="I90" s="257">
        <f t="shared" si="14"/>
        <v>0</v>
      </c>
      <c r="J90" s="335"/>
      <c r="K90" s="345"/>
      <c r="L90" s="346"/>
      <c r="M90" s="355"/>
      <c r="N90" s="353"/>
      <c r="O90" s="341"/>
      <c r="P90" s="354"/>
      <c r="Q90" s="352"/>
      <c r="R90" s="357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60">
        <f>PIERNA!G86</f>
        <v>0</v>
      </c>
      <c r="H91" s="52">
        <f>PIERNA!H86</f>
        <v>0</v>
      </c>
      <c r="I91" s="257">
        <f t="shared" si="14"/>
        <v>0</v>
      </c>
      <c r="J91" s="335"/>
      <c r="K91" s="345"/>
      <c r="L91" s="346"/>
      <c r="M91" s="355"/>
      <c r="N91" s="353"/>
      <c r="O91" s="341"/>
      <c r="P91" s="354"/>
      <c r="Q91" s="352"/>
      <c r="R91" s="357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60">
        <f>PIERNA!G87</f>
        <v>0</v>
      </c>
      <c r="H92" s="52">
        <f>PIERNA!H87</f>
        <v>0</v>
      </c>
      <c r="I92" s="257">
        <f t="shared" si="14"/>
        <v>0</v>
      </c>
      <c r="J92" s="335"/>
      <c r="K92" s="345"/>
      <c r="L92" s="346"/>
      <c r="M92" s="355"/>
      <c r="N92" s="353"/>
      <c r="O92" s="341"/>
      <c r="P92" s="354"/>
      <c r="Q92" s="352"/>
      <c r="R92" s="357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60">
        <f>PIERNA!G88</f>
        <v>0</v>
      </c>
      <c r="H93" s="52">
        <f>PIERNA!H88</f>
        <v>0</v>
      </c>
      <c r="I93" s="257">
        <f t="shared" si="14"/>
        <v>0</v>
      </c>
      <c r="J93" s="335"/>
      <c r="K93" s="345"/>
      <c r="L93" s="346"/>
      <c r="M93" s="355"/>
      <c r="N93" s="353"/>
      <c r="O93" s="341"/>
      <c r="P93" s="354"/>
      <c r="Q93" s="352"/>
      <c r="R93" s="357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2"/>
      <c r="D94" s="147"/>
      <c r="E94" s="119"/>
      <c r="F94" s="228"/>
      <c r="G94" s="260"/>
      <c r="H94" s="52"/>
      <c r="I94" s="257">
        <f t="shared" si="14"/>
        <v>0</v>
      </c>
      <c r="J94" s="341"/>
      <c r="K94" s="477"/>
      <c r="L94" s="346"/>
      <c r="M94" s="355"/>
      <c r="N94" s="353"/>
      <c r="O94" s="341"/>
      <c r="P94" s="354"/>
      <c r="Q94" s="352"/>
      <c r="R94" s="357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60"/>
      <c r="H95" s="52"/>
      <c r="I95" s="257">
        <f t="shared" si="14"/>
        <v>0</v>
      </c>
      <c r="J95" s="335"/>
      <c r="K95" s="345"/>
      <c r="L95" s="346"/>
      <c r="M95" s="352"/>
      <c r="N95" s="353"/>
      <c r="O95" s="341"/>
      <c r="P95" s="354"/>
      <c r="Q95" s="352"/>
      <c r="R95" s="357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60"/>
      <c r="H96" s="52"/>
      <c r="I96" s="257"/>
      <c r="J96" s="335"/>
      <c r="K96" s="345"/>
      <c r="L96" s="346"/>
      <c r="M96" s="352"/>
      <c r="N96" s="353"/>
      <c r="O96" s="341"/>
      <c r="P96" s="354"/>
      <c r="Q96" s="352"/>
      <c r="R96" s="357"/>
      <c r="S96" s="83"/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60"/>
      <c r="H97" s="52"/>
      <c r="I97" s="257"/>
      <c r="J97" s="335"/>
      <c r="K97" s="345"/>
      <c r="L97" s="346"/>
      <c r="M97" s="352"/>
      <c r="N97" s="353"/>
      <c r="O97" s="341"/>
      <c r="P97" s="354"/>
      <c r="Q97" s="352"/>
      <c r="R97" s="357"/>
      <c r="S97" s="83"/>
      <c r="T97" s="83"/>
    </row>
    <row r="98" spans="1:20" s="237" customFormat="1" x14ac:dyDescent="0.25">
      <c r="A98" s="145"/>
      <c r="B98" s="102"/>
      <c r="C98" s="233"/>
      <c r="D98" s="147"/>
      <c r="E98" s="119"/>
      <c r="F98" s="228"/>
      <c r="G98" s="260"/>
      <c r="H98" s="52"/>
      <c r="I98" s="257"/>
      <c r="J98" s="335"/>
      <c r="K98" s="345"/>
      <c r="L98" s="346"/>
      <c r="M98" s="352"/>
      <c r="N98" s="353"/>
      <c r="O98" s="341"/>
      <c r="P98" s="354"/>
      <c r="Q98" s="352"/>
      <c r="R98" s="357"/>
      <c r="S98" s="83"/>
      <c r="T98" s="83"/>
    </row>
    <row r="99" spans="1:20" s="237" customFormat="1" x14ac:dyDescent="0.25">
      <c r="A99" s="145"/>
      <c r="B99" s="102"/>
      <c r="C99" s="233"/>
      <c r="D99" s="147"/>
      <c r="E99" s="119"/>
      <c r="F99" s="228"/>
      <c r="G99" s="260"/>
      <c r="H99" s="52"/>
      <c r="I99" s="257"/>
      <c r="J99" s="335"/>
      <c r="K99" s="345"/>
      <c r="L99" s="346"/>
      <c r="M99" s="352"/>
      <c r="N99" s="353"/>
      <c r="O99" s="341"/>
      <c r="P99" s="354"/>
      <c r="Q99" s="352"/>
      <c r="R99" s="357"/>
      <c r="S99" s="83"/>
      <c r="T99" s="83"/>
    </row>
    <row r="100" spans="1:20" s="237" customFormat="1" x14ac:dyDescent="0.25">
      <c r="A100" s="145"/>
      <c r="B100" s="102"/>
      <c r="C100" s="233"/>
      <c r="D100" s="147"/>
      <c r="E100" s="119"/>
      <c r="F100" s="228"/>
      <c r="G100" s="260"/>
      <c r="H100" s="52"/>
      <c r="I100" s="257"/>
      <c r="J100" s="335"/>
      <c r="K100" s="345"/>
      <c r="L100" s="346"/>
      <c r="M100" s="352"/>
      <c r="N100" s="353"/>
      <c r="O100" s="341"/>
      <c r="P100" s="354"/>
      <c r="Q100" s="352"/>
      <c r="R100" s="357"/>
      <c r="S100" s="83"/>
      <c r="T100" s="83"/>
    </row>
    <row r="101" spans="1:20" s="237" customFormat="1" ht="15.75" x14ac:dyDescent="0.25">
      <c r="A101" s="145">
        <v>60</v>
      </c>
      <c r="B101" s="566" t="s">
        <v>270</v>
      </c>
      <c r="C101" s="574" t="s">
        <v>273</v>
      </c>
      <c r="D101" s="575"/>
      <c r="E101" s="563">
        <v>43558</v>
      </c>
      <c r="F101" s="576">
        <v>1000</v>
      </c>
      <c r="G101" s="577">
        <v>100</v>
      </c>
      <c r="H101" s="556">
        <v>1000</v>
      </c>
      <c r="I101" s="257">
        <f t="shared" ref="I101:I130" si="18">H101-F101</f>
        <v>0</v>
      </c>
      <c r="J101" s="578"/>
      <c r="K101" s="530"/>
      <c r="L101" s="579"/>
      <c r="M101" s="529"/>
      <c r="N101" s="580"/>
      <c r="O101" s="581" t="s">
        <v>274</v>
      </c>
      <c r="P101" s="528"/>
      <c r="Q101" s="529">
        <v>29500</v>
      </c>
      <c r="R101" s="731" t="s">
        <v>339</v>
      </c>
      <c r="S101" s="83">
        <f t="shared" ref="S101:S117" si="19">Q101+M101+K101</f>
        <v>29500</v>
      </c>
      <c r="T101" s="83">
        <f t="shared" ref="T101:T105" si="20">S101/H101</f>
        <v>29.5</v>
      </c>
    </row>
    <row r="102" spans="1:20" s="237" customFormat="1" ht="15.75" x14ac:dyDescent="0.25">
      <c r="A102" s="145">
        <v>61</v>
      </c>
      <c r="B102" s="566" t="s">
        <v>270</v>
      </c>
      <c r="C102" s="574" t="s">
        <v>275</v>
      </c>
      <c r="D102" s="575"/>
      <c r="E102" s="563">
        <v>43558</v>
      </c>
      <c r="F102" s="576">
        <v>884</v>
      </c>
      <c r="G102" s="577">
        <v>1</v>
      </c>
      <c r="H102" s="556">
        <v>884</v>
      </c>
      <c r="I102" s="257">
        <f t="shared" si="18"/>
        <v>0</v>
      </c>
      <c r="J102" s="578"/>
      <c r="K102" s="530"/>
      <c r="L102" s="579"/>
      <c r="M102" s="529"/>
      <c r="N102" s="580"/>
      <c r="O102" s="581" t="s">
        <v>274</v>
      </c>
      <c r="P102" s="528"/>
      <c r="Q102" s="529">
        <v>15470</v>
      </c>
      <c r="R102" s="731" t="s">
        <v>339</v>
      </c>
      <c r="S102" s="83">
        <f>Q102+M102+K102</f>
        <v>15470</v>
      </c>
      <c r="T102" s="83">
        <f t="shared" si="20"/>
        <v>17.5</v>
      </c>
    </row>
    <row r="103" spans="1:20" s="237" customFormat="1" ht="15.75" x14ac:dyDescent="0.25">
      <c r="A103" s="145">
        <v>62</v>
      </c>
      <c r="B103" s="566" t="s">
        <v>270</v>
      </c>
      <c r="C103" s="574" t="s">
        <v>275</v>
      </c>
      <c r="D103" s="575"/>
      <c r="E103" s="563">
        <v>43566</v>
      </c>
      <c r="F103" s="576">
        <f>884+855</f>
        <v>1739</v>
      </c>
      <c r="G103" s="577">
        <v>2</v>
      </c>
      <c r="H103" s="556">
        <v>1739</v>
      </c>
      <c r="I103" s="257">
        <f t="shared" si="18"/>
        <v>0</v>
      </c>
      <c r="J103" s="578"/>
      <c r="K103" s="582"/>
      <c r="L103" s="530"/>
      <c r="M103" s="529"/>
      <c r="N103" s="580"/>
      <c r="O103" s="581" t="s">
        <v>309</v>
      </c>
      <c r="P103" s="528"/>
      <c r="Q103" s="529">
        <v>30432.5</v>
      </c>
      <c r="R103" s="731" t="s">
        <v>356</v>
      </c>
      <c r="S103" s="83">
        <f>Q103+M103+K103</f>
        <v>30432.5</v>
      </c>
      <c r="T103" s="83">
        <f t="shared" si="20"/>
        <v>17.5</v>
      </c>
    </row>
    <row r="104" spans="1:20" s="237" customFormat="1" ht="29.25" x14ac:dyDescent="0.25">
      <c r="A104" s="145">
        <v>63</v>
      </c>
      <c r="B104" s="566" t="s">
        <v>96</v>
      </c>
      <c r="C104" s="574" t="s">
        <v>318</v>
      </c>
      <c r="D104" s="575"/>
      <c r="E104" s="563">
        <v>43572</v>
      </c>
      <c r="F104" s="576">
        <v>9015.7999999999993</v>
      </c>
      <c r="G104" s="577">
        <v>323</v>
      </c>
      <c r="H104" s="556">
        <v>9015.7999999999993</v>
      </c>
      <c r="I104" s="257">
        <f t="shared" si="18"/>
        <v>0</v>
      </c>
      <c r="J104" s="578"/>
      <c r="K104" s="530"/>
      <c r="L104" s="579"/>
      <c r="M104" s="529"/>
      <c r="N104" s="580"/>
      <c r="O104" s="581" t="s">
        <v>475</v>
      </c>
      <c r="P104" s="528"/>
      <c r="Q104" s="529">
        <v>829453.6</v>
      </c>
      <c r="R104" s="731" t="s">
        <v>474</v>
      </c>
      <c r="S104" s="83">
        <f t="shared" ref="S104" si="21">Q104+M104+K104</f>
        <v>829453.6</v>
      </c>
      <c r="T104" s="83">
        <f t="shared" si="20"/>
        <v>92</v>
      </c>
    </row>
    <row r="105" spans="1:20" s="237" customFormat="1" x14ac:dyDescent="0.25">
      <c r="A105" s="145">
        <v>64</v>
      </c>
      <c r="B105" s="566" t="s">
        <v>270</v>
      </c>
      <c r="C105" s="574" t="s">
        <v>275</v>
      </c>
      <c r="D105" s="575"/>
      <c r="E105" s="563">
        <v>43572</v>
      </c>
      <c r="F105" s="576">
        <f>839+881+860+882</f>
        <v>3462</v>
      </c>
      <c r="G105" s="577">
        <v>4</v>
      </c>
      <c r="H105" s="556">
        <v>3462</v>
      </c>
      <c r="I105" s="257">
        <f t="shared" si="18"/>
        <v>0</v>
      </c>
      <c r="J105" s="578"/>
      <c r="K105" s="530"/>
      <c r="L105" s="579"/>
      <c r="M105" s="529"/>
      <c r="N105" s="580"/>
      <c r="O105" s="527" t="s">
        <v>319</v>
      </c>
      <c r="P105" s="528"/>
      <c r="Q105" s="529">
        <v>60585</v>
      </c>
      <c r="R105" s="731" t="s">
        <v>474</v>
      </c>
      <c r="S105" s="83">
        <f t="shared" si="19"/>
        <v>60585</v>
      </c>
      <c r="T105" s="83">
        <f t="shared" si="20"/>
        <v>17.5</v>
      </c>
    </row>
    <row r="106" spans="1:20" s="237" customFormat="1" x14ac:dyDescent="0.25">
      <c r="A106" s="145">
        <v>65</v>
      </c>
      <c r="B106" s="557" t="s">
        <v>270</v>
      </c>
      <c r="C106" s="574" t="s">
        <v>444</v>
      </c>
      <c r="D106" s="583"/>
      <c r="E106" s="563">
        <v>43577</v>
      </c>
      <c r="F106" s="576">
        <v>503.94</v>
      </c>
      <c r="G106" s="584">
        <v>37</v>
      </c>
      <c r="H106" s="556">
        <v>503.94</v>
      </c>
      <c r="I106" s="257">
        <f t="shared" si="18"/>
        <v>0</v>
      </c>
      <c r="J106" s="578"/>
      <c r="K106" s="530"/>
      <c r="L106" s="579"/>
      <c r="M106" s="529"/>
      <c r="N106" s="585"/>
      <c r="O106" s="527" t="s">
        <v>445</v>
      </c>
      <c r="P106" s="528"/>
      <c r="Q106" s="722">
        <v>26708.82</v>
      </c>
      <c r="R106" s="732" t="s">
        <v>562</v>
      </c>
      <c r="S106" s="83">
        <f t="shared" si="19"/>
        <v>26708.82</v>
      </c>
      <c r="T106" s="83">
        <f>S106/H106</f>
        <v>53</v>
      </c>
    </row>
    <row r="107" spans="1:20" s="237" customFormat="1" x14ac:dyDescent="0.25">
      <c r="A107" s="145">
        <v>66</v>
      </c>
      <c r="B107" s="586" t="s">
        <v>270</v>
      </c>
      <c r="C107" s="574" t="s">
        <v>446</v>
      </c>
      <c r="D107" s="575"/>
      <c r="E107" s="563">
        <v>43577</v>
      </c>
      <c r="F107" s="576">
        <v>1000</v>
      </c>
      <c r="G107" s="577">
        <v>100</v>
      </c>
      <c r="H107" s="556">
        <v>1000</v>
      </c>
      <c r="I107" s="257">
        <f t="shared" si="18"/>
        <v>0</v>
      </c>
      <c r="J107" s="578"/>
      <c r="K107" s="530"/>
      <c r="L107" s="579"/>
      <c r="M107" s="529"/>
      <c r="N107" s="585"/>
      <c r="O107" s="527" t="s">
        <v>447</v>
      </c>
      <c r="P107" s="528"/>
      <c r="Q107" s="722">
        <v>29500</v>
      </c>
      <c r="R107" s="732" t="s">
        <v>562</v>
      </c>
      <c r="S107" s="83">
        <f t="shared" ref="S107:S110" si="22">Q107+M107+K107</f>
        <v>29500</v>
      </c>
      <c r="T107" s="83">
        <f t="shared" ref="T107:T110" si="23">S107/H107</f>
        <v>29.5</v>
      </c>
    </row>
    <row r="108" spans="1:20" s="237" customFormat="1" ht="30" x14ac:dyDescent="0.3">
      <c r="A108" s="145">
        <v>67</v>
      </c>
      <c r="B108" s="586" t="s">
        <v>96</v>
      </c>
      <c r="C108" s="574" t="s">
        <v>318</v>
      </c>
      <c r="D108" s="575"/>
      <c r="E108" s="563">
        <v>43580</v>
      </c>
      <c r="F108" s="576">
        <v>3238.93</v>
      </c>
      <c r="G108" s="577">
        <v>112</v>
      </c>
      <c r="H108" s="556">
        <v>3238.73</v>
      </c>
      <c r="I108" s="257">
        <f t="shared" si="18"/>
        <v>-0.1999999999998181</v>
      </c>
      <c r="J108" s="578"/>
      <c r="K108" s="530"/>
      <c r="L108" s="579"/>
      <c r="M108" s="587"/>
      <c r="N108" s="588"/>
      <c r="O108" s="527" t="s">
        <v>476</v>
      </c>
      <c r="P108" s="528"/>
      <c r="Q108" s="529">
        <v>294724.43</v>
      </c>
      <c r="R108" s="731" t="s">
        <v>477</v>
      </c>
      <c r="S108" s="83">
        <f t="shared" si="22"/>
        <v>294724.43</v>
      </c>
      <c r="T108" s="83">
        <f t="shared" si="23"/>
        <v>91</v>
      </c>
    </row>
    <row r="109" spans="1:20" s="237" customFormat="1" ht="18.75" x14ac:dyDescent="0.3">
      <c r="A109" s="145">
        <v>68</v>
      </c>
      <c r="B109" s="586" t="s">
        <v>270</v>
      </c>
      <c r="C109" s="574" t="s">
        <v>275</v>
      </c>
      <c r="D109" s="575"/>
      <c r="E109" s="563">
        <v>43581</v>
      </c>
      <c r="F109" s="576">
        <f>849+857+880+851</f>
        <v>3437</v>
      </c>
      <c r="G109" s="577">
        <v>4</v>
      </c>
      <c r="H109" s="556">
        <v>3437</v>
      </c>
      <c r="I109" s="257">
        <f t="shared" si="18"/>
        <v>0</v>
      </c>
      <c r="J109" s="578"/>
      <c r="K109" s="530"/>
      <c r="L109" s="579"/>
      <c r="M109" s="587"/>
      <c r="N109" s="588"/>
      <c r="O109" s="527" t="s">
        <v>473</v>
      </c>
      <c r="P109" s="528"/>
      <c r="Q109" s="722">
        <v>60147.5</v>
      </c>
      <c r="R109" s="732" t="s">
        <v>562</v>
      </c>
      <c r="S109" s="83">
        <f t="shared" si="22"/>
        <v>60147.5</v>
      </c>
      <c r="T109" s="83">
        <f t="shared" si="23"/>
        <v>17.5</v>
      </c>
    </row>
    <row r="110" spans="1:20" s="237" customFormat="1" ht="18.75" x14ac:dyDescent="0.3">
      <c r="A110" s="145"/>
      <c r="B110" s="586" t="s">
        <v>270</v>
      </c>
      <c r="C110" s="574" t="s">
        <v>275</v>
      </c>
      <c r="D110" s="575"/>
      <c r="E110" s="563">
        <v>43584</v>
      </c>
      <c r="F110" s="576">
        <v>1736</v>
      </c>
      <c r="G110" s="577">
        <v>2</v>
      </c>
      <c r="H110" s="556">
        <v>1736</v>
      </c>
      <c r="I110" s="257">
        <f t="shared" si="18"/>
        <v>0</v>
      </c>
      <c r="J110" s="578"/>
      <c r="K110" s="530"/>
      <c r="L110" s="579"/>
      <c r="M110" s="587"/>
      <c r="N110" s="588"/>
      <c r="O110" s="527" t="s">
        <v>565</v>
      </c>
      <c r="P110" s="528"/>
      <c r="Q110" s="722">
        <v>30380</v>
      </c>
      <c r="R110" s="732" t="s">
        <v>566</v>
      </c>
      <c r="S110" s="83">
        <f t="shared" si="22"/>
        <v>30380</v>
      </c>
      <c r="T110" s="83">
        <f t="shared" si="23"/>
        <v>17.5</v>
      </c>
    </row>
    <row r="111" spans="1:20" s="237" customFormat="1" ht="28.5" x14ac:dyDescent="0.25">
      <c r="A111" s="145">
        <v>69</v>
      </c>
      <c r="B111" s="589" t="s">
        <v>96</v>
      </c>
      <c r="C111" s="590" t="s">
        <v>318</v>
      </c>
      <c r="D111" s="591"/>
      <c r="E111" s="714">
        <v>43588</v>
      </c>
      <c r="F111" s="715">
        <v>4049.03</v>
      </c>
      <c r="G111" s="716">
        <v>140</v>
      </c>
      <c r="H111" s="717">
        <v>4049.03</v>
      </c>
      <c r="I111" s="257">
        <f t="shared" si="18"/>
        <v>0</v>
      </c>
      <c r="J111" s="578"/>
      <c r="K111" s="530"/>
      <c r="L111" s="579"/>
      <c r="M111" s="529"/>
      <c r="N111" s="580"/>
      <c r="O111" s="592" t="s">
        <v>567</v>
      </c>
      <c r="P111" s="528"/>
      <c r="Q111" s="722">
        <v>361983.28</v>
      </c>
      <c r="R111" s="732" t="s">
        <v>568</v>
      </c>
      <c r="S111" s="83">
        <f t="shared" si="19"/>
        <v>361983.28</v>
      </c>
      <c r="T111" s="83">
        <f t="shared" ref="T111:T117" si="24">S111/H111</f>
        <v>89.399999506054542</v>
      </c>
    </row>
    <row r="112" spans="1:20" s="237" customFormat="1" ht="15.75" x14ac:dyDescent="0.25">
      <c r="A112" s="145">
        <v>70</v>
      </c>
      <c r="B112" s="566" t="s">
        <v>270</v>
      </c>
      <c r="C112" s="574" t="s">
        <v>275</v>
      </c>
      <c r="D112" s="575"/>
      <c r="E112" s="718">
        <v>43589</v>
      </c>
      <c r="F112" s="719">
        <f>890.85+948+946.19+908.99</f>
        <v>3694.0299999999997</v>
      </c>
      <c r="G112" s="720">
        <v>4</v>
      </c>
      <c r="H112" s="721">
        <v>3694.03</v>
      </c>
      <c r="I112" s="257">
        <f t="shared" si="18"/>
        <v>0</v>
      </c>
      <c r="J112" s="578"/>
      <c r="K112" s="530"/>
      <c r="L112" s="579"/>
      <c r="M112" s="529"/>
      <c r="N112" s="580"/>
      <c r="O112" s="581" t="s">
        <v>559</v>
      </c>
      <c r="P112" s="528"/>
      <c r="Q112" s="722">
        <v>64645.54</v>
      </c>
      <c r="R112" s="732" t="s">
        <v>569</v>
      </c>
      <c r="S112" s="83">
        <f t="shared" si="19"/>
        <v>64645.54</v>
      </c>
      <c r="T112" s="83">
        <f t="shared" si="24"/>
        <v>17.500004060605896</v>
      </c>
    </row>
    <row r="113" spans="1:20" s="237" customFormat="1" ht="15.75" x14ac:dyDescent="0.25">
      <c r="A113" s="145">
        <v>71</v>
      </c>
      <c r="B113" s="566"/>
      <c r="C113" s="574"/>
      <c r="D113" s="575"/>
      <c r="E113" s="563"/>
      <c r="F113" s="576"/>
      <c r="G113" s="584"/>
      <c r="H113" s="556"/>
      <c r="I113" s="257">
        <f t="shared" si="18"/>
        <v>0</v>
      </c>
      <c r="J113" s="578"/>
      <c r="K113" s="530"/>
      <c r="L113" s="579"/>
      <c r="M113" s="529"/>
      <c r="N113" s="593"/>
      <c r="O113" s="581"/>
      <c r="P113" s="528"/>
      <c r="Q113" s="529"/>
      <c r="R113" s="532"/>
      <c r="S113" s="83">
        <f t="shared" si="19"/>
        <v>0</v>
      </c>
      <c r="T113" s="83" t="e">
        <f t="shared" si="24"/>
        <v>#DIV/0!</v>
      </c>
    </row>
    <row r="114" spans="1:20" s="237" customFormat="1" ht="15.75" x14ac:dyDescent="0.25">
      <c r="A114" s="145">
        <v>72</v>
      </c>
      <c r="B114" s="566"/>
      <c r="C114" s="574"/>
      <c r="D114" s="575"/>
      <c r="E114" s="563"/>
      <c r="F114" s="576"/>
      <c r="G114" s="584"/>
      <c r="H114" s="556"/>
      <c r="I114" s="257">
        <f t="shared" si="18"/>
        <v>0</v>
      </c>
      <c r="J114" s="578"/>
      <c r="K114" s="530"/>
      <c r="L114" s="579"/>
      <c r="M114" s="529"/>
      <c r="N114" s="593"/>
      <c r="O114" s="581"/>
      <c r="P114" s="528"/>
      <c r="Q114" s="529"/>
      <c r="R114" s="532"/>
      <c r="S114" s="83">
        <f t="shared" si="19"/>
        <v>0</v>
      </c>
      <c r="T114" s="83" t="e">
        <f t="shared" si="24"/>
        <v>#DIV/0!</v>
      </c>
    </row>
    <row r="115" spans="1:20" s="237" customFormat="1" ht="15.75" x14ac:dyDescent="0.25">
      <c r="A115" s="145">
        <v>73</v>
      </c>
      <c r="B115" s="566"/>
      <c r="C115" s="574"/>
      <c r="D115" s="575"/>
      <c r="E115" s="563"/>
      <c r="F115" s="576"/>
      <c r="G115" s="584"/>
      <c r="H115" s="556"/>
      <c r="I115" s="257">
        <f t="shared" si="18"/>
        <v>0</v>
      </c>
      <c r="J115" s="578"/>
      <c r="K115" s="530"/>
      <c r="L115" s="579"/>
      <c r="M115" s="529"/>
      <c r="N115" s="593"/>
      <c r="O115" s="581"/>
      <c r="P115" s="528"/>
      <c r="Q115" s="529"/>
      <c r="R115" s="532"/>
      <c r="S115" s="83">
        <f t="shared" si="19"/>
        <v>0</v>
      </c>
      <c r="T115" s="83" t="e">
        <f t="shared" si="24"/>
        <v>#DIV/0!</v>
      </c>
    </row>
    <row r="116" spans="1:20" s="237" customFormat="1" ht="15.75" x14ac:dyDescent="0.25">
      <c r="A116" s="145">
        <v>74</v>
      </c>
      <c r="B116" s="586"/>
      <c r="C116" s="574"/>
      <c r="D116" s="575"/>
      <c r="E116" s="563"/>
      <c r="F116" s="576"/>
      <c r="G116" s="577"/>
      <c r="H116" s="556"/>
      <c r="I116" s="257">
        <f t="shared" si="18"/>
        <v>0</v>
      </c>
      <c r="J116" s="578"/>
      <c r="K116" s="530"/>
      <c r="L116" s="579"/>
      <c r="M116" s="530"/>
      <c r="N116" s="579"/>
      <c r="O116" s="581"/>
      <c r="P116" s="528"/>
      <c r="Q116" s="529"/>
      <c r="R116" s="532"/>
      <c r="S116" s="83">
        <f t="shared" si="19"/>
        <v>0</v>
      </c>
      <c r="T116" s="83" t="e">
        <f t="shared" si="24"/>
        <v>#DIV/0!</v>
      </c>
    </row>
    <row r="117" spans="1:20" s="237" customFormat="1" ht="15.75" x14ac:dyDescent="0.25">
      <c r="A117" s="145">
        <v>75</v>
      </c>
      <c r="B117" s="566"/>
      <c r="C117" s="574"/>
      <c r="D117" s="575"/>
      <c r="E117" s="563"/>
      <c r="F117" s="576"/>
      <c r="G117" s="577"/>
      <c r="H117" s="556"/>
      <c r="I117" s="257">
        <f t="shared" si="18"/>
        <v>0</v>
      </c>
      <c r="J117" s="578"/>
      <c r="K117" s="530"/>
      <c r="L117" s="579"/>
      <c r="M117" s="530"/>
      <c r="N117" s="579"/>
      <c r="O117" s="594"/>
      <c r="P117" s="595"/>
      <c r="Q117" s="533"/>
      <c r="R117" s="596"/>
      <c r="S117" s="83">
        <f t="shared" si="19"/>
        <v>0</v>
      </c>
      <c r="T117" s="83" t="e">
        <f t="shared" si="24"/>
        <v>#DIV/0!</v>
      </c>
    </row>
    <row r="118" spans="1:20" s="237" customFormat="1" ht="15.75" x14ac:dyDescent="0.25">
      <c r="A118" s="145">
        <v>76</v>
      </c>
      <c r="B118" s="557"/>
      <c r="C118" s="574"/>
      <c r="D118" s="575"/>
      <c r="E118" s="563"/>
      <c r="F118" s="576"/>
      <c r="G118" s="577"/>
      <c r="H118" s="556"/>
      <c r="I118" s="257">
        <f t="shared" si="18"/>
        <v>0</v>
      </c>
      <c r="J118" s="578"/>
      <c r="K118" s="530"/>
      <c r="L118" s="579"/>
      <c r="M118" s="530"/>
      <c r="N118" s="579"/>
      <c r="O118" s="581"/>
      <c r="P118" s="528"/>
      <c r="Q118" s="529"/>
      <c r="R118" s="532"/>
      <c r="S118" s="83">
        <f t="shared" ref="S118:S131" si="25">Q118+M118+K118</f>
        <v>0</v>
      </c>
      <c r="T118" s="83" t="e">
        <f>S118/H118+0.1</f>
        <v>#DIV/0!</v>
      </c>
    </row>
    <row r="119" spans="1:20" s="237" customFormat="1" ht="15.75" x14ac:dyDescent="0.25">
      <c r="A119" s="145">
        <v>77</v>
      </c>
      <c r="B119" s="566"/>
      <c r="C119" s="574"/>
      <c r="D119" s="575"/>
      <c r="E119" s="563"/>
      <c r="F119" s="576"/>
      <c r="G119" s="577"/>
      <c r="H119" s="556"/>
      <c r="I119" s="257">
        <f t="shared" si="18"/>
        <v>0</v>
      </c>
      <c r="J119" s="578"/>
      <c r="K119" s="530"/>
      <c r="L119" s="579"/>
      <c r="M119" s="530"/>
      <c r="N119" s="579"/>
      <c r="O119" s="581"/>
      <c r="P119" s="528"/>
      <c r="Q119" s="529"/>
      <c r="R119" s="532"/>
      <c r="S119" s="83">
        <f t="shared" si="25"/>
        <v>0</v>
      </c>
      <c r="T119" s="83" t="e">
        <f t="shared" ref="T119:T126" si="26">S119/H119+0.1</f>
        <v>#DIV/0!</v>
      </c>
    </row>
    <row r="120" spans="1:20" s="237" customFormat="1" ht="15.75" x14ac:dyDescent="0.25">
      <c r="A120" s="145">
        <v>78</v>
      </c>
      <c r="B120" s="566"/>
      <c r="C120" s="597"/>
      <c r="D120" s="575"/>
      <c r="E120" s="563"/>
      <c r="F120" s="576"/>
      <c r="G120" s="577"/>
      <c r="H120" s="556"/>
      <c r="I120" s="257">
        <f t="shared" si="18"/>
        <v>0</v>
      </c>
      <c r="J120" s="578"/>
      <c r="K120" s="530"/>
      <c r="L120" s="579"/>
      <c r="M120" s="529"/>
      <c r="N120" s="580"/>
      <c r="O120" s="581"/>
      <c r="P120" s="528"/>
      <c r="Q120" s="529"/>
      <c r="R120" s="532"/>
      <c r="S120" s="83">
        <f t="shared" si="25"/>
        <v>0</v>
      </c>
      <c r="T120" s="83" t="e">
        <f t="shared" si="26"/>
        <v>#DIV/0!</v>
      </c>
    </row>
    <row r="121" spans="1:20" s="237" customFormat="1" ht="15.75" x14ac:dyDescent="0.25">
      <c r="A121" s="145">
        <v>79</v>
      </c>
      <c r="B121" s="566"/>
      <c r="C121" s="574"/>
      <c r="D121" s="575"/>
      <c r="E121" s="563"/>
      <c r="F121" s="576"/>
      <c r="G121" s="577"/>
      <c r="H121" s="556"/>
      <c r="I121" s="257">
        <f t="shared" si="18"/>
        <v>0</v>
      </c>
      <c r="J121" s="578"/>
      <c r="K121" s="530"/>
      <c r="L121" s="579"/>
      <c r="M121" s="529"/>
      <c r="N121" s="580"/>
      <c r="O121" s="581"/>
      <c r="P121" s="528"/>
      <c r="Q121" s="529"/>
      <c r="R121" s="532"/>
      <c r="S121" s="83">
        <f t="shared" si="25"/>
        <v>0</v>
      </c>
      <c r="T121" s="83" t="e">
        <f t="shared" si="26"/>
        <v>#DIV/0!</v>
      </c>
    </row>
    <row r="122" spans="1:20" s="237" customFormat="1" ht="15.75" x14ac:dyDescent="0.25">
      <c r="A122" s="145">
        <v>80</v>
      </c>
      <c r="B122" s="557"/>
      <c r="C122" s="574"/>
      <c r="D122" s="583"/>
      <c r="E122" s="563"/>
      <c r="F122" s="576"/>
      <c r="G122" s="584"/>
      <c r="H122" s="556"/>
      <c r="I122" s="257">
        <f t="shared" si="18"/>
        <v>0</v>
      </c>
      <c r="J122" s="578"/>
      <c r="K122" s="530"/>
      <c r="L122" s="579"/>
      <c r="M122" s="529"/>
      <c r="N122" s="580"/>
      <c r="O122" s="581"/>
      <c r="P122" s="528"/>
      <c r="Q122" s="529"/>
      <c r="R122" s="532"/>
      <c r="S122" s="83">
        <f t="shared" si="25"/>
        <v>0</v>
      </c>
      <c r="T122" s="83" t="e">
        <f t="shared" si="26"/>
        <v>#DIV/0!</v>
      </c>
    </row>
    <row r="123" spans="1:20" s="237" customFormat="1" ht="15.75" x14ac:dyDescent="0.25">
      <c r="A123" s="145">
        <v>81</v>
      </c>
      <c r="B123" s="566"/>
      <c r="C123" s="574"/>
      <c r="D123" s="583"/>
      <c r="E123" s="563"/>
      <c r="F123" s="576"/>
      <c r="G123" s="584"/>
      <c r="H123" s="556"/>
      <c r="I123" s="257">
        <f t="shared" si="18"/>
        <v>0</v>
      </c>
      <c r="J123" s="578"/>
      <c r="K123" s="529"/>
      <c r="L123" s="579"/>
      <c r="M123" s="529"/>
      <c r="N123" s="580"/>
      <c r="O123" s="581"/>
      <c r="P123" s="528"/>
      <c r="Q123" s="529"/>
      <c r="R123" s="532"/>
      <c r="S123" s="83">
        <f t="shared" si="25"/>
        <v>0</v>
      </c>
      <c r="T123" s="83" t="e">
        <f t="shared" si="26"/>
        <v>#DIV/0!</v>
      </c>
    </row>
    <row r="124" spans="1:20" s="237" customFormat="1" ht="15.75" x14ac:dyDescent="0.25">
      <c r="A124" s="145">
        <v>82</v>
      </c>
      <c r="B124" s="102"/>
      <c r="C124" s="218"/>
      <c r="D124" s="282"/>
      <c r="E124" s="203"/>
      <c r="F124" s="228"/>
      <c r="G124" s="145"/>
      <c r="H124" s="52"/>
      <c r="I124" s="257">
        <f t="shared" si="18"/>
        <v>0</v>
      </c>
      <c r="J124" s="424"/>
      <c r="K124" s="352"/>
      <c r="L124" s="346"/>
      <c r="M124" s="352"/>
      <c r="N124" s="353"/>
      <c r="O124" s="341"/>
      <c r="P124" s="354"/>
      <c r="Q124" s="352"/>
      <c r="R124" s="357"/>
      <c r="S124" s="83">
        <f t="shared" si="25"/>
        <v>0</v>
      </c>
      <c r="T124" s="83" t="e">
        <f t="shared" si="26"/>
        <v>#DIV/0!</v>
      </c>
    </row>
    <row r="125" spans="1:20" s="237" customFormat="1" x14ac:dyDescent="0.25">
      <c r="A125" s="145">
        <v>83</v>
      </c>
      <c r="B125" s="425"/>
      <c r="C125" s="218"/>
      <c r="D125" s="282"/>
      <c r="E125" s="203"/>
      <c r="F125" s="228"/>
      <c r="G125" s="145"/>
      <c r="H125" s="52"/>
      <c r="I125" s="257">
        <f t="shared" si="18"/>
        <v>0</v>
      </c>
      <c r="J125" s="345"/>
      <c r="K125"/>
      <c r="L125" s="346"/>
      <c r="M125" s="352"/>
      <c r="N125" s="353"/>
      <c r="O125" s="341"/>
      <c r="P125" s="354"/>
      <c r="Q125" s="352"/>
      <c r="R125" s="357"/>
      <c r="S125" s="83">
        <f t="shared" si="25"/>
        <v>0</v>
      </c>
      <c r="T125" s="83" t="e">
        <f t="shared" si="26"/>
        <v>#DIV/0!</v>
      </c>
    </row>
    <row r="126" spans="1:20" s="237" customFormat="1" x14ac:dyDescent="0.25">
      <c r="A126" s="145">
        <v>84</v>
      </c>
      <c r="B126" s="281"/>
      <c r="C126" s="218"/>
      <c r="D126" s="147"/>
      <c r="E126" s="203"/>
      <c r="F126" s="228"/>
      <c r="G126" s="145"/>
      <c r="H126" s="52"/>
      <c r="I126" s="257">
        <f t="shared" si="18"/>
        <v>0</v>
      </c>
      <c r="J126" s="341"/>
      <c r="K126" s="345"/>
      <c r="L126" s="346"/>
      <c r="M126" s="352"/>
      <c r="N126" s="358"/>
      <c r="O126" s="341"/>
      <c r="P126" s="354"/>
      <c r="Q126" s="352"/>
      <c r="R126" s="357"/>
      <c r="S126" s="83">
        <f t="shared" si="25"/>
        <v>0</v>
      </c>
      <c r="T126" s="83" t="e">
        <f t="shared" si="26"/>
        <v>#DIV/0!</v>
      </c>
    </row>
    <row r="127" spans="1:20" s="237" customFormat="1" x14ac:dyDescent="0.25">
      <c r="A127" s="145"/>
      <c r="B127" s="281"/>
      <c r="C127" s="218"/>
      <c r="D127" s="147"/>
      <c r="E127" s="203"/>
      <c r="F127" s="228"/>
      <c r="G127" s="145"/>
      <c r="H127" s="52"/>
      <c r="I127" s="257">
        <f t="shared" si="18"/>
        <v>0</v>
      </c>
      <c r="J127" s="341"/>
      <c r="K127" s="345"/>
      <c r="L127" s="346"/>
      <c r="M127" s="352"/>
      <c r="N127" s="358"/>
      <c r="O127" s="341"/>
      <c r="P127" s="354"/>
      <c r="Q127" s="352"/>
      <c r="R127" s="357"/>
      <c r="S127" s="83">
        <f t="shared" si="25"/>
        <v>0</v>
      </c>
      <c r="T127" s="83" t="e">
        <f t="shared" ref="T127:T131" si="27">S127/H127</f>
        <v>#DIV/0!</v>
      </c>
    </row>
    <row r="128" spans="1:20" s="237" customFormat="1" ht="15.75" x14ac:dyDescent="0.25">
      <c r="A128" s="145"/>
      <c r="B128" s="437"/>
      <c r="C128" s="218"/>
      <c r="D128" s="147"/>
      <c r="E128" s="203"/>
      <c r="F128" s="228"/>
      <c r="G128" s="145"/>
      <c r="H128" s="52"/>
      <c r="I128" s="257">
        <f t="shared" si="18"/>
        <v>0</v>
      </c>
      <c r="J128" s="341"/>
      <c r="K128" s="345"/>
      <c r="L128" s="346"/>
      <c r="M128" s="352"/>
      <c r="N128" s="358"/>
      <c r="O128" s="341"/>
      <c r="P128" s="354"/>
      <c r="Q128" s="352"/>
      <c r="R128" s="357"/>
      <c r="S128" s="83">
        <f t="shared" si="25"/>
        <v>0</v>
      </c>
      <c r="T128" s="83" t="e">
        <f t="shared" si="27"/>
        <v>#DIV/0!</v>
      </c>
    </row>
    <row r="129" spans="1:20" s="237" customFormat="1" x14ac:dyDescent="0.25">
      <c r="A129" s="145"/>
      <c r="B129" s="281"/>
      <c r="C129" s="218"/>
      <c r="D129" s="147"/>
      <c r="E129" s="203"/>
      <c r="F129" s="228"/>
      <c r="G129" s="145"/>
      <c r="H129" s="52"/>
      <c r="I129" s="257">
        <f t="shared" si="18"/>
        <v>0</v>
      </c>
      <c r="J129" s="341"/>
      <c r="K129" s="345"/>
      <c r="L129" s="346"/>
      <c r="M129" s="352"/>
      <c r="N129" s="358"/>
      <c r="O129" s="341"/>
      <c r="P129" s="354"/>
      <c r="Q129" s="352"/>
      <c r="R129" s="357"/>
      <c r="S129" s="83">
        <f t="shared" si="25"/>
        <v>0</v>
      </c>
      <c r="T129" s="83" t="e">
        <f t="shared" si="27"/>
        <v>#DIV/0!</v>
      </c>
    </row>
    <row r="130" spans="1:20" s="237" customFormat="1" ht="15.75" x14ac:dyDescent="0.25">
      <c r="A130" s="145"/>
      <c r="B130" s="281"/>
      <c r="C130" s="218"/>
      <c r="D130" s="147"/>
      <c r="E130" s="203"/>
      <c r="F130" s="228"/>
      <c r="G130" s="145"/>
      <c r="H130" s="52"/>
      <c r="I130" s="257">
        <f t="shared" si="18"/>
        <v>0</v>
      </c>
      <c r="J130" s="405"/>
      <c r="K130" s="345"/>
      <c r="L130" s="346"/>
      <c r="M130" s="352"/>
      <c r="N130" s="428"/>
      <c r="O130" s="341"/>
      <c r="P130" s="354"/>
      <c r="Q130" s="352"/>
      <c r="R130" s="357"/>
      <c r="S130" s="83">
        <f t="shared" si="25"/>
        <v>0</v>
      </c>
      <c r="T130" s="83" t="e">
        <f t="shared" si="27"/>
        <v>#DIV/0!</v>
      </c>
    </row>
    <row r="131" spans="1:20" s="237" customFormat="1" x14ac:dyDescent="0.25">
      <c r="A131" s="145"/>
      <c r="B131" s="425"/>
      <c r="C131" s="218"/>
      <c r="D131" s="218"/>
      <c r="E131" s="203"/>
      <c r="F131" s="228"/>
      <c r="G131" s="145"/>
      <c r="H131" s="52"/>
      <c r="I131" s="257">
        <f t="shared" ref="I131:I132" si="28">H131-F131</f>
        <v>0</v>
      </c>
      <c r="J131" s="335"/>
      <c r="K131" s="345"/>
      <c r="L131" s="346"/>
      <c r="M131" s="352"/>
      <c r="N131" s="358"/>
      <c r="O131" s="341"/>
      <c r="P131" s="354"/>
      <c r="Q131" s="352"/>
      <c r="R131" s="357"/>
      <c r="S131" s="83">
        <f t="shared" si="25"/>
        <v>0</v>
      </c>
      <c r="T131" s="83" t="e">
        <f t="shared" si="27"/>
        <v>#DIV/0!</v>
      </c>
    </row>
    <row r="132" spans="1:20" s="237" customFormat="1" x14ac:dyDescent="0.25">
      <c r="A132" s="145"/>
      <c r="B132" s="102"/>
      <c r="C132" s="97"/>
      <c r="D132" s="248"/>
      <c r="E132" s="234"/>
      <c r="F132" s="194"/>
      <c r="G132" s="145"/>
      <c r="H132" s="52"/>
      <c r="I132" s="257">
        <f t="shared" si="28"/>
        <v>0</v>
      </c>
      <c r="J132" s="335"/>
      <c r="K132" s="345"/>
      <c r="L132" s="346"/>
      <c r="M132" s="352"/>
      <c r="N132" s="358"/>
      <c r="O132" s="341"/>
      <c r="P132" s="354"/>
      <c r="Q132" s="352"/>
      <c r="R132" s="357"/>
      <c r="S132" s="83">
        <f t="shared" ref="S132" si="29">Q132+M132+K132</f>
        <v>0</v>
      </c>
      <c r="T132" s="83" t="e">
        <f t="shared" ref="T132" si="30">S132/H132</f>
        <v>#DIV/0!</v>
      </c>
    </row>
    <row r="133" spans="1:20" s="237" customFormat="1" ht="15.75" thickBot="1" x14ac:dyDescent="0.3">
      <c r="A133" s="145"/>
      <c r="B133" s="102"/>
      <c r="C133" s="218"/>
      <c r="D133" s="218"/>
      <c r="E133" s="119"/>
      <c r="F133" s="228"/>
      <c r="G133" s="145"/>
      <c r="H133" s="52"/>
      <c r="I133" s="257">
        <f t="shared" ref="I133:I145" si="31">H133-F133</f>
        <v>0</v>
      </c>
      <c r="J133" s="335"/>
      <c r="K133" s="157"/>
      <c r="L133" s="275"/>
      <c r="M133" s="91"/>
      <c r="N133" s="276"/>
      <c r="O133" s="97"/>
      <c r="P133" s="168"/>
      <c r="Q133" s="78"/>
      <c r="R133" s="292"/>
      <c r="S133" s="83">
        <f t="shared" ref="S133:S138" si="32">Q133+M133+K133</f>
        <v>0</v>
      </c>
      <c r="T133" s="83" t="e">
        <f t="shared" ref="T133:T141" si="33">S133/H133+0.1</f>
        <v>#DIV/0!</v>
      </c>
    </row>
    <row r="134" spans="1:20" s="237" customFormat="1" hidden="1" x14ac:dyDescent="0.25">
      <c r="A134" s="145">
        <v>72</v>
      </c>
      <c r="B134" s="102"/>
      <c r="D134" s="218"/>
      <c r="E134" s="119"/>
      <c r="F134" s="228"/>
      <c r="G134" s="145"/>
      <c r="H134" s="52"/>
      <c r="I134" s="257">
        <f>H134-F134</f>
        <v>0</v>
      </c>
      <c r="J134" s="335"/>
      <c r="K134" s="157"/>
      <c r="L134" s="275"/>
      <c r="M134" s="91"/>
      <c r="N134" s="276"/>
      <c r="O134" s="97"/>
      <c r="P134" s="168"/>
      <c r="Q134" s="285"/>
      <c r="R134" s="283"/>
      <c r="S134" s="83">
        <f t="shared" si="32"/>
        <v>0</v>
      </c>
      <c r="T134" s="83" t="e">
        <f t="shared" si="33"/>
        <v>#DIV/0!</v>
      </c>
    </row>
    <row r="135" spans="1:20" s="237" customFormat="1" hidden="1" x14ac:dyDescent="0.25">
      <c r="A135" s="145">
        <v>73</v>
      </c>
      <c r="B135" s="102"/>
      <c r="D135" s="218"/>
      <c r="E135" s="119"/>
      <c r="F135" s="228"/>
      <c r="G135" s="145"/>
      <c r="H135" s="52"/>
      <c r="I135" s="257">
        <f t="shared" si="31"/>
        <v>0</v>
      </c>
      <c r="J135" s="335"/>
      <c r="K135" s="157"/>
      <c r="L135" s="275"/>
      <c r="M135" s="91"/>
      <c r="N135" s="276"/>
      <c r="O135" s="97"/>
      <c r="P135" s="168"/>
      <c r="Q135" s="285"/>
      <c r="R135" s="283"/>
      <c r="S135" s="83">
        <f t="shared" si="32"/>
        <v>0</v>
      </c>
      <c r="T135" s="83" t="e">
        <f t="shared" si="33"/>
        <v>#DIV/0!</v>
      </c>
    </row>
    <row r="136" spans="1:20" s="237" customFormat="1" hidden="1" x14ac:dyDescent="0.25">
      <c r="A136" s="145">
        <v>74</v>
      </c>
      <c r="B136" s="102"/>
      <c r="D136" s="218"/>
      <c r="E136" s="119"/>
      <c r="F136" s="228"/>
      <c r="G136" s="145"/>
      <c r="H136" s="52"/>
      <c r="I136" s="257">
        <f t="shared" si="31"/>
        <v>0</v>
      </c>
      <c r="J136" s="335"/>
      <c r="K136" s="157"/>
      <c r="L136" s="275"/>
      <c r="M136" s="91"/>
      <c r="N136" s="276"/>
      <c r="O136" s="97"/>
      <c r="P136" s="168"/>
      <c r="Q136" s="285"/>
      <c r="R136" s="284"/>
      <c r="S136" s="83">
        <f t="shared" si="32"/>
        <v>0</v>
      </c>
      <c r="T136" s="83" t="e">
        <f t="shared" si="33"/>
        <v>#DIV/0!</v>
      </c>
    </row>
    <row r="137" spans="1:20" s="237" customFormat="1" hidden="1" x14ac:dyDescent="0.25">
      <c r="A137" s="145">
        <v>75</v>
      </c>
      <c r="B137" s="102"/>
      <c r="D137" s="218"/>
      <c r="E137" s="119"/>
      <c r="F137" s="228"/>
      <c r="G137" s="145"/>
      <c r="H137" s="52"/>
      <c r="I137" s="257">
        <f>H137-F137</f>
        <v>0</v>
      </c>
      <c r="J137" s="335"/>
      <c r="K137" s="157"/>
      <c r="L137" s="275"/>
      <c r="M137" s="91"/>
      <c r="N137" s="276"/>
      <c r="O137" s="97"/>
      <c r="P137" s="168"/>
      <c r="Q137" s="285"/>
      <c r="R137" s="284"/>
      <c r="S137" s="83">
        <f t="shared" si="32"/>
        <v>0</v>
      </c>
      <c r="T137" s="83" t="e">
        <f t="shared" si="33"/>
        <v>#DIV/0!</v>
      </c>
    </row>
    <row r="138" spans="1:20" s="237" customFormat="1" hidden="1" x14ac:dyDescent="0.25">
      <c r="A138" s="145">
        <v>76</v>
      </c>
      <c r="B138" s="102"/>
      <c r="C138" s="218"/>
      <c r="E138" s="119"/>
      <c r="F138" s="228"/>
      <c r="G138" s="145"/>
      <c r="H138" s="52"/>
      <c r="I138" s="257">
        <f t="shared" si="31"/>
        <v>0</v>
      </c>
      <c r="J138" s="335"/>
      <c r="K138" s="157"/>
      <c r="L138" s="275"/>
      <c r="M138" s="91"/>
      <c r="N138" s="276"/>
      <c r="O138" s="97"/>
      <c r="P138" s="168"/>
      <c r="Q138" s="91"/>
      <c r="R138" s="277"/>
      <c r="S138" s="83">
        <f t="shared" si="32"/>
        <v>0</v>
      </c>
      <c r="T138" s="83" t="e">
        <f t="shared" si="33"/>
        <v>#DIV/0!</v>
      </c>
    </row>
    <row r="139" spans="1:20" s="237" customFormat="1" hidden="1" x14ac:dyDescent="0.25">
      <c r="A139" s="145">
        <v>77</v>
      </c>
      <c r="B139" s="102"/>
      <c r="C139" s="218"/>
      <c r="D139" s="147"/>
      <c r="E139" s="119"/>
      <c r="F139" s="228"/>
      <c r="G139" s="145"/>
      <c r="H139" s="52"/>
      <c r="I139" s="257">
        <f t="shared" si="31"/>
        <v>0</v>
      </c>
      <c r="J139" s="335"/>
      <c r="K139" s="157"/>
      <c r="L139" s="258"/>
      <c r="M139" s="91"/>
      <c r="N139" s="276"/>
      <c r="O139" s="97"/>
      <c r="P139" s="168"/>
      <c r="Q139" s="91"/>
      <c r="R139" s="277"/>
      <c r="S139" s="83">
        <f t="shared" ref="S139:S144" si="34">Q139+M139+K139</f>
        <v>0</v>
      </c>
      <c r="T139" s="83" t="e">
        <f t="shared" si="33"/>
        <v>#DIV/0!</v>
      </c>
    </row>
    <row r="140" spans="1:20" s="237" customFormat="1" hidden="1" x14ac:dyDescent="0.25">
      <c r="A140" s="145">
        <v>77</v>
      </c>
      <c r="B140" s="102"/>
      <c r="C140" s="233"/>
      <c r="D140" s="147"/>
      <c r="E140" s="119"/>
      <c r="F140" s="228"/>
      <c r="G140" s="145"/>
      <c r="H140" s="52"/>
      <c r="I140" s="257">
        <f t="shared" si="31"/>
        <v>0</v>
      </c>
      <c r="J140" s="335"/>
      <c r="K140" s="157"/>
      <c r="L140" s="258"/>
      <c r="M140" s="91"/>
      <c r="N140" s="276"/>
      <c r="O140" s="97"/>
      <c r="P140" s="168"/>
      <c r="Q140" s="91"/>
      <c r="R140" s="277"/>
      <c r="S140" s="83">
        <f t="shared" si="34"/>
        <v>0</v>
      </c>
      <c r="T140" s="83" t="e">
        <f t="shared" si="33"/>
        <v>#DIV/0!</v>
      </c>
    </row>
    <row r="141" spans="1:20" s="237" customFormat="1" hidden="1" x14ac:dyDescent="0.25">
      <c r="A141" s="145">
        <v>78</v>
      </c>
      <c r="B141" s="102"/>
      <c r="C141" s="233"/>
      <c r="D141" s="147"/>
      <c r="E141" s="119"/>
      <c r="F141" s="228"/>
      <c r="G141" s="145"/>
      <c r="H141" s="52"/>
      <c r="I141" s="257">
        <f t="shared" si="31"/>
        <v>0</v>
      </c>
      <c r="J141" s="335"/>
      <c r="K141" s="157"/>
      <c r="L141" s="258"/>
      <c r="M141" s="91"/>
      <c r="N141" s="276"/>
      <c r="O141" s="97"/>
      <c r="P141" s="168"/>
      <c r="Q141" s="91"/>
      <c r="R141" s="277"/>
      <c r="S141" s="83">
        <f t="shared" si="34"/>
        <v>0</v>
      </c>
      <c r="T141" s="83" t="e">
        <f t="shared" si="33"/>
        <v>#DIV/0!</v>
      </c>
    </row>
    <row r="142" spans="1:20" s="237" customFormat="1" hidden="1" x14ac:dyDescent="0.25">
      <c r="A142" s="145"/>
      <c r="B142" s="102"/>
      <c r="C142" s="233"/>
      <c r="D142" s="147"/>
      <c r="E142" s="119"/>
      <c r="F142" s="228"/>
      <c r="G142" s="145"/>
      <c r="H142" s="52"/>
      <c r="I142" s="257">
        <f t="shared" si="31"/>
        <v>0</v>
      </c>
      <c r="J142" s="335"/>
      <c r="K142" s="157"/>
      <c r="L142" s="258"/>
      <c r="M142" s="91"/>
      <c r="N142" s="259"/>
      <c r="O142" s="97"/>
      <c r="P142" s="168"/>
      <c r="Q142" s="91"/>
      <c r="R142" s="277"/>
      <c r="S142" s="83">
        <f t="shared" si="34"/>
        <v>0</v>
      </c>
      <c r="T142" s="83" t="e">
        <f>S142/H142</f>
        <v>#DIV/0!</v>
      </c>
    </row>
    <row r="143" spans="1:20" s="237" customFormat="1" hidden="1" x14ac:dyDescent="0.25">
      <c r="A143" s="145"/>
      <c r="B143" s="102"/>
      <c r="C143" s="233"/>
      <c r="D143" s="242"/>
      <c r="E143" s="119"/>
      <c r="F143" s="228"/>
      <c r="G143" s="145"/>
      <c r="H143" s="52"/>
      <c r="I143" s="257">
        <f t="shared" si="31"/>
        <v>0</v>
      </c>
      <c r="J143" s="335"/>
      <c r="K143" s="157"/>
      <c r="L143" s="258"/>
      <c r="M143" s="91"/>
      <c r="N143" s="259"/>
      <c r="O143" s="97"/>
      <c r="P143" s="168"/>
      <c r="Q143" s="78"/>
      <c r="R143" s="278"/>
      <c r="S143" s="83">
        <f t="shared" si="34"/>
        <v>0</v>
      </c>
      <c r="T143" s="83" t="e">
        <f>S143/H143</f>
        <v>#DIV/0!</v>
      </c>
    </row>
    <row r="144" spans="1:20" s="237" customFormat="1" hidden="1" x14ac:dyDescent="0.25">
      <c r="A144" s="145"/>
      <c r="B144" s="102"/>
      <c r="C144" s="233"/>
      <c r="D144" s="242"/>
      <c r="E144" s="119"/>
      <c r="F144" s="228"/>
      <c r="G144" s="145"/>
      <c r="H144" s="52"/>
      <c r="I144" s="257">
        <f t="shared" si="31"/>
        <v>0</v>
      </c>
      <c r="J144" s="335"/>
      <c r="K144" s="157"/>
      <c r="L144" s="258"/>
      <c r="M144" s="91"/>
      <c r="N144" s="259"/>
      <c r="O144" s="97"/>
      <c r="P144" s="168"/>
      <c r="Q144" s="78"/>
      <c r="R144" s="264"/>
      <c r="S144" s="83">
        <f t="shared" si="34"/>
        <v>0</v>
      </c>
      <c r="T144" s="83" t="e">
        <f>S144/H144</f>
        <v>#DIV/0!</v>
      </c>
    </row>
    <row r="145" spans="1:20" s="237" customFormat="1" ht="15.75" hidden="1" thickBot="1" x14ac:dyDescent="0.3">
      <c r="A145" s="145"/>
      <c r="C145" s="101"/>
      <c r="D145" s="242"/>
      <c r="E145" s="160"/>
      <c r="F145" s="228"/>
      <c r="G145" s="145"/>
      <c r="H145" s="52"/>
      <c r="I145" s="257">
        <f t="shared" si="31"/>
        <v>0</v>
      </c>
      <c r="J145" s="191"/>
      <c r="K145" s="265"/>
      <c r="L145" s="266"/>
      <c r="M145" s="91"/>
      <c r="N145" s="195"/>
      <c r="O145" s="97"/>
      <c r="P145" s="137"/>
      <c r="Q145" s="102"/>
      <c r="R145" s="231"/>
      <c r="S145" s="83">
        <f>Q145+M145+K145</f>
        <v>0</v>
      </c>
      <c r="T145" s="83" t="e">
        <f>S145/H145+0.1</f>
        <v>#DIV/0!</v>
      </c>
    </row>
    <row r="146" spans="1:20" s="237" customFormat="1" ht="29.25" customHeight="1" thickTop="1" thickBot="1" x14ac:dyDescent="0.3">
      <c r="A146" s="145"/>
      <c r="C146" s="101"/>
      <c r="D146" s="267"/>
      <c r="E146" s="119"/>
      <c r="F146" s="93" t="s">
        <v>31</v>
      </c>
      <c r="G146" s="94">
        <f>SUM(G5:G145)</f>
        <v>1543</v>
      </c>
      <c r="H146" s="314">
        <f>SUM(H3:H145)</f>
        <v>714736.78</v>
      </c>
      <c r="I146" s="268">
        <f>PIERNA!I37</f>
        <v>-18.369999999998981</v>
      </c>
      <c r="J146" s="50"/>
      <c r="K146" s="270">
        <f>SUM(K5:K145)</f>
        <v>4339075.4000000004</v>
      </c>
      <c r="L146" s="271"/>
      <c r="M146" s="270">
        <f>SUM(M5:M145)</f>
        <v>1055600</v>
      </c>
      <c r="N146" s="272"/>
      <c r="O146" s="269"/>
      <c r="P146" s="169"/>
      <c r="Q146" s="273">
        <f>SUM(Q5:Q145)</f>
        <v>23376314.846070006</v>
      </c>
      <c r="R146" s="232"/>
      <c r="S146" s="289">
        <f>Q146+M146+K146</f>
        <v>28770990.246070005</v>
      </c>
      <c r="T146" s="83"/>
    </row>
    <row r="147" spans="1:20" s="237" customFormat="1" ht="15.75" thickTop="1" x14ac:dyDescent="0.25">
      <c r="D147" s="145"/>
      <c r="E147" s="102"/>
      <c r="J147" s="191"/>
      <c r="O147" s="145"/>
      <c r="P147" s="137"/>
      <c r="Q147" s="102"/>
      <c r="R147" s="233" t="s">
        <v>67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8"/>
  <sheetViews>
    <sheetView zoomScaleNormal="100" workbookViewId="0">
      <pane ySplit="11" topLeftCell="A25" activePane="bottomLeft" state="frozen"/>
      <selection pane="bottomLeft" activeCell="K31" sqref="K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5" t="s">
        <v>244</v>
      </c>
      <c r="B1" s="745"/>
      <c r="C1" s="745"/>
      <c r="D1" s="745"/>
      <c r="E1" s="745"/>
      <c r="F1" s="745"/>
      <c r="G1" s="745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97"/>
      <c r="C4" s="248"/>
      <c r="D4" s="234"/>
      <c r="E4" s="194"/>
      <c r="F4" s="97"/>
      <c r="G4" s="41"/>
    </row>
    <row r="5" spans="1:8" x14ac:dyDescent="0.25">
      <c r="A5" s="102" t="s">
        <v>270</v>
      </c>
      <c r="B5" s="97"/>
      <c r="C5" s="248"/>
      <c r="D5" s="234">
        <v>43558</v>
      </c>
      <c r="E5" s="194">
        <v>884</v>
      </c>
      <c r="F5" s="97">
        <v>1</v>
      </c>
      <c r="G5" s="130">
        <f>F44</f>
        <v>14952.03</v>
      </c>
      <c r="H5" s="8">
        <f>E5-G5+E4+E6+E7+E8+E9+E10</f>
        <v>0</v>
      </c>
    </row>
    <row r="6" spans="1:8" x14ac:dyDescent="0.25">
      <c r="B6" s="376" t="s">
        <v>65</v>
      </c>
      <c r="C6" s="248">
        <v>17.5</v>
      </c>
      <c r="D6" s="234">
        <v>43566</v>
      </c>
      <c r="E6" s="194">
        <f>884+855</f>
        <v>1739</v>
      </c>
      <c r="F6" s="558">
        <v>2</v>
      </c>
      <c r="G6" s="695"/>
      <c r="H6" s="695"/>
    </row>
    <row r="7" spans="1:8" x14ac:dyDescent="0.25">
      <c r="B7" s="376" t="s">
        <v>66</v>
      </c>
      <c r="C7" s="248">
        <v>17.5</v>
      </c>
      <c r="D7" s="234">
        <v>43572</v>
      </c>
      <c r="E7" s="194">
        <f>839+881+860+882</f>
        <v>3462</v>
      </c>
      <c r="F7" s="558">
        <v>4</v>
      </c>
      <c r="G7" s="695"/>
      <c r="H7" s="695"/>
    </row>
    <row r="8" spans="1:8" x14ac:dyDescent="0.25">
      <c r="B8" s="97"/>
      <c r="C8" s="248">
        <v>17.5</v>
      </c>
      <c r="D8" s="234">
        <v>43581</v>
      </c>
      <c r="E8" s="194">
        <f>849+857+880+851</f>
        <v>3437</v>
      </c>
      <c r="F8" s="558">
        <v>4</v>
      </c>
      <c r="G8" s="695"/>
      <c r="H8" s="695"/>
    </row>
    <row r="9" spans="1:8" x14ac:dyDescent="0.25">
      <c r="B9" s="97"/>
      <c r="C9" s="248">
        <v>17.5</v>
      </c>
      <c r="D9" s="234">
        <v>43584</v>
      </c>
      <c r="E9" s="194">
        <v>1736</v>
      </c>
      <c r="F9" s="558">
        <v>2</v>
      </c>
      <c r="G9" s="531"/>
      <c r="H9" s="531"/>
    </row>
    <row r="10" spans="1:8" ht="15.75" thickBot="1" x14ac:dyDescent="0.3">
      <c r="B10" s="97"/>
      <c r="C10" s="248">
        <v>17.5</v>
      </c>
      <c r="D10" s="234">
        <v>43589</v>
      </c>
      <c r="E10" s="194">
        <f>890.85+948+946.19+908.99</f>
        <v>3694.0299999999997</v>
      </c>
      <c r="F10" s="97">
        <v>4</v>
      </c>
    </row>
    <row r="11" spans="1:8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</row>
    <row r="12" spans="1:8" ht="15.75" thickTop="1" x14ac:dyDescent="0.25">
      <c r="A12" s="71" t="s">
        <v>32</v>
      </c>
      <c r="B12" s="131"/>
      <c r="C12" s="16">
        <v>1</v>
      </c>
      <c r="D12" s="610">
        <v>884</v>
      </c>
      <c r="E12" s="611">
        <v>43558</v>
      </c>
      <c r="F12" s="599">
        <f t="shared" ref="F12" si="0">D12</f>
        <v>884</v>
      </c>
      <c r="G12" s="612" t="s">
        <v>375</v>
      </c>
      <c r="H12" s="613">
        <v>18.5</v>
      </c>
    </row>
    <row r="13" spans="1:8" x14ac:dyDescent="0.25">
      <c r="B13" s="131"/>
      <c r="C13" s="16">
        <v>1</v>
      </c>
      <c r="D13" s="666">
        <v>855</v>
      </c>
      <c r="E13" s="667">
        <v>43566</v>
      </c>
      <c r="F13" s="668">
        <f>D13</f>
        <v>855</v>
      </c>
      <c r="G13" s="669" t="s">
        <v>407</v>
      </c>
      <c r="H13" s="670">
        <v>18.5</v>
      </c>
    </row>
    <row r="14" spans="1:8" x14ac:dyDescent="0.25">
      <c r="B14" s="131"/>
      <c r="C14" s="62">
        <v>1</v>
      </c>
      <c r="D14" s="666">
        <v>884</v>
      </c>
      <c r="E14" s="667">
        <v>43566</v>
      </c>
      <c r="F14" s="668">
        <f t="shared" ref="F14:F43" si="1">D14</f>
        <v>884</v>
      </c>
      <c r="G14" s="669" t="s">
        <v>407</v>
      </c>
      <c r="H14" s="670">
        <v>18.5</v>
      </c>
    </row>
    <row r="15" spans="1:8" x14ac:dyDescent="0.25">
      <c r="A15" s="71" t="s">
        <v>33</v>
      </c>
      <c r="B15" s="131"/>
      <c r="C15" s="16">
        <v>1</v>
      </c>
      <c r="D15" s="632">
        <v>839</v>
      </c>
      <c r="E15" s="638">
        <v>43572</v>
      </c>
      <c r="F15" s="639">
        <f t="shared" si="1"/>
        <v>839</v>
      </c>
      <c r="G15" s="634" t="s">
        <v>437</v>
      </c>
      <c r="H15" s="635">
        <v>18.5</v>
      </c>
    </row>
    <row r="16" spans="1:8" x14ac:dyDescent="0.25">
      <c r="B16" s="131"/>
      <c r="C16" s="16">
        <v>1</v>
      </c>
      <c r="D16" s="632">
        <v>881</v>
      </c>
      <c r="E16" s="638">
        <v>43572</v>
      </c>
      <c r="F16" s="639">
        <f t="shared" si="1"/>
        <v>881</v>
      </c>
      <c r="G16" s="634" t="s">
        <v>437</v>
      </c>
      <c r="H16" s="635">
        <v>18.5</v>
      </c>
    </row>
    <row r="17" spans="1:8" x14ac:dyDescent="0.25">
      <c r="A17" s="20"/>
      <c r="B17" s="131"/>
      <c r="C17" s="16">
        <v>1</v>
      </c>
      <c r="D17" s="632">
        <v>860</v>
      </c>
      <c r="E17" s="638">
        <v>43572</v>
      </c>
      <c r="F17" s="639">
        <f t="shared" si="1"/>
        <v>860</v>
      </c>
      <c r="G17" s="634" t="s">
        <v>437</v>
      </c>
      <c r="H17" s="635">
        <v>18.5</v>
      </c>
    </row>
    <row r="18" spans="1:8" x14ac:dyDescent="0.25">
      <c r="B18" s="131"/>
      <c r="C18" s="16">
        <v>1</v>
      </c>
      <c r="D18" s="632">
        <v>882</v>
      </c>
      <c r="E18" s="638">
        <v>43572</v>
      </c>
      <c r="F18" s="639">
        <f t="shared" si="1"/>
        <v>882</v>
      </c>
      <c r="G18" s="634" t="s">
        <v>437</v>
      </c>
      <c r="H18" s="635">
        <v>18.5</v>
      </c>
    </row>
    <row r="19" spans="1:8" x14ac:dyDescent="0.25">
      <c r="B19" s="131"/>
      <c r="C19" s="16">
        <v>1</v>
      </c>
      <c r="D19" s="632">
        <v>849</v>
      </c>
      <c r="E19" s="638">
        <v>43581</v>
      </c>
      <c r="F19" s="639">
        <f t="shared" si="1"/>
        <v>849</v>
      </c>
      <c r="G19" s="634" t="s">
        <v>506</v>
      </c>
      <c r="H19" s="635">
        <v>18.5</v>
      </c>
    </row>
    <row r="20" spans="1:8" x14ac:dyDescent="0.25">
      <c r="B20" s="131"/>
      <c r="C20" s="16">
        <v>1</v>
      </c>
      <c r="D20" s="632">
        <v>857</v>
      </c>
      <c r="E20" s="638">
        <v>43581</v>
      </c>
      <c r="F20" s="639">
        <f t="shared" si="1"/>
        <v>857</v>
      </c>
      <c r="G20" s="634" t="s">
        <v>506</v>
      </c>
      <c r="H20" s="635">
        <v>18.5</v>
      </c>
    </row>
    <row r="21" spans="1:8" x14ac:dyDescent="0.25">
      <c r="B21" s="131"/>
      <c r="C21" s="16">
        <v>1</v>
      </c>
      <c r="D21" s="632">
        <v>880</v>
      </c>
      <c r="E21" s="638">
        <v>43581</v>
      </c>
      <c r="F21" s="639">
        <f t="shared" si="1"/>
        <v>880</v>
      </c>
      <c r="G21" s="634" t="s">
        <v>506</v>
      </c>
      <c r="H21" s="635">
        <v>18.5</v>
      </c>
    </row>
    <row r="22" spans="1:8" x14ac:dyDescent="0.25">
      <c r="B22" s="131"/>
      <c r="C22" s="16">
        <v>1</v>
      </c>
      <c r="D22" s="632">
        <v>851</v>
      </c>
      <c r="E22" s="638">
        <v>43581</v>
      </c>
      <c r="F22" s="639">
        <f t="shared" si="1"/>
        <v>851</v>
      </c>
      <c r="G22" s="634" t="s">
        <v>506</v>
      </c>
      <c r="H22" s="635">
        <v>18.5</v>
      </c>
    </row>
    <row r="23" spans="1:8" x14ac:dyDescent="0.25">
      <c r="B23" s="131"/>
      <c r="C23" s="16">
        <v>1</v>
      </c>
      <c r="D23" s="632">
        <v>881</v>
      </c>
      <c r="E23" s="638">
        <v>43584</v>
      </c>
      <c r="F23" s="639">
        <f t="shared" si="1"/>
        <v>881</v>
      </c>
      <c r="G23" s="634" t="s">
        <v>515</v>
      </c>
      <c r="H23" s="635">
        <v>18.5</v>
      </c>
    </row>
    <row r="24" spans="1:8" x14ac:dyDescent="0.25">
      <c r="B24" s="131"/>
      <c r="C24" s="16">
        <v>1</v>
      </c>
      <c r="D24" s="632">
        <v>855</v>
      </c>
      <c r="E24" s="638">
        <v>43584</v>
      </c>
      <c r="F24" s="639">
        <f t="shared" si="1"/>
        <v>855</v>
      </c>
      <c r="G24" s="634" t="s">
        <v>515</v>
      </c>
      <c r="H24" s="635">
        <v>18.5</v>
      </c>
    </row>
    <row r="25" spans="1:8" x14ac:dyDescent="0.25">
      <c r="B25" s="131"/>
      <c r="C25" s="16">
        <v>1</v>
      </c>
      <c r="D25" s="632">
        <v>890.85</v>
      </c>
      <c r="E25" s="638">
        <v>43589</v>
      </c>
      <c r="F25" s="639">
        <f t="shared" si="1"/>
        <v>890.85</v>
      </c>
      <c r="G25" s="634" t="s">
        <v>553</v>
      </c>
      <c r="H25" s="635">
        <v>18.5</v>
      </c>
    </row>
    <row r="26" spans="1:8" x14ac:dyDescent="0.25">
      <c r="B26" s="131"/>
      <c r="C26" s="16">
        <v>1</v>
      </c>
      <c r="D26" s="632">
        <v>948</v>
      </c>
      <c r="E26" s="638">
        <v>43589</v>
      </c>
      <c r="F26" s="639">
        <f t="shared" si="1"/>
        <v>948</v>
      </c>
      <c r="G26" s="634" t="s">
        <v>553</v>
      </c>
      <c r="H26" s="635">
        <v>18.5</v>
      </c>
    </row>
    <row r="27" spans="1:8" x14ac:dyDescent="0.25">
      <c r="B27" s="131"/>
      <c r="C27" s="16">
        <v>1</v>
      </c>
      <c r="D27" s="632">
        <v>946.19</v>
      </c>
      <c r="E27" s="638">
        <v>43589</v>
      </c>
      <c r="F27" s="639">
        <f t="shared" si="1"/>
        <v>946.19</v>
      </c>
      <c r="G27" s="634" t="s">
        <v>553</v>
      </c>
      <c r="H27" s="635">
        <v>18.5</v>
      </c>
    </row>
    <row r="28" spans="1:8" x14ac:dyDescent="0.25">
      <c r="B28" s="131"/>
      <c r="C28" s="16">
        <v>1</v>
      </c>
      <c r="D28" s="632">
        <v>908.99</v>
      </c>
      <c r="E28" s="638">
        <v>43589</v>
      </c>
      <c r="F28" s="639">
        <f t="shared" si="1"/>
        <v>908.99</v>
      </c>
      <c r="G28" s="634" t="s">
        <v>553</v>
      </c>
      <c r="H28" s="635">
        <v>18.5</v>
      </c>
    </row>
    <row r="29" spans="1:8" x14ac:dyDescent="0.25">
      <c r="B29" s="131"/>
      <c r="C29" s="16"/>
      <c r="D29" s="89">
        <f t="shared" ref="D29:D39" si="2">C29*B29</f>
        <v>0</v>
      </c>
      <c r="E29" s="638"/>
      <c r="F29" s="639">
        <f t="shared" si="1"/>
        <v>0</v>
      </c>
      <c r="G29" s="634"/>
      <c r="H29" s="635"/>
    </row>
    <row r="30" spans="1:8" x14ac:dyDescent="0.25">
      <c r="B30" s="131"/>
      <c r="C30" s="16"/>
      <c r="D30" s="89">
        <f t="shared" si="2"/>
        <v>0</v>
      </c>
      <c r="E30" s="638"/>
      <c r="F30" s="639">
        <f t="shared" si="1"/>
        <v>0</v>
      </c>
      <c r="G30" s="634"/>
      <c r="H30" s="635"/>
    </row>
    <row r="31" spans="1:8" x14ac:dyDescent="0.25">
      <c r="B31" s="131"/>
      <c r="C31" s="16"/>
      <c r="D31" s="89">
        <f t="shared" si="2"/>
        <v>0</v>
      </c>
      <c r="E31" s="119"/>
      <c r="F31" s="154">
        <f t="shared" si="1"/>
        <v>0</v>
      </c>
      <c r="G31" s="90"/>
      <c r="H31" s="91"/>
    </row>
    <row r="32" spans="1:8" x14ac:dyDescent="0.25">
      <c r="B32" s="131"/>
      <c r="C32" s="16"/>
      <c r="D32" s="89">
        <f t="shared" si="2"/>
        <v>0</v>
      </c>
      <c r="E32" s="119"/>
      <c r="F32" s="154">
        <f t="shared" si="1"/>
        <v>0</v>
      </c>
      <c r="G32" s="90"/>
      <c r="H32" s="91"/>
    </row>
    <row r="33" spans="1:8" x14ac:dyDescent="0.25">
      <c r="A33" s="51"/>
      <c r="B33" s="131"/>
      <c r="C33" s="16"/>
      <c r="D33" s="89">
        <f t="shared" si="2"/>
        <v>0</v>
      </c>
      <c r="E33" s="119"/>
      <c r="F33" s="154">
        <f t="shared" si="1"/>
        <v>0</v>
      </c>
      <c r="G33" s="90"/>
      <c r="H33" s="91"/>
    </row>
    <row r="34" spans="1:8" x14ac:dyDescent="0.25">
      <c r="A34" s="51"/>
      <c r="B34" s="131"/>
      <c r="C34" s="16"/>
      <c r="D34" s="89">
        <f t="shared" si="2"/>
        <v>0</v>
      </c>
      <c r="E34" s="119"/>
      <c r="F34" s="154">
        <f t="shared" si="1"/>
        <v>0</v>
      </c>
      <c r="G34" s="90"/>
      <c r="H34" s="91"/>
    </row>
    <row r="35" spans="1:8" x14ac:dyDescent="0.25">
      <c r="A35" s="51"/>
      <c r="B35" s="131"/>
      <c r="C35" s="16"/>
      <c r="D35" s="89">
        <f t="shared" si="2"/>
        <v>0</v>
      </c>
      <c r="E35" s="119"/>
      <c r="F35" s="154">
        <f t="shared" si="1"/>
        <v>0</v>
      </c>
      <c r="G35" s="90"/>
      <c r="H35" s="91"/>
    </row>
    <row r="36" spans="1:8" x14ac:dyDescent="0.25">
      <c r="A36" s="51"/>
      <c r="B36" s="131"/>
      <c r="C36" s="16"/>
      <c r="D36" s="89">
        <f t="shared" si="2"/>
        <v>0</v>
      </c>
      <c r="E36" s="119"/>
      <c r="F36" s="154">
        <f t="shared" si="1"/>
        <v>0</v>
      </c>
      <c r="G36" s="90"/>
      <c r="H36" s="91"/>
    </row>
    <row r="37" spans="1:8" x14ac:dyDescent="0.25">
      <c r="A37" s="51"/>
      <c r="B37" s="131"/>
      <c r="C37" s="16"/>
      <c r="D37" s="89">
        <f t="shared" si="2"/>
        <v>0</v>
      </c>
      <c r="E37" s="119"/>
      <c r="F37" s="154">
        <f t="shared" si="1"/>
        <v>0</v>
      </c>
      <c r="G37" s="90"/>
      <c r="H37" s="91"/>
    </row>
    <row r="38" spans="1:8" x14ac:dyDescent="0.25">
      <c r="A38" s="51"/>
      <c r="B38" s="131"/>
      <c r="C38" s="16"/>
      <c r="D38" s="89">
        <f t="shared" si="2"/>
        <v>0</v>
      </c>
      <c r="E38" s="119"/>
      <c r="F38" s="154">
        <f t="shared" si="1"/>
        <v>0</v>
      </c>
      <c r="G38" s="90"/>
      <c r="H38" s="91"/>
    </row>
    <row r="39" spans="1:8" x14ac:dyDescent="0.25">
      <c r="A39" s="51"/>
      <c r="B39" s="131"/>
      <c r="C39" s="16"/>
      <c r="D39" s="89">
        <f t="shared" si="2"/>
        <v>0</v>
      </c>
      <c r="E39" s="119"/>
      <c r="F39" s="154">
        <f t="shared" si="1"/>
        <v>0</v>
      </c>
      <c r="G39" s="90"/>
      <c r="H39" s="91"/>
    </row>
    <row r="40" spans="1:8" x14ac:dyDescent="0.25">
      <c r="A40" s="51"/>
      <c r="B40" s="131"/>
      <c r="C40" s="16"/>
      <c r="D40" s="89">
        <f t="shared" ref="D40:D42" si="3">C40*B40</f>
        <v>0</v>
      </c>
      <c r="E40" s="119"/>
      <c r="F40" s="154">
        <f t="shared" si="1"/>
        <v>0</v>
      </c>
      <c r="G40" s="90"/>
      <c r="H40" s="91"/>
    </row>
    <row r="41" spans="1:8" x14ac:dyDescent="0.25">
      <c r="A41" s="51"/>
      <c r="B41" s="131"/>
      <c r="C41" s="16"/>
      <c r="D41" s="89">
        <f t="shared" si="3"/>
        <v>0</v>
      </c>
      <c r="E41" s="119"/>
      <c r="F41" s="154">
        <f t="shared" si="1"/>
        <v>0</v>
      </c>
      <c r="G41" s="90"/>
      <c r="H41" s="91"/>
    </row>
    <row r="42" spans="1:8" x14ac:dyDescent="0.25">
      <c r="A42" s="51"/>
      <c r="B42" s="131"/>
      <c r="C42" s="16"/>
      <c r="D42" s="89">
        <f t="shared" si="3"/>
        <v>0</v>
      </c>
      <c r="E42" s="119"/>
      <c r="F42" s="154">
        <f t="shared" si="1"/>
        <v>0</v>
      </c>
      <c r="G42" s="90"/>
      <c r="H42" s="91"/>
    </row>
    <row r="43" spans="1:8" ht="15.75" thickBot="1" x14ac:dyDescent="0.3">
      <c r="A43" s="178"/>
      <c r="B43" s="138"/>
      <c r="C43" s="40"/>
      <c r="D43" s="331">
        <f>B43*C43</f>
        <v>0</v>
      </c>
      <c r="E43" s="332"/>
      <c r="F43" s="333">
        <f t="shared" si="1"/>
        <v>0</v>
      </c>
      <c r="G43" s="150"/>
      <c r="H43" s="293"/>
    </row>
    <row r="44" spans="1:8" ht="15.75" thickTop="1" x14ac:dyDescent="0.25">
      <c r="A44" s="51">
        <f>SUM(A33:A43)</f>
        <v>0</v>
      </c>
      <c r="C44" s="97">
        <f>SUM(C12:C43)</f>
        <v>17</v>
      </c>
      <c r="D44" s="154">
        <f>SUM(D12:D43)</f>
        <v>14952.03</v>
      </c>
      <c r="E44" s="102"/>
      <c r="F44" s="154">
        <f>SUM(F12:F43)</f>
        <v>14952.03</v>
      </c>
    </row>
    <row r="45" spans="1:8" ht="15.75" thickBot="1" x14ac:dyDescent="0.3">
      <c r="A45" s="51"/>
    </row>
    <row r="46" spans="1:8" x14ac:dyDescent="0.25">
      <c r="B46" s="6"/>
      <c r="D46" s="746" t="s">
        <v>21</v>
      </c>
      <c r="E46" s="747"/>
      <c r="F46" s="211">
        <f>E4+E5-F44+E6+E7+E8+E9+E10</f>
        <v>0</v>
      </c>
    </row>
    <row r="47" spans="1:8" ht="15.75" thickBot="1" x14ac:dyDescent="0.3">
      <c r="A47" s="185"/>
      <c r="D47" s="321" t="s">
        <v>4</v>
      </c>
      <c r="E47" s="322"/>
      <c r="F47" s="53">
        <f>F4+F5-C44+F6+F7+F8+F9+F10</f>
        <v>0</v>
      </c>
    </row>
    <row r="48" spans="1:8" x14ac:dyDescent="0.25">
      <c r="B48" s="6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S33"/>
  <sheetViews>
    <sheetView topLeftCell="G1" workbookViewId="0">
      <pane ySplit="7" topLeftCell="A20" activePane="bottomLeft" state="frozen"/>
      <selection pane="bottomLeft" activeCell="N59" sqref="N5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style="97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744" t="s">
        <v>252</v>
      </c>
      <c r="B1" s="744"/>
      <c r="C1" s="744"/>
      <c r="D1" s="744"/>
      <c r="E1" s="744"/>
      <c r="F1" s="744"/>
      <c r="G1" s="744"/>
      <c r="H1" s="12">
        <v>1</v>
      </c>
      <c r="K1" s="744" t="s">
        <v>253</v>
      </c>
      <c r="L1" s="744"/>
      <c r="M1" s="744"/>
      <c r="N1" s="744"/>
      <c r="O1" s="744"/>
      <c r="P1" s="744"/>
      <c r="Q1" s="744"/>
      <c r="R1" s="12">
        <v>2</v>
      </c>
    </row>
    <row r="2" spans="1:19" ht="15.75" thickBot="1" x14ac:dyDescent="0.3"/>
    <row r="3" spans="1:1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94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6.5" thickTop="1" x14ac:dyDescent="0.25">
      <c r="C4" s="84"/>
      <c r="D4" s="203"/>
      <c r="E4" s="343"/>
      <c r="F4" s="207"/>
      <c r="G4" s="41"/>
      <c r="M4" s="84"/>
      <c r="N4" s="203"/>
      <c r="O4" s="343"/>
      <c r="P4" s="207"/>
      <c r="Q4" s="41"/>
    </row>
    <row r="5" spans="1:19" ht="18.75" x14ac:dyDescent="0.3">
      <c r="A5" s="102" t="s">
        <v>91</v>
      </c>
      <c r="B5" s="394" t="s">
        <v>82</v>
      </c>
      <c r="C5" s="167">
        <v>175</v>
      </c>
      <c r="D5" s="203">
        <v>43495</v>
      </c>
      <c r="E5" s="343">
        <v>45.4</v>
      </c>
      <c r="F5" s="207">
        <v>10</v>
      </c>
      <c r="G5" s="130">
        <f>F29</f>
        <v>45.4</v>
      </c>
      <c r="H5" s="8">
        <f>E5-G5+E4+E6</f>
        <v>0</v>
      </c>
      <c r="K5" s="102" t="s">
        <v>91</v>
      </c>
      <c r="L5" s="394" t="s">
        <v>82</v>
      </c>
      <c r="M5" s="167">
        <v>180</v>
      </c>
      <c r="N5" s="203">
        <v>43544</v>
      </c>
      <c r="O5" s="343">
        <v>90.8</v>
      </c>
      <c r="P5" s="207">
        <v>20</v>
      </c>
      <c r="Q5" s="130">
        <f>P29</f>
        <v>18.16</v>
      </c>
      <c r="R5" s="8">
        <f>O5-Q5+O4+O6</f>
        <v>77.180000000000007</v>
      </c>
    </row>
    <row r="6" spans="1:19" ht="16.5" thickBot="1" x14ac:dyDescent="0.3">
      <c r="B6" s="336"/>
      <c r="C6" s="193"/>
      <c r="D6" s="14"/>
      <c r="E6" s="344"/>
      <c r="F6" s="207"/>
      <c r="L6" s="336"/>
      <c r="M6" s="193"/>
      <c r="N6" s="14"/>
      <c r="O6" s="344">
        <v>4.54</v>
      </c>
      <c r="P6" s="207">
        <v>1</v>
      </c>
    </row>
    <row r="7" spans="1:19" ht="16.5" thickTop="1" thickBot="1" x14ac:dyDescent="0.3">
      <c r="B7" s="347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L7" s="347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thickTop="1" x14ac:dyDescent="0.25">
      <c r="A8" s="71" t="s">
        <v>32</v>
      </c>
      <c r="B8" s="348">
        <v>4.54</v>
      </c>
      <c r="C8" s="16">
        <v>1</v>
      </c>
      <c r="D8" s="89">
        <f t="shared" ref="D8:D9" si="0">C8*B8</f>
        <v>4.54</v>
      </c>
      <c r="E8" s="119">
        <v>43511</v>
      </c>
      <c r="F8" s="154">
        <f t="shared" ref="F8:F28" si="1">D8</f>
        <v>4.54</v>
      </c>
      <c r="G8" s="90" t="s">
        <v>168</v>
      </c>
      <c r="H8" s="91">
        <v>210</v>
      </c>
      <c r="I8" s="51">
        <f>E5+E6-F8</f>
        <v>40.86</v>
      </c>
      <c r="K8" s="71" t="s">
        <v>32</v>
      </c>
      <c r="L8" s="348">
        <v>4.54</v>
      </c>
      <c r="M8" s="16">
        <v>2</v>
      </c>
      <c r="N8" s="632">
        <f t="shared" ref="N8:N10" si="2">M8*L8</f>
        <v>9.08</v>
      </c>
      <c r="O8" s="638">
        <v>43558</v>
      </c>
      <c r="P8" s="639">
        <f t="shared" ref="P8:P10" si="3">N8</f>
        <v>9.08</v>
      </c>
      <c r="Q8" s="634" t="s">
        <v>371</v>
      </c>
      <c r="R8" s="635">
        <v>210</v>
      </c>
      <c r="S8" s="51">
        <f>O5+O6-P8</f>
        <v>86.26</v>
      </c>
    </row>
    <row r="9" spans="1:19" x14ac:dyDescent="0.25">
      <c r="B9" s="348">
        <v>4.54</v>
      </c>
      <c r="C9" s="16">
        <v>1</v>
      </c>
      <c r="D9" s="434">
        <f t="shared" si="0"/>
        <v>4.54</v>
      </c>
      <c r="E9" s="446">
        <v>43529</v>
      </c>
      <c r="F9" s="525">
        <f t="shared" si="1"/>
        <v>4.54</v>
      </c>
      <c r="G9" s="280" t="s">
        <v>207</v>
      </c>
      <c r="H9" s="170">
        <v>210</v>
      </c>
      <c r="I9" s="51">
        <f>I8-F9</f>
        <v>36.32</v>
      </c>
      <c r="L9" s="348">
        <v>4.54</v>
      </c>
      <c r="M9" s="16">
        <v>1</v>
      </c>
      <c r="N9" s="632">
        <f t="shared" si="2"/>
        <v>4.54</v>
      </c>
      <c r="O9" s="638">
        <v>43573</v>
      </c>
      <c r="P9" s="639">
        <f t="shared" si="3"/>
        <v>4.54</v>
      </c>
      <c r="Q9" s="634" t="s">
        <v>454</v>
      </c>
      <c r="R9" s="635">
        <v>210</v>
      </c>
      <c r="S9" s="51">
        <f>S8-P9</f>
        <v>81.72</v>
      </c>
    </row>
    <row r="10" spans="1:19" x14ac:dyDescent="0.25">
      <c r="B10" s="348">
        <v>4.54</v>
      </c>
      <c r="C10" s="16">
        <v>1</v>
      </c>
      <c r="D10" s="434">
        <f>C10*B10</f>
        <v>4.54</v>
      </c>
      <c r="E10" s="446">
        <v>43531</v>
      </c>
      <c r="F10" s="525">
        <f t="shared" si="1"/>
        <v>4.54</v>
      </c>
      <c r="G10" s="280" t="s">
        <v>211</v>
      </c>
      <c r="H10" s="170">
        <v>210</v>
      </c>
      <c r="I10" s="51">
        <f t="shared" ref="I10:I22" si="4">I9-F10</f>
        <v>31.78</v>
      </c>
      <c r="L10" s="348">
        <v>4.54</v>
      </c>
      <c r="M10" s="16">
        <v>1</v>
      </c>
      <c r="N10" s="632">
        <f t="shared" si="2"/>
        <v>4.54</v>
      </c>
      <c r="O10" s="638">
        <v>43589</v>
      </c>
      <c r="P10" s="639">
        <f t="shared" si="3"/>
        <v>4.54</v>
      </c>
      <c r="Q10" s="634" t="s">
        <v>549</v>
      </c>
      <c r="R10" s="635">
        <v>210</v>
      </c>
      <c r="S10" s="51">
        <f t="shared" ref="S10:S17" si="5">S9-P10</f>
        <v>77.179999999999993</v>
      </c>
    </row>
    <row r="11" spans="1:19" x14ac:dyDescent="0.25">
      <c r="A11" s="71" t="s">
        <v>33</v>
      </c>
      <c r="B11" s="348">
        <v>4.54</v>
      </c>
      <c r="C11" s="16">
        <v>1</v>
      </c>
      <c r="D11" s="434">
        <f>C11*B11</f>
        <v>4.54</v>
      </c>
      <c r="E11" s="446">
        <v>43533</v>
      </c>
      <c r="F11" s="525">
        <f t="shared" si="1"/>
        <v>4.54</v>
      </c>
      <c r="G11" s="280" t="s">
        <v>212</v>
      </c>
      <c r="H11" s="170">
        <v>210</v>
      </c>
      <c r="I11" s="51">
        <f t="shared" si="4"/>
        <v>27.240000000000002</v>
      </c>
      <c r="K11" s="71" t="s">
        <v>33</v>
      </c>
      <c r="L11" s="348">
        <v>4.54</v>
      </c>
      <c r="M11" s="16"/>
      <c r="N11" s="449">
        <f>M11*L11</f>
        <v>0</v>
      </c>
      <c r="O11" s="468"/>
      <c r="P11" s="469">
        <f t="shared" ref="P11:P28" si="6">N11</f>
        <v>0</v>
      </c>
      <c r="Q11" s="450"/>
      <c r="R11" s="451"/>
      <c r="S11" s="51">
        <f t="shared" si="5"/>
        <v>77.179999999999993</v>
      </c>
    </row>
    <row r="12" spans="1:19" x14ac:dyDescent="0.25">
      <c r="B12" s="348">
        <v>4.54</v>
      </c>
      <c r="C12" s="16">
        <v>1</v>
      </c>
      <c r="D12" s="434">
        <f>C12*B12</f>
        <v>4.54</v>
      </c>
      <c r="E12" s="446">
        <v>43536</v>
      </c>
      <c r="F12" s="525">
        <f t="shared" si="1"/>
        <v>4.54</v>
      </c>
      <c r="G12" s="280" t="s">
        <v>217</v>
      </c>
      <c r="H12" s="170">
        <v>210</v>
      </c>
      <c r="I12" s="51">
        <f t="shared" si="4"/>
        <v>22.700000000000003</v>
      </c>
      <c r="L12" s="348">
        <v>4.54</v>
      </c>
      <c r="M12" s="16"/>
      <c r="N12" s="449">
        <f>M12*L12</f>
        <v>0</v>
      </c>
      <c r="O12" s="468"/>
      <c r="P12" s="469">
        <f t="shared" si="6"/>
        <v>0</v>
      </c>
      <c r="Q12" s="450"/>
      <c r="R12" s="451"/>
      <c r="S12" s="51">
        <f t="shared" si="5"/>
        <v>77.179999999999993</v>
      </c>
    </row>
    <row r="13" spans="1:19" x14ac:dyDescent="0.25">
      <c r="A13" s="20"/>
      <c r="B13" s="348">
        <v>4.54</v>
      </c>
      <c r="C13" s="16">
        <v>1</v>
      </c>
      <c r="D13" s="434">
        <f t="shared" ref="D13:D27" si="7">C13*B13</f>
        <v>4.54</v>
      </c>
      <c r="E13" s="446">
        <v>43543</v>
      </c>
      <c r="F13" s="525">
        <f t="shared" si="1"/>
        <v>4.54</v>
      </c>
      <c r="G13" s="280" t="s">
        <v>221</v>
      </c>
      <c r="H13" s="170">
        <v>210</v>
      </c>
      <c r="I13" s="51">
        <f t="shared" si="4"/>
        <v>18.160000000000004</v>
      </c>
      <c r="K13" s="20"/>
      <c r="L13" s="348">
        <v>4.54</v>
      </c>
      <c r="M13" s="16"/>
      <c r="N13" s="449">
        <f t="shared" ref="N13:N27" si="8">M13*L13</f>
        <v>0</v>
      </c>
      <c r="O13" s="468"/>
      <c r="P13" s="469">
        <f t="shared" si="6"/>
        <v>0</v>
      </c>
      <c r="Q13" s="450"/>
      <c r="R13" s="451"/>
      <c r="S13" s="51">
        <f t="shared" si="5"/>
        <v>77.179999999999993</v>
      </c>
    </row>
    <row r="14" spans="1:19" x14ac:dyDescent="0.25">
      <c r="A14" s="20"/>
      <c r="B14" s="348">
        <v>4.54</v>
      </c>
      <c r="C14" s="16">
        <v>1</v>
      </c>
      <c r="D14" s="434">
        <f t="shared" si="7"/>
        <v>4.54</v>
      </c>
      <c r="E14" s="446">
        <v>43544</v>
      </c>
      <c r="F14" s="525">
        <f t="shared" si="1"/>
        <v>4.54</v>
      </c>
      <c r="G14" s="280" t="s">
        <v>222</v>
      </c>
      <c r="H14" s="170">
        <v>210</v>
      </c>
      <c r="I14" s="51">
        <f t="shared" si="4"/>
        <v>13.620000000000005</v>
      </c>
      <c r="K14" s="20"/>
      <c r="L14" s="348">
        <v>4.54</v>
      </c>
      <c r="M14" s="16"/>
      <c r="N14" s="449">
        <f t="shared" si="8"/>
        <v>0</v>
      </c>
      <c r="O14" s="468"/>
      <c r="P14" s="469">
        <f t="shared" si="6"/>
        <v>0</v>
      </c>
      <c r="Q14" s="450"/>
      <c r="R14" s="451"/>
      <c r="S14" s="51">
        <f t="shared" si="5"/>
        <v>77.179999999999993</v>
      </c>
    </row>
    <row r="15" spans="1:19" x14ac:dyDescent="0.25">
      <c r="A15" s="20"/>
      <c r="B15" s="348">
        <v>4.54</v>
      </c>
      <c r="C15" s="16">
        <v>2</v>
      </c>
      <c r="D15" s="434">
        <f t="shared" si="7"/>
        <v>9.08</v>
      </c>
      <c r="E15" s="446">
        <v>43556</v>
      </c>
      <c r="F15" s="525">
        <f t="shared" si="1"/>
        <v>9.08</v>
      </c>
      <c r="G15" s="280" t="s">
        <v>241</v>
      </c>
      <c r="H15" s="170">
        <v>210</v>
      </c>
      <c r="I15" s="51">
        <f t="shared" si="4"/>
        <v>4.5400000000000045</v>
      </c>
      <c r="K15" s="20"/>
      <c r="L15" s="348">
        <v>4.54</v>
      </c>
      <c r="M15" s="16"/>
      <c r="N15" s="449">
        <f t="shared" si="8"/>
        <v>0</v>
      </c>
      <c r="O15" s="468"/>
      <c r="P15" s="469">
        <f t="shared" si="6"/>
        <v>0</v>
      </c>
      <c r="Q15" s="450"/>
      <c r="R15" s="451"/>
      <c r="S15" s="51">
        <f t="shared" si="5"/>
        <v>77.179999999999993</v>
      </c>
    </row>
    <row r="16" spans="1:19" x14ac:dyDescent="0.25">
      <c r="A16" s="20"/>
      <c r="B16" s="348">
        <v>4.54</v>
      </c>
      <c r="C16" s="16"/>
      <c r="D16" s="632">
        <f t="shared" si="7"/>
        <v>0</v>
      </c>
      <c r="E16" s="638"/>
      <c r="F16" s="639">
        <f t="shared" si="1"/>
        <v>0</v>
      </c>
      <c r="G16" s="701"/>
      <c r="H16" s="702"/>
      <c r="I16" s="700">
        <f t="shared" si="4"/>
        <v>4.5400000000000045</v>
      </c>
      <c r="K16" s="20"/>
      <c r="L16" s="348">
        <v>4.54</v>
      </c>
      <c r="M16" s="16"/>
      <c r="N16" s="449">
        <f t="shared" si="8"/>
        <v>0</v>
      </c>
      <c r="O16" s="468"/>
      <c r="P16" s="469">
        <f t="shared" si="6"/>
        <v>0</v>
      </c>
      <c r="Q16" s="450"/>
      <c r="R16" s="451"/>
      <c r="S16" s="51">
        <f t="shared" si="5"/>
        <v>77.179999999999993</v>
      </c>
    </row>
    <row r="17" spans="1:19" x14ac:dyDescent="0.25">
      <c r="A17" s="20"/>
      <c r="B17" s="348">
        <v>4.54</v>
      </c>
      <c r="C17" s="16">
        <v>1</v>
      </c>
      <c r="D17" s="632">
        <f t="shared" si="7"/>
        <v>4.54</v>
      </c>
      <c r="E17" s="638"/>
      <c r="F17" s="639">
        <f t="shared" si="1"/>
        <v>4.54</v>
      </c>
      <c r="G17" s="701"/>
      <c r="H17" s="702"/>
      <c r="I17" s="700">
        <f t="shared" si="4"/>
        <v>0</v>
      </c>
      <c r="K17" s="20"/>
      <c r="L17" s="348">
        <v>4.54</v>
      </c>
      <c r="M17" s="16"/>
      <c r="N17" s="449">
        <f t="shared" si="8"/>
        <v>0</v>
      </c>
      <c r="O17" s="468"/>
      <c r="P17" s="469">
        <f t="shared" si="6"/>
        <v>0</v>
      </c>
      <c r="Q17" s="450"/>
      <c r="R17" s="451"/>
      <c r="S17" s="51">
        <f t="shared" si="5"/>
        <v>77.179999999999993</v>
      </c>
    </row>
    <row r="18" spans="1:19" x14ac:dyDescent="0.25">
      <c r="A18" s="20"/>
      <c r="B18" s="348">
        <v>4.54</v>
      </c>
      <c r="C18" s="16"/>
      <c r="D18" s="632">
        <f t="shared" si="7"/>
        <v>0</v>
      </c>
      <c r="E18" s="638"/>
      <c r="F18" s="639">
        <f t="shared" si="1"/>
        <v>0</v>
      </c>
      <c r="G18" s="701"/>
      <c r="H18" s="702"/>
      <c r="I18" s="700">
        <f t="shared" si="4"/>
        <v>0</v>
      </c>
      <c r="K18" s="20"/>
      <c r="L18" s="348">
        <v>4.54</v>
      </c>
      <c r="M18" s="16"/>
      <c r="N18" s="449">
        <f t="shared" si="8"/>
        <v>0</v>
      </c>
      <c r="O18" s="468"/>
      <c r="P18" s="469">
        <f t="shared" si="6"/>
        <v>0</v>
      </c>
      <c r="Q18" s="450"/>
      <c r="R18" s="451"/>
      <c r="S18" s="51"/>
    </row>
    <row r="19" spans="1:19" x14ac:dyDescent="0.25">
      <c r="A19" s="20"/>
      <c r="B19" s="348">
        <v>4.54</v>
      </c>
      <c r="C19" s="16"/>
      <c r="D19" s="632">
        <f t="shared" si="7"/>
        <v>0</v>
      </c>
      <c r="E19" s="638"/>
      <c r="F19" s="639">
        <f t="shared" si="1"/>
        <v>0</v>
      </c>
      <c r="G19" s="701"/>
      <c r="H19" s="702"/>
      <c r="I19" s="700">
        <f t="shared" si="4"/>
        <v>0</v>
      </c>
      <c r="K19" s="20"/>
      <c r="L19" s="348">
        <v>4.54</v>
      </c>
      <c r="M19" s="16"/>
      <c r="N19" s="89">
        <f t="shared" si="8"/>
        <v>0</v>
      </c>
      <c r="O19" s="119"/>
      <c r="P19" s="154">
        <f t="shared" si="6"/>
        <v>0</v>
      </c>
      <c r="Q19" s="90"/>
      <c r="R19" s="91"/>
      <c r="S19" s="51"/>
    </row>
    <row r="20" spans="1:19" x14ac:dyDescent="0.25">
      <c r="A20" s="20"/>
      <c r="B20" s="348">
        <v>4.54</v>
      </c>
      <c r="C20" s="16"/>
      <c r="D20" s="632">
        <f t="shared" si="7"/>
        <v>0</v>
      </c>
      <c r="E20" s="638"/>
      <c r="F20" s="639">
        <f t="shared" si="1"/>
        <v>0</v>
      </c>
      <c r="G20" s="701"/>
      <c r="H20" s="702"/>
      <c r="I20" s="700">
        <f t="shared" si="4"/>
        <v>0</v>
      </c>
      <c r="K20" s="20"/>
      <c r="L20" s="348">
        <v>4.54</v>
      </c>
      <c r="M20" s="16"/>
      <c r="N20" s="89">
        <f t="shared" si="8"/>
        <v>0</v>
      </c>
      <c r="O20" s="119"/>
      <c r="P20" s="154">
        <f t="shared" si="6"/>
        <v>0</v>
      </c>
      <c r="Q20" s="90"/>
      <c r="R20" s="91"/>
      <c r="S20" s="237"/>
    </row>
    <row r="21" spans="1:19" x14ac:dyDescent="0.25">
      <c r="A21" s="20"/>
      <c r="B21" s="348">
        <v>4.54</v>
      </c>
      <c r="C21" s="16"/>
      <c r="D21" s="632">
        <f t="shared" si="7"/>
        <v>0</v>
      </c>
      <c r="E21" s="638"/>
      <c r="F21" s="639">
        <f t="shared" si="1"/>
        <v>0</v>
      </c>
      <c r="G21" s="701"/>
      <c r="H21" s="702"/>
      <c r="I21" s="700">
        <f t="shared" si="4"/>
        <v>0</v>
      </c>
      <c r="K21" s="20"/>
      <c r="L21" s="348">
        <v>4.54</v>
      </c>
      <c r="M21" s="16"/>
      <c r="N21" s="89">
        <f t="shared" si="8"/>
        <v>0</v>
      </c>
      <c r="O21" s="119"/>
      <c r="P21" s="154">
        <f t="shared" si="6"/>
        <v>0</v>
      </c>
      <c r="Q21" s="90"/>
      <c r="R21" s="91"/>
      <c r="S21" s="237"/>
    </row>
    <row r="22" spans="1:19" x14ac:dyDescent="0.25">
      <c r="A22" s="20"/>
      <c r="B22" s="348">
        <v>4.54</v>
      </c>
      <c r="C22" s="16"/>
      <c r="D22" s="632">
        <f t="shared" si="7"/>
        <v>0</v>
      </c>
      <c r="E22" s="638"/>
      <c r="F22" s="639">
        <f t="shared" si="1"/>
        <v>0</v>
      </c>
      <c r="G22" s="634"/>
      <c r="H22" s="635"/>
      <c r="I22" s="51">
        <f t="shared" si="4"/>
        <v>0</v>
      </c>
      <c r="K22" s="20"/>
      <c r="L22" s="348">
        <v>4.54</v>
      </c>
      <c r="M22" s="16"/>
      <c r="N22" s="89">
        <f t="shared" si="8"/>
        <v>0</v>
      </c>
      <c r="O22" s="119"/>
      <c r="P22" s="154">
        <f t="shared" si="6"/>
        <v>0</v>
      </c>
      <c r="Q22" s="90"/>
      <c r="R22" s="91"/>
      <c r="S22" s="237"/>
    </row>
    <row r="23" spans="1:19" x14ac:dyDescent="0.25">
      <c r="A23" s="20"/>
      <c r="B23" s="348">
        <v>4.54</v>
      </c>
      <c r="C23" s="16"/>
      <c r="D23" s="89">
        <f t="shared" si="7"/>
        <v>0</v>
      </c>
      <c r="E23" s="119"/>
      <c r="F23" s="154">
        <f t="shared" si="1"/>
        <v>0</v>
      </c>
      <c r="G23" s="90"/>
      <c r="H23" s="91"/>
      <c r="I23" s="237"/>
      <c r="K23" s="20"/>
      <c r="L23" s="348">
        <v>4.54</v>
      </c>
      <c r="M23" s="16"/>
      <c r="N23" s="89">
        <f t="shared" si="8"/>
        <v>0</v>
      </c>
      <c r="O23" s="119"/>
      <c r="P23" s="154">
        <f t="shared" si="6"/>
        <v>0</v>
      </c>
      <c r="Q23" s="90"/>
      <c r="R23" s="91"/>
      <c r="S23" s="237"/>
    </row>
    <row r="24" spans="1:19" x14ac:dyDescent="0.25">
      <c r="A24" s="20"/>
      <c r="B24" s="348">
        <v>4.54</v>
      </c>
      <c r="C24" s="16"/>
      <c r="D24" s="89">
        <f t="shared" si="7"/>
        <v>0</v>
      </c>
      <c r="E24" s="119"/>
      <c r="F24" s="154">
        <f t="shared" si="1"/>
        <v>0</v>
      </c>
      <c r="G24" s="90"/>
      <c r="H24" s="91"/>
      <c r="I24" s="237"/>
      <c r="K24" s="20"/>
      <c r="L24" s="348">
        <v>4.54</v>
      </c>
      <c r="M24" s="16"/>
      <c r="N24" s="89">
        <f t="shared" si="8"/>
        <v>0</v>
      </c>
      <c r="O24" s="119"/>
      <c r="P24" s="154">
        <f t="shared" si="6"/>
        <v>0</v>
      </c>
      <c r="Q24" s="90"/>
      <c r="R24" s="91"/>
      <c r="S24" s="237"/>
    </row>
    <row r="25" spans="1:19" x14ac:dyDescent="0.25">
      <c r="A25" s="20"/>
      <c r="B25" s="348">
        <v>4.54</v>
      </c>
      <c r="C25" s="16"/>
      <c r="D25" s="89">
        <f t="shared" si="7"/>
        <v>0</v>
      </c>
      <c r="E25" s="119"/>
      <c r="F25" s="154">
        <f t="shared" si="1"/>
        <v>0</v>
      </c>
      <c r="G25" s="90"/>
      <c r="H25" s="91"/>
      <c r="I25" s="237"/>
      <c r="K25" s="20"/>
      <c r="L25" s="348">
        <v>4.54</v>
      </c>
      <c r="M25" s="16"/>
      <c r="N25" s="89">
        <f t="shared" si="8"/>
        <v>0</v>
      </c>
      <c r="O25" s="119"/>
      <c r="P25" s="154">
        <f t="shared" si="6"/>
        <v>0</v>
      </c>
      <c r="Q25" s="90"/>
      <c r="R25" s="91"/>
      <c r="S25" s="237"/>
    </row>
    <row r="26" spans="1:19" x14ac:dyDescent="0.25">
      <c r="A26" s="20"/>
      <c r="B26" s="348">
        <v>4.54</v>
      </c>
      <c r="C26" s="16"/>
      <c r="D26" s="89">
        <f t="shared" si="7"/>
        <v>0</v>
      </c>
      <c r="E26" s="119"/>
      <c r="F26" s="154">
        <f t="shared" si="1"/>
        <v>0</v>
      </c>
      <c r="G26" s="90"/>
      <c r="H26" s="91"/>
      <c r="I26" s="237"/>
      <c r="K26" s="20"/>
      <c r="L26" s="348">
        <v>4.54</v>
      </c>
      <c r="M26" s="16"/>
      <c r="N26" s="89">
        <f t="shared" si="8"/>
        <v>0</v>
      </c>
      <c r="O26" s="119"/>
      <c r="P26" s="154">
        <f t="shared" si="6"/>
        <v>0</v>
      </c>
      <c r="Q26" s="90"/>
      <c r="R26" s="91"/>
      <c r="S26" s="237"/>
    </row>
    <row r="27" spans="1:19" x14ac:dyDescent="0.25">
      <c r="B27" s="348">
        <v>4.54</v>
      </c>
      <c r="C27" s="16"/>
      <c r="D27" s="89">
        <f t="shared" si="7"/>
        <v>0</v>
      </c>
      <c r="E27" s="119"/>
      <c r="F27" s="154">
        <f t="shared" si="1"/>
        <v>0</v>
      </c>
      <c r="G27" s="90"/>
      <c r="H27" s="91"/>
      <c r="I27" s="237"/>
      <c r="L27" s="348">
        <v>4.54</v>
      </c>
      <c r="M27" s="16"/>
      <c r="N27" s="89">
        <f t="shared" si="8"/>
        <v>0</v>
      </c>
      <c r="O27" s="119"/>
      <c r="P27" s="154">
        <f t="shared" si="6"/>
        <v>0</v>
      </c>
      <c r="Q27" s="90"/>
      <c r="R27" s="91"/>
      <c r="S27" s="237"/>
    </row>
    <row r="28" spans="1:19" ht="15.75" thickBot="1" x14ac:dyDescent="0.3">
      <c r="A28" s="178"/>
      <c r="B28" s="349"/>
      <c r="C28" s="40"/>
      <c r="D28" s="408">
        <f>B28*C28</f>
        <v>0</v>
      </c>
      <c r="E28" s="409"/>
      <c r="F28" s="410">
        <f t="shared" si="1"/>
        <v>0</v>
      </c>
      <c r="G28" s="209"/>
      <c r="H28" s="392"/>
      <c r="I28" s="237"/>
      <c r="K28" s="178"/>
      <c r="L28" s="349"/>
      <c r="M28" s="40"/>
      <c r="N28" s="408">
        <f>L28*M28</f>
        <v>0</v>
      </c>
      <c r="O28" s="409"/>
      <c r="P28" s="410">
        <f t="shared" si="6"/>
        <v>0</v>
      </c>
      <c r="Q28" s="209"/>
      <c r="R28" s="392"/>
      <c r="S28" s="237"/>
    </row>
    <row r="29" spans="1:19" ht="15.75" thickTop="1" x14ac:dyDescent="0.25">
      <c r="A29" s="51">
        <f>SUM(A28:A28)</f>
        <v>0</v>
      </c>
      <c r="C29" s="97">
        <f>SUM(C8:C28)</f>
        <v>10</v>
      </c>
      <c r="D29" s="154">
        <f>SUM(D8:D28)</f>
        <v>45.4</v>
      </c>
      <c r="E29" s="102"/>
      <c r="F29" s="154">
        <f>SUM(F8:F28)</f>
        <v>45.4</v>
      </c>
      <c r="G29" s="237"/>
      <c r="H29" s="237"/>
      <c r="K29" s="51">
        <f>SUM(K28:K28)</f>
        <v>0</v>
      </c>
      <c r="M29" s="97">
        <f>SUM(M8:M28)</f>
        <v>4</v>
      </c>
      <c r="N29" s="154">
        <f>SUM(N8:N28)</f>
        <v>18.16</v>
      </c>
      <c r="O29" s="102"/>
      <c r="P29" s="154">
        <f>SUM(P8:P28)</f>
        <v>18.16</v>
      </c>
      <c r="Q29" s="237"/>
      <c r="R29" s="237"/>
    </row>
    <row r="30" spans="1:19" ht="15.75" thickBot="1" x14ac:dyDescent="0.3">
      <c r="A30" s="51"/>
      <c r="K30" s="51"/>
    </row>
    <row r="31" spans="1:19" x14ac:dyDescent="0.25">
      <c r="B31" s="350"/>
      <c r="D31" s="746" t="s">
        <v>21</v>
      </c>
      <c r="E31" s="747"/>
      <c r="F31" s="211">
        <f>E4+E5-F29+E6</f>
        <v>0</v>
      </c>
      <c r="L31" s="350"/>
      <c r="N31" s="746" t="s">
        <v>21</v>
      </c>
      <c r="O31" s="747"/>
      <c r="P31" s="211">
        <f>O4+O5-P29+O6</f>
        <v>77.180000000000007</v>
      </c>
    </row>
    <row r="32" spans="1:19" ht="15.75" thickBot="1" x14ac:dyDescent="0.3">
      <c r="A32" s="185"/>
      <c r="D32" s="321" t="s">
        <v>4</v>
      </c>
      <c r="E32" s="322"/>
      <c r="F32" s="53">
        <f>F4+F5-C29+F6</f>
        <v>0</v>
      </c>
      <c r="K32" s="185"/>
      <c r="N32" s="321" t="s">
        <v>4</v>
      </c>
      <c r="O32" s="322"/>
      <c r="P32" s="53">
        <f>P4+P5-M29+P6</f>
        <v>17</v>
      </c>
    </row>
    <row r="33" spans="2:12" x14ac:dyDescent="0.25">
      <c r="B33" s="350"/>
      <c r="L33" s="350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pane ySplit="7" topLeftCell="A8" activePane="bottomLeft" state="frozen"/>
      <selection activeCell="K1" sqref="K1"/>
      <selection pane="bottomLeft" activeCell="J18" sqref="J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4" t="s">
        <v>249</v>
      </c>
      <c r="B1" s="744"/>
      <c r="C1" s="744"/>
      <c r="D1" s="744"/>
      <c r="E1" s="744"/>
      <c r="F1" s="744"/>
      <c r="G1" s="744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C4" s="84"/>
      <c r="D4" s="171"/>
      <c r="E4" s="58"/>
      <c r="F4" s="13"/>
      <c r="G4" s="186"/>
    </row>
    <row r="5" spans="1:8" ht="15.75" x14ac:dyDescent="0.25">
      <c r="A5" s="102" t="s">
        <v>81</v>
      </c>
      <c r="B5" s="207" t="s">
        <v>110</v>
      </c>
      <c r="C5" s="84">
        <v>170</v>
      </c>
      <c r="D5" s="171">
        <v>43495</v>
      </c>
      <c r="E5" s="58">
        <v>120</v>
      </c>
      <c r="F5" s="13">
        <v>10</v>
      </c>
      <c r="G5" s="130">
        <f>F26</f>
        <v>120</v>
      </c>
      <c r="H5" s="8">
        <f>E5-G5+E4+E6</f>
        <v>0</v>
      </c>
    </row>
    <row r="6" spans="1:8" ht="15.75" thickBot="1" x14ac:dyDescent="0.3">
      <c r="B6" s="336"/>
      <c r="C6" s="84"/>
      <c r="D6" s="171"/>
      <c r="E6" s="154"/>
      <c r="F6" s="97"/>
    </row>
    <row r="7" spans="1:8" ht="16.5" thickTop="1" thickBot="1" x14ac:dyDescent="0.3">
      <c r="B7" s="82" t="s">
        <v>7</v>
      </c>
      <c r="C7" s="28" t="s">
        <v>8</v>
      </c>
      <c r="D7" s="406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348">
        <v>12</v>
      </c>
      <c r="C8" s="16">
        <v>1</v>
      </c>
      <c r="D8" s="89">
        <f t="shared" ref="D8:D24" si="0">B8*C8</f>
        <v>12</v>
      </c>
      <c r="E8" s="119">
        <v>43533</v>
      </c>
      <c r="F8" s="154">
        <f>D8</f>
        <v>12</v>
      </c>
      <c r="G8" s="90" t="s">
        <v>212</v>
      </c>
      <c r="H8" s="91">
        <v>210</v>
      </c>
    </row>
    <row r="9" spans="1:8" x14ac:dyDescent="0.25">
      <c r="B9" s="348">
        <v>12</v>
      </c>
      <c r="C9" s="16">
        <v>1</v>
      </c>
      <c r="D9" s="89">
        <f t="shared" si="0"/>
        <v>12</v>
      </c>
      <c r="E9" s="119">
        <v>43552</v>
      </c>
      <c r="F9" s="154">
        <f>D9</f>
        <v>12</v>
      </c>
      <c r="G9" s="90" t="s">
        <v>235</v>
      </c>
      <c r="H9" s="91">
        <v>210</v>
      </c>
    </row>
    <row r="10" spans="1:8" x14ac:dyDescent="0.25">
      <c r="B10" s="348">
        <v>12</v>
      </c>
      <c r="C10" s="16">
        <v>2</v>
      </c>
      <c r="D10" s="89">
        <f t="shared" si="0"/>
        <v>24</v>
      </c>
      <c r="E10" s="119">
        <v>43556</v>
      </c>
      <c r="F10" s="154">
        <f t="shared" ref="F10:F25" si="1">D10</f>
        <v>24</v>
      </c>
      <c r="G10" s="90" t="s">
        <v>241</v>
      </c>
      <c r="H10" s="91">
        <v>210</v>
      </c>
    </row>
    <row r="11" spans="1:8" x14ac:dyDescent="0.25">
      <c r="A11" s="71" t="s">
        <v>33</v>
      </c>
      <c r="B11" s="348">
        <v>12</v>
      </c>
      <c r="C11" s="16">
        <v>1</v>
      </c>
      <c r="D11" s="632">
        <f t="shared" si="0"/>
        <v>12</v>
      </c>
      <c r="E11" s="638">
        <v>43560</v>
      </c>
      <c r="F11" s="639">
        <f t="shared" si="1"/>
        <v>12</v>
      </c>
      <c r="G11" s="634" t="s">
        <v>388</v>
      </c>
      <c r="H11" s="635">
        <v>210</v>
      </c>
    </row>
    <row r="12" spans="1:8" x14ac:dyDescent="0.25">
      <c r="B12" s="348">
        <v>12</v>
      </c>
      <c r="C12" s="16">
        <v>1</v>
      </c>
      <c r="D12" s="632">
        <f t="shared" si="0"/>
        <v>12</v>
      </c>
      <c r="E12" s="638">
        <v>43573</v>
      </c>
      <c r="F12" s="639">
        <f t="shared" si="1"/>
        <v>12</v>
      </c>
      <c r="G12" s="634" t="s">
        <v>454</v>
      </c>
      <c r="H12" s="635">
        <v>210</v>
      </c>
    </row>
    <row r="13" spans="1:8" x14ac:dyDescent="0.25">
      <c r="A13" s="20"/>
      <c r="B13" s="348">
        <v>12</v>
      </c>
      <c r="C13" s="16">
        <v>1</v>
      </c>
      <c r="D13" s="632">
        <f t="shared" si="0"/>
        <v>12</v>
      </c>
      <c r="E13" s="638">
        <v>43578</v>
      </c>
      <c r="F13" s="639">
        <f t="shared" si="1"/>
        <v>12</v>
      </c>
      <c r="G13" s="634" t="s">
        <v>459</v>
      </c>
      <c r="H13" s="635">
        <v>210</v>
      </c>
    </row>
    <row r="14" spans="1:8" x14ac:dyDescent="0.25">
      <c r="B14" s="348">
        <v>12</v>
      </c>
      <c r="C14" s="16">
        <v>3</v>
      </c>
      <c r="D14" s="632">
        <f t="shared" si="0"/>
        <v>36</v>
      </c>
      <c r="E14" s="638">
        <v>43582</v>
      </c>
      <c r="F14" s="639">
        <f t="shared" si="1"/>
        <v>36</v>
      </c>
      <c r="G14" s="634" t="s">
        <v>509</v>
      </c>
      <c r="H14" s="635">
        <v>210</v>
      </c>
    </row>
    <row r="15" spans="1:8" x14ac:dyDescent="0.25">
      <c r="B15" s="348">
        <v>12</v>
      </c>
      <c r="C15" s="16"/>
      <c r="D15" s="632">
        <f t="shared" si="0"/>
        <v>0</v>
      </c>
      <c r="E15" s="638"/>
      <c r="F15" s="704">
        <f t="shared" si="1"/>
        <v>0</v>
      </c>
      <c r="G15" s="701"/>
      <c r="H15" s="702"/>
    </row>
    <row r="16" spans="1:8" x14ac:dyDescent="0.25">
      <c r="B16" s="348">
        <v>12</v>
      </c>
      <c r="C16" s="16"/>
      <c r="D16" s="632">
        <f t="shared" si="0"/>
        <v>0</v>
      </c>
      <c r="E16" s="638"/>
      <c r="F16" s="704">
        <f t="shared" si="1"/>
        <v>0</v>
      </c>
      <c r="G16" s="701"/>
      <c r="H16" s="702"/>
    </row>
    <row r="17" spans="1:8" x14ac:dyDescent="0.25">
      <c r="B17" s="348">
        <v>12</v>
      </c>
      <c r="C17" s="16"/>
      <c r="D17" s="632">
        <f t="shared" si="0"/>
        <v>0</v>
      </c>
      <c r="E17" s="638"/>
      <c r="F17" s="704">
        <f t="shared" si="1"/>
        <v>0</v>
      </c>
      <c r="G17" s="701"/>
      <c r="H17" s="702"/>
    </row>
    <row r="18" spans="1:8" x14ac:dyDescent="0.25">
      <c r="B18" s="348">
        <v>12</v>
      </c>
      <c r="C18" s="16"/>
      <c r="D18" s="632">
        <f t="shared" si="0"/>
        <v>0</v>
      </c>
      <c r="E18" s="638"/>
      <c r="F18" s="704">
        <f t="shared" si="1"/>
        <v>0</v>
      </c>
      <c r="G18" s="701"/>
      <c r="H18" s="702"/>
    </row>
    <row r="19" spans="1:8" x14ac:dyDescent="0.25">
      <c r="B19" s="348">
        <v>12</v>
      </c>
      <c r="C19" s="16"/>
      <c r="D19" s="89">
        <f t="shared" si="0"/>
        <v>0</v>
      </c>
      <c r="E19" s="119"/>
      <c r="F19" s="698">
        <f t="shared" si="1"/>
        <v>0</v>
      </c>
      <c r="G19" s="705"/>
      <c r="H19" s="706"/>
    </row>
    <row r="20" spans="1:8" x14ac:dyDescent="0.25">
      <c r="B20" s="348">
        <v>12</v>
      </c>
      <c r="C20" s="16"/>
      <c r="D20" s="89">
        <f t="shared" si="0"/>
        <v>0</v>
      </c>
      <c r="E20" s="119"/>
      <c r="F20" s="154">
        <f t="shared" si="1"/>
        <v>0</v>
      </c>
      <c r="G20" s="472"/>
      <c r="H20" s="411"/>
    </row>
    <row r="21" spans="1:8" x14ac:dyDescent="0.25">
      <c r="B21" s="348">
        <v>12</v>
      </c>
      <c r="C21" s="16"/>
      <c r="D21" s="89">
        <f t="shared" si="0"/>
        <v>0</v>
      </c>
      <c r="E21" s="119"/>
      <c r="F21" s="154">
        <f t="shared" si="1"/>
        <v>0</v>
      </c>
      <c r="G21" s="472"/>
      <c r="H21" s="411"/>
    </row>
    <row r="22" spans="1:8" x14ac:dyDescent="0.25">
      <c r="B22" s="348">
        <v>12</v>
      </c>
      <c r="C22" s="16"/>
      <c r="D22" s="89">
        <f t="shared" si="0"/>
        <v>0</v>
      </c>
      <c r="E22" s="119"/>
      <c r="F22" s="154">
        <f t="shared" si="1"/>
        <v>0</v>
      </c>
      <c r="G22" s="472"/>
      <c r="H22" s="411"/>
    </row>
    <row r="23" spans="1:8" x14ac:dyDescent="0.25">
      <c r="B23" s="348">
        <v>12</v>
      </c>
      <c r="C23" s="16"/>
      <c r="D23" s="89">
        <f t="shared" si="0"/>
        <v>0</v>
      </c>
      <c r="E23" s="119"/>
      <c r="F23" s="154">
        <f t="shared" si="1"/>
        <v>0</v>
      </c>
      <c r="G23" s="472"/>
      <c r="H23" s="411"/>
    </row>
    <row r="24" spans="1:8" x14ac:dyDescent="0.25">
      <c r="B24" s="348">
        <v>12</v>
      </c>
      <c r="C24" s="16"/>
      <c r="D24" s="89">
        <f t="shared" si="0"/>
        <v>0</v>
      </c>
      <c r="E24" s="119"/>
      <c r="F24" s="154">
        <f t="shared" si="1"/>
        <v>0</v>
      </c>
      <c r="G24" s="472"/>
      <c r="H24" s="411"/>
    </row>
    <row r="25" spans="1:8" ht="15.75" thickBot="1" x14ac:dyDescent="0.3">
      <c r="A25" s="178"/>
      <c r="B25" s="138"/>
      <c r="C25" s="40"/>
      <c r="D25" s="408">
        <f>B25*C25</f>
        <v>0</v>
      </c>
      <c r="E25" s="409"/>
      <c r="F25" s="410">
        <f t="shared" si="1"/>
        <v>0</v>
      </c>
      <c r="G25" s="209"/>
      <c r="H25" s="392"/>
    </row>
    <row r="26" spans="1:8" ht="15.75" thickTop="1" x14ac:dyDescent="0.25">
      <c r="A26" s="51">
        <f>SUM(A25:A25)</f>
        <v>0</v>
      </c>
      <c r="C26" s="97">
        <f>SUM(C8:C25)</f>
        <v>10</v>
      </c>
      <c r="D26" s="154">
        <f>SUM(D8:D25)</f>
        <v>120</v>
      </c>
      <c r="E26" s="102"/>
      <c r="F26" s="154">
        <f>SUM(F8:F25)</f>
        <v>120</v>
      </c>
    </row>
    <row r="27" spans="1:8" ht="15.75" thickBot="1" x14ac:dyDescent="0.3">
      <c r="A27" s="51"/>
    </row>
    <row r="28" spans="1:8" x14ac:dyDescent="0.25">
      <c r="B28" s="6"/>
      <c r="D28" s="746" t="s">
        <v>21</v>
      </c>
      <c r="E28" s="747"/>
      <c r="F28" s="211">
        <f>E4+E5-F26+E6</f>
        <v>0</v>
      </c>
    </row>
    <row r="29" spans="1:8" ht="15.75" thickBot="1" x14ac:dyDescent="0.3">
      <c r="A29" s="185"/>
      <c r="D29" s="321" t="s">
        <v>4</v>
      </c>
      <c r="E29" s="322"/>
      <c r="F29" s="53">
        <f>F4+F5-C26+F6</f>
        <v>0</v>
      </c>
    </row>
    <row r="30" spans="1:8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6" workbookViewId="0">
      <selection activeCell="K19" sqref="K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4" t="s">
        <v>254</v>
      </c>
      <c r="B1" s="744"/>
      <c r="C1" s="744"/>
      <c r="D1" s="744"/>
      <c r="E1" s="744"/>
      <c r="F1" s="744"/>
      <c r="G1" s="744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91</v>
      </c>
      <c r="B5" s="207" t="s">
        <v>202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200</v>
      </c>
      <c r="H5" s="8">
        <f>E5-G5+E4+E6</f>
        <v>200</v>
      </c>
    </row>
    <row r="6" spans="1:8" ht="16.5" thickBot="1" x14ac:dyDescent="0.3">
      <c r="B6" s="207"/>
      <c r="C6" s="246">
        <v>139</v>
      </c>
      <c r="D6" s="171">
        <v>43544</v>
      </c>
      <c r="E6" s="462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210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211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27">
        <f>D10</f>
        <v>20</v>
      </c>
      <c r="G10" s="183" t="s">
        <v>212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27">
        <f t="shared" ref="F11:F25" si="1">D11</f>
        <v>40</v>
      </c>
      <c r="G11" s="183" t="s">
        <v>217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27">
        <f t="shared" si="1"/>
        <v>60</v>
      </c>
      <c r="G12" s="183" t="s">
        <v>241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632">
        <f t="shared" si="0"/>
        <v>40</v>
      </c>
      <c r="E13" s="638">
        <v>43558</v>
      </c>
      <c r="F13" s="639">
        <f t="shared" si="1"/>
        <v>40</v>
      </c>
      <c r="G13" s="634" t="s">
        <v>371</v>
      </c>
      <c r="H13" s="635">
        <v>180</v>
      </c>
    </row>
    <row r="14" spans="1:8" x14ac:dyDescent="0.25">
      <c r="B14" s="131">
        <v>20</v>
      </c>
      <c r="C14" s="16"/>
      <c r="D14" s="632">
        <f t="shared" si="0"/>
        <v>0</v>
      </c>
      <c r="E14" s="638"/>
      <c r="F14" s="639">
        <f t="shared" si="1"/>
        <v>0</v>
      </c>
      <c r="G14" s="634"/>
      <c r="H14" s="635"/>
    </row>
    <row r="15" spans="1:8" x14ac:dyDescent="0.25">
      <c r="B15" s="131">
        <v>20</v>
      </c>
      <c r="C15" s="16"/>
      <c r="D15" s="632">
        <f t="shared" si="0"/>
        <v>0</v>
      </c>
      <c r="E15" s="638"/>
      <c r="F15" s="639">
        <f t="shared" si="1"/>
        <v>0</v>
      </c>
      <c r="G15" s="634"/>
      <c r="H15" s="635"/>
    </row>
    <row r="16" spans="1:8" x14ac:dyDescent="0.25">
      <c r="B16" s="131">
        <v>20</v>
      </c>
      <c r="C16" s="16"/>
      <c r="D16" s="632">
        <f t="shared" si="0"/>
        <v>0</v>
      </c>
      <c r="E16" s="638"/>
      <c r="F16" s="639">
        <f t="shared" si="1"/>
        <v>0</v>
      </c>
      <c r="G16" s="634"/>
      <c r="H16" s="635"/>
    </row>
    <row r="17" spans="1:8" x14ac:dyDescent="0.25">
      <c r="B17" s="131">
        <v>20</v>
      </c>
      <c r="C17" s="16"/>
      <c r="D17" s="632">
        <f t="shared" si="0"/>
        <v>0</v>
      </c>
      <c r="E17" s="638"/>
      <c r="F17" s="639">
        <f t="shared" si="1"/>
        <v>0</v>
      </c>
      <c r="G17" s="634"/>
      <c r="H17" s="635"/>
    </row>
    <row r="18" spans="1:8" x14ac:dyDescent="0.25">
      <c r="B18" s="131">
        <v>20</v>
      </c>
      <c r="C18" s="16"/>
      <c r="D18" s="632">
        <f t="shared" si="0"/>
        <v>0</v>
      </c>
      <c r="E18" s="638"/>
      <c r="F18" s="639">
        <f t="shared" si="1"/>
        <v>0</v>
      </c>
      <c r="G18" s="634"/>
      <c r="H18" s="635"/>
    </row>
    <row r="19" spans="1:8" x14ac:dyDescent="0.25">
      <c r="B19" s="131">
        <v>20</v>
      </c>
      <c r="C19" s="16"/>
      <c r="D19" s="632">
        <f t="shared" si="0"/>
        <v>0</v>
      </c>
      <c r="E19" s="638"/>
      <c r="F19" s="639">
        <f t="shared" si="1"/>
        <v>0</v>
      </c>
      <c r="G19" s="634"/>
      <c r="H19" s="635"/>
    </row>
    <row r="20" spans="1:8" x14ac:dyDescent="0.25">
      <c r="B20" s="131">
        <v>20</v>
      </c>
      <c r="C20" s="16"/>
      <c r="D20" s="632">
        <f t="shared" si="0"/>
        <v>0</v>
      </c>
      <c r="E20" s="638"/>
      <c r="F20" s="639">
        <f t="shared" si="1"/>
        <v>0</v>
      </c>
      <c r="G20" s="634"/>
      <c r="H20" s="635"/>
    </row>
    <row r="21" spans="1:8" x14ac:dyDescent="0.25">
      <c r="B21" s="131">
        <v>20</v>
      </c>
      <c r="C21" s="16"/>
      <c r="D21" s="632">
        <f t="shared" si="0"/>
        <v>0</v>
      </c>
      <c r="E21" s="638"/>
      <c r="F21" s="639">
        <f t="shared" si="1"/>
        <v>0</v>
      </c>
      <c r="G21" s="634"/>
      <c r="H21" s="635"/>
    </row>
    <row r="22" spans="1:8" x14ac:dyDescent="0.25">
      <c r="B22" s="131">
        <v>20</v>
      </c>
      <c r="C22" s="16"/>
      <c r="D22" s="632">
        <f t="shared" si="0"/>
        <v>0</v>
      </c>
      <c r="E22" s="638"/>
      <c r="F22" s="639">
        <f t="shared" si="1"/>
        <v>0</v>
      </c>
      <c r="G22" s="634"/>
      <c r="H22" s="635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27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409"/>
      <c r="F25" s="410">
        <f t="shared" si="1"/>
        <v>0</v>
      </c>
      <c r="G25" s="209"/>
      <c r="H25" s="392"/>
    </row>
    <row r="26" spans="1:8" ht="15.75" thickTop="1" x14ac:dyDescent="0.25">
      <c r="A26" s="51">
        <f>SUM(A25:A25)</f>
        <v>0</v>
      </c>
      <c r="C26" s="97">
        <f>SUM(C8:C25)</f>
        <v>10</v>
      </c>
      <c r="D26" s="154">
        <f>SUM(D8:D25)</f>
        <v>200</v>
      </c>
      <c r="E26" s="102"/>
      <c r="F26" s="154">
        <f>SUM(F8:F25)</f>
        <v>200</v>
      </c>
    </row>
    <row r="27" spans="1:8" ht="15.75" thickBot="1" x14ac:dyDescent="0.3">
      <c r="A27" s="51"/>
    </row>
    <row r="28" spans="1:8" x14ac:dyDescent="0.25">
      <c r="B28" s="6"/>
      <c r="D28" s="746" t="s">
        <v>21</v>
      </c>
      <c r="E28" s="747"/>
      <c r="F28" s="211">
        <f>E4+E5-F26+E6</f>
        <v>200</v>
      </c>
    </row>
    <row r="29" spans="1:8" ht="15.75" thickBot="1" x14ac:dyDescent="0.3">
      <c r="A29" s="185"/>
      <c r="D29" s="321" t="s">
        <v>4</v>
      </c>
      <c r="E29" s="322"/>
      <c r="F29" s="53">
        <f>F4+F5-C26+F6</f>
        <v>10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F1" workbookViewId="0">
      <selection activeCell="U9" sqref="U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744" t="s">
        <v>255</v>
      </c>
      <c r="B1" s="744"/>
      <c r="C1" s="744"/>
      <c r="D1" s="744"/>
      <c r="E1" s="744"/>
      <c r="F1" s="744"/>
      <c r="G1" s="744"/>
      <c r="H1" s="12">
        <v>1</v>
      </c>
      <c r="L1" s="745" t="s">
        <v>244</v>
      </c>
      <c r="M1" s="745"/>
      <c r="N1" s="745"/>
      <c r="O1" s="745"/>
      <c r="P1" s="745"/>
      <c r="Q1" s="745"/>
      <c r="R1" s="745"/>
      <c r="S1" s="12">
        <v>2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1" ht="16.5" thickTop="1" x14ac:dyDescent="0.25">
      <c r="B4" s="13"/>
      <c r="C4" s="407"/>
      <c r="D4" s="204"/>
      <c r="E4" s="194"/>
      <c r="F4" s="97"/>
      <c r="G4" s="243"/>
      <c r="M4" s="13"/>
      <c r="N4" s="407"/>
      <c r="O4" s="204"/>
      <c r="P4" s="194">
        <v>163.32</v>
      </c>
      <c r="Q4" s="97">
        <v>6</v>
      </c>
      <c r="R4" s="243"/>
    </row>
    <row r="5" spans="1:21" ht="15.75" customHeight="1" x14ac:dyDescent="0.25">
      <c r="A5" s="755" t="s">
        <v>104</v>
      </c>
      <c r="B5" s="13" t="s">
        <v>43</v>
      </c>
      <c r="C5" s="248">
        <v>59.8</v>
      </c>
      <c r="D5" s="204">
        <v>43483</v>
      </c>
      <c r="E5" s="194">
        <v>18509.599999999999</v>
      </c>
      <c r="F5" s="97">
        <v>680</v>
      </c>
      <c r="G5" s="676">
        <f>F62</f>
        <v>18509.599999999999</v>
      </c>
      <c r="H5" s="244">
        <f>E5+E6-G5+E4</f>
        <v>0</v>
      </c>
      <c r="L5" s="755" t="s">
        <v>96</v>
      </c>
      <c r="M5" s="13" t="s">
        <v>43</v>
      </c>
      <c r="N5" s="248">
        <v>56</v>
      </c>
      <c r="O5" s="204">
        <v>43556</v>
      </c>
      <c r="P5" s="194">
        <v>18509.599999999999</v>
      </c>
      <c r="Q5" s="97">
        <v>680</v>
      </c>
      <c r="R5" s="51">
        <f>Q62</f>
        <v>7839.3599999999988</v>
      </c>
      <c r="S5" s="244">
        <f>P5+P6-R5+P4</f>
        <v>10833.56</v>
      </c>
    </row>
    <row r="6" spans="1:21" ht="15.75" customHeight="1" thickBot="1" x14ac:dyDescent="0.3">
      <c r="A6" s="755"/>
      <c r="B6" s="251" t="s">
        <v>44</v>
      </c>
      <c r="C6" s="248"/>
      <c r="D6" s="204"/>
      <c r="E6" s="154"/>
      <c r="F6" s="97"/>
      <c r="G6" s="677"/>
      <c r="L6" s="755"/>
      <c r="M6" s="251" t="s">
        <v>44</v>
      </c>
      <c r="N6" s="248"/>
      <c r="O6" s="204"/>
      <c r="P6" s="154"/>
      <c r="Q6" s="97"/>
    </row>
    <row r="7" spans="1:21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71" t="s">
        <v>32</v>
      </c>
      <c r="B8" s="2">
        <v>27.22</v>
      </c>
      <c r="C8" s="16">
        <v>32</v>
      </c>
      <c r="D8" s="89">
        <f>C8*B8</f>
        <v>871.04</v>
      </c>
      <c r="E8" s="126">
        <v>43514</v>
      </c>
      <c r="F8" s="89">
        <f t="shared" ref="F8:F15" si="0">D8</f>
        <v>871.04</v>
      </c>
      <c r="G8" s="90" t="s">
        <v>171</v>
      </c>
      <c r="H8" s="91">
        <v>68</v>
      </c>
      <c r="I8" s="422">
        <f>E5-F8</f>
        <v>17638.559999999998</v>
      </c>
      <c r="J8" s="97">
        <f>F5-C8</f>
        <v>648</v>
      </c>
      <c r="L8" s="71" t="s">
        <v>32</v>
      </c>
      <c r="M8" s="2">
        <v>27.22</v>
      </c>
      <c r="N8" s="16">
        <v>28</v>
      </c>
      <c r="O8" s="89">
        <f t="shared" ref="O8:O10" si="1">N8*M8</f>
        <v>762.16</v>
      </c>
      <c r="P8" s="126">
        <v>43567</v>
      </c>
      <c r="Q8" s="89">
        <f t="shared" ref="Q8:Q10" si="2">O8</f>
        <v>762.16</v>
      </c>
      <c r="R8" s="90" t="s">
        <v>415</v>
      </c>
      <c r="S8" s="91">
        <v>65</v>
      </c>
      <c r="T8" s="422">
        <f>P5-Q8+P4</f>
        <v>17910.759999999998</v>
      </c>
      <c r="U8" s="97">
        <f>Q5-N8+Q4</f>
        <v>658</v>
      </c>
    </row>
    <row r="9" spans="1:21" x14ac:dyDescent="0.25">
      <c r="A9" s="200"/>
      <c r="B9" s="2">
        <v>27.22</v>
      </c>
      <c r="C9" s="16">
        <v>1</v>
      </c>
      <c r="D9" s="89">
        <f t="shared" ref="D9:D16" si="3">C9*B9</f>
        <v>27.22</v>
      </c>
      <c r="E9" s="126">
        <v>43515</v>
      </c>
      <c r="F9" s="89">
        <f t="shared" si="0"/>
        <v>27.22</v>
      </c>
      <c r="G9" s="90" t="s">
        <v>174</v>
      </c>
      <c r="H9" s="91">
        <v>68</v>
      </c>
      <c r="I9" s="422">
        <f>I8-F9</f>
        <v>17611.339999999997</v>
      </c>
      <c r="J9" s="97">
        <f>J8-C9</f>
        <v>647</v>
      </c>
      <c r="L9" s="200"/>
      <c r="M9" s="2">
        <v>27.22</v>
      </c>
      <c r="N9" s="16">
        <v>28</v>
      </c>
      <c r="O9" s="89">
        <f t="shared" si="1"/>
        <v>762.16</v>
      </c>
      <c r="P9" s="126">
        <v>43568</v>
      </c>
      <c r="Q9" s="89">
        <f t="shared" si="2"/>
        <v>762.16</v>
      </c>
      <c r="R9" s="90" t="s">
        <v>424</v>
      </c>
      <c r="S9" s="91">
        <v>65</v>
      </c>
      <c r="T9" s="422">
        <f>T8-Q9</f>
        <v>17148.599999999999</v>
      </c>
      <c r="U9" s="97">
        <f>U8-N9</f>
        <v>630</v>
      </c>
    </row>
    <row r="10" spans="1:21" x14ac:dyDescent="0.25">
      <c r="A10" s="201"/>
      <c r="B10" s="2">
        <v>27.22</v>
      </c>
      <c r="C10" s="16">
        <v>10</v>
      </c>
      <c r="D10" s="89">
        <f t="shared" si="3"/>
        <v>272.2</v>
      </c>
      <c r="E10" s="126">
        <v>43515</v>
      </c>
      <c r="F10" s="89">
        <f t="shared" si="0"/>
        <v>272.2</v>
      </c>
      <c r="G10" s="90" t="s">
        <v>176</v>
      </c>
      <c r="H10" s="91">
        <v>68</v>
      </c>
      <c r="I10" s="422">
        <f t="shared" ref="I10:I49" si="4">I9-F10</f>
        <v>17339.139999999996</v>
      </c>
      <c r="J10" s="97">
        <f t="shared" ref="J10:J33" si="5">J9-C10</f>
        <v>637</v>
      </c>
      <c r="L10" s="201"/>
      <c r="M10" s="2">
        <v>27.22</v>
      </c>
      <c r="N10" s="16">
        <v>32</v>
      </c>
      <c r="O10" s="89">
        <f t="shared" si="1"/>
        <v>871.04</v>
      </c>
      <c r="P10" s="126">
        <v>43572</v>
      </c>
      <c r="Q10" s="89">
        <f t="shared" si="2"/>
        <v>871.04</v>
      </c>
      <c r="R10" s="90" t="s">
        <v>436</v>
      </c>
      <c r="S10" s="91">
        <v>65</v>
      </c>
      <c r="T10" s="422">
        <f t="shared" ref="T10:T60" si="6">T9-Q10</f>
        <v>16277.559999999998</v>
      </c>
      <c r="U10" s="97">
        <f t="shared" ref="U10:U60" si="7">U9-N10</f>
        <v>598</v>
      </c>
    </row>
    <row r="11" spans="1:21" x14ac:dyDescent="0.25">
      <c r="A11" s="71" t="s">
        <v>33</v>
      </c>
      <c r="B11" s="2">
        <v>27.22</v>
      </c>
      <c r="C11" s="16">
        <v>1</v>
      </c>
      <c r="D11" s="89">
        <f t="shared" si="3"/>
        <v>27.22</v>
      </c>
      <c r="E11" s="126">
        <v>43515</v>
      </c>
      <c r="F11" s="89">
        <f t="shared" si="0"/>
        <v>27.22</v>
      </c>
      <c r="G11" s="90" t="s">
        <v>177</v>
      </c>
      <c r="H11" s="91">
        <v>68</v>
      </c>
      <c r="I11" s="422">
        <f t="shared" si="4"/>
        <v>17311.919999999995</v>
      </c>
      <c r="J11" s="97">
        <f t="shared" si="5"/>
        <v>636</v>
      </c>
      <c r="L11" s="71" t="s">
        <v>33</v>
      </c>
      <c r="M11" s="2">
        <v>27.22</v>
      </c>
      <c r="N11" s="16">
        <v>28</v>
      </c>
      <c r="O11" s="89">
        <f t="shared" ref="O11:O61" si="8">N11*M11</f>
        <v>762.16</v>
      </c>
      <c r="P11" s="126">
        <v>43575</v>
      </c>
      <c r="Q11" s="89">
        <f t="shared" ref="Q11:Q61" si="9">O11</f>
        <v>762.16</v>
      </c>
      <c r="R11" s="90" t="s">
        <v>458</v>
      </c>
      <c r="S11" s="91">
        <v>65</v>
      </c>
      <c r="T11" s="422">
        <f t="shared" si="6"/>
        <v>15515.399999999998</v>
      </c>
      <c r="U11" s="97">
        <f t="shared" si="7"/>
        <v>570</v>
      </c>
    </row>
    <row r="12" spans="1:21" x14ac:dyDescent="0.25">
      <c r="A12" s="200"/>
      <c r="B12" s="2">
        <v>27.22</v>
      </c>
      <c r="C12" s="16">
        <v>1</v>
      </c>
      <c r="D12" s="89">
        <f t="shared" si="3"/>
        <v>27.22</v>
      </c>
      <c r="E12" s="119">
        <v>43516</v>
      </c>
      <c r="F12" s="89">
        <f t="shared" si="0"/>
        <v>27.22</v>
      </c>
      <c r="G12" s="137" t="s">
        <v>179</v>
      </c>
      <c r="H12" s="91">
        <v>68</v>
      </c>
      <c r="I12" s="422">
        <f t="shared" si="4"/>
        <v>17284.699999999993</v>
      </c>
      <c r="J12" s="97">
        <f t="shared" si="5"/>
        <v>635</v>
      </c>
      <c r="L12" s="200"/>
      <c r="M12" s="2">
        <v>27.22</v>
      </c>
      <c r="N12" s="16">
        <v>32</v>
      </c>
      <c r="O12" s="89">
        <f t="shared" si="8"/>
        <v>871.04</v>
      </c>
      <c r="P12" s="119">
        <v>43579</v>
      </c>
      <c r="Q12" s="89">
        <f t="shared" si="9"/>
        <v>871.04</v>
      </c>
      <c r="R12" s="137" t="s">
        <v>466</v>
      </c>
      <c r="S12" s="91">
        <v>65</v>
      </c>
      <c r="T12" s="422">
        <f t="shared" si="6"/>
        <v>14644.359999999997</v>
      </c>
      <c r="U12" s="97">
        <f t="shared" si="7"/>
        <v>538</v>
      </c>
    </row>
    <row r="13" spans="1:21" x14ac:dyDescent="0.25">
      <c r="A13" s="97"/>
      <c r="B13" s="2">
        <v>27.22</v>
      </c>
      <c r="C13" s="16">
        <v>28</v>
      </c>
      <c r="D13" s="89">
        <f t="shared" si="3"/>
        <v>762.16</v>
      </c>
      <c r="E13" s="119">
        <v>43516</v>
      </c>
      <c r="F13" s="89">
        <f t="shared" si="0"/>
        <v>762.16</v>
      </c>
      <c r="G13" s="137" t="s">
        <v>180</v>
      </c>
      <c r="H13" s="91">
        <v>68</v>
      </c>
      <c r="I13" s="422">
        <f t="shared" si="4"/>
        <v>16522.539999999994</v>
      </c>
      <c r="J13" s="97">
        <f t="shared" si="5"/>
        <v>607</v>
      </c>
      <c r="L13" s="97"/>
      <c r="M13" s="2">
        <v>27.22</v>
      </c>
      <c r="N13" s="16">
        <v>28</v>
      </c>
      <c r="O13" s="89">
        <f t="shared" si="8"/>
        <v>762.16</v>
      </c>
      <c r="P13" s="119">
        <v>43580</v>
      </c>
      <c r="Q13" s="89">
        <f t="shared" si="9"/>
        <v>762.16</v>
      </c>
      <c r="R13" s="137" t="s">
        <v>500</v>
      </c>
      <c r="S13" s="91">
        <v>65</v>
      </c>
      <c r="T13" s="422">
        <f t="shared" si="6"/>
        <v>13882.199999999997</v>
      </c>
      <c r="U13" s="97">
        <f t="shared" si="7"/>
        <v>510</v>
      </c>
    </row>
    <row r="14" spans="1:21" x14ac:dyDescent="0.25">
      <c r="B14" s="2">
        <v>27.22</v>
      </c>
      <c r="C14" s="16">
        <v>1</v>
      </c>
      <c r="D14" s="89">
        <f t="shared" si="3"/>
        <v>27.22</v>
      </c>
      <c r="E14" s="119">
        <v>43516</v>
      </c>
      <c r="F14" s="89">
        <f t="shared" si="0"/>
        <v>27.22</v>
      </c>
      <c r="G14" s="90" t="s">
        <v>181</v>
      </c>
      <c r="H14" s="91">
        <v>68</v>
      </c>
      <c r="I14" s="422">
        <f t="shared" si="4"/>
        <v>16495.319999999992</v>
      </c>
      <c r="J14" s="97">
        <f t="shared" si="5"/>
        <v>606</v>
      </c>
      <c r="M14" s="2">
        <v>27.22</v>
      </c>
      <c r="N14" s="16">
        <v>28</v>
      </c>
      <c r="O14" s="89">
        <f t="shared" si="8"/>
        <v>762.16</v>
      </c>
      <c r="P14" s="119">
        <v>43582</v>
      </c>
      <c r="Q14" s="89">
        <f t="shared" si="9"/>
        <v>762.16</v>
      </c>
      <c r="R14" s="90" t="s">
        <v>509</v>
      </c>
      <c r="S14" s="91">
        <v>65</v>
      </c>
      <c r="T14" s="422">
        <f t="shared" si="6"/>
        <v>13120.039999999997</v>
      </c>
      <c r="U14" s="97">
        <f t="shared" si="7"/>
        <v>482</v>
      </c>
    </row>
    <row r="15" spans="1:21" x14ac:dyDescent="0.25">
      <c r="B15" s="2">
        <v>27.22</v>
      </c>
      <c r="C15" s="16">
        <v>28</v>
      </c>
      <c r="D15" s="89">
        <f t="shared" si="3"/>
        <v>762.16</v>
      </c>
      <c r="E15" s="126">
        <v>43517</v>
      </c>
      <c r="F15" s="89">
        <f t="shared" si="0"/>
        <v>762.16</v>
      </c>
      <c r="G15" s="90" t="s">
        <v>185</v>
      </c>
      <c r="H15" s="91">
        <v>68</v>
      </c>
      <c r="I15" s="422">
        <f t="shared" si="4"/>
        <v>15733.159999999993</v>
      </c>
      <c r="J15" s="97">
        <f t="shared" si="5"/>
        <v>578</v>
      </c>
      <c r="M15" s="2">
        <v>27.22</v>
      </c>
      <c r="N15" s="16">
        <v>28</v>
      </c>
      <c r="O15" s="89">
        <f t="shared" si="8"/>
        <v>762.16</v>
      </c>
      <c r="P15" s="126">
        <v>43584</v>
      </c>
      <c r="Q15" s="89">
        <f t="shared" si="9"/>
        <v>762.16</v>
      </c>
      <c r="R15" s="90" t="s">
        <v>514</v>
      </c>
      <c r="S15" s="91">
        <v>65</v>
      </c>
      <c r="T15" s="422">
        <f t="shared" si="6"/>
        <v>12357.879999999997</v>
      </c>
      <c r="U15" s="97">
        <f t="shared" si="7"/>
        <v>454</v>
      </c>
    </row>
    <row r="16" spans="1:21" x14ac:dyDescent="0.25">
      <c r="B16" s="2">
        <v>27.22</v>
      </c>
      <c r="C16" s="16">
        <v>5</v>
      </c>
      <c r="D16" s="89">
        <f t="shared" si="3"/>
        <v>136.1</v>
      </c>
      <c r="E16" s="126">
        <v>43517</v>
      </c>
      <c r="F16" s="89">
        <f t="shared" ref="F16:F61" si="10">D16</f>
        <v>136.1</v>
      </c>
      <c r="G16" s="90" t="s">
        <v>186</v>
      </c>
      <c r="H16" s="91">
        <v>68</v>
      </c>
      <c r="I16" s="422">
        <f t="shared" si="4"/>
        <v>15597.059999999992</v>
      </c>
      <c r="J16" s="97">
        <f t="shared" si="5"/>
        <v>573</v>
      </c>
      <c r="M16" s="2">
        <v>27.22</v>
      </c>
      <c r="N16" s="16">
        <v>28</v>
      </c>
      <c r="O16" s="89">
        <f t="shared" si="8"/>
        <v>762.16</v>
      </c>
      <c r="P16" s="126">
        <v>43588</v>
      </c>
      <c r="Q16" s="89">
        <f t="shared" si="9"/>
        <v>762.16</v>
      </c>
      <c r="R16" s="90" t="s">
        <v>548</v>
      </c>
      <c r="S16" s="91">
        <v>65</v>
      </c>
      <c r="T16" s="422">
        <f t="shared" si="6"/>
        <v>11595.719999999998</v>
      </c>
      <c r="U16" s="97">
        <f t="shared" si="7"/>
        <v>426</v>
      </c>
    </row>
    <row r="17" spans="1:21" x14ac:dyDescent="0.25">
      <c r="B17" s="2">
        <v>27.22</v>
      </c>
      <c r="C17" s="16">
        <v>20</v>
      </c>
      <c r="D17" s="89">
        <f t="shared" ref="D17:D61" si="11">C17*B17</f>
        <v>544.4</v>
      </c>
      <c r="E17" s="126">
        <v>43517</v>
      </c>
      <c r="F17" s="89">
        <f t="shared" si="10"/>
        <v>544.4</v>
      </c>
      <c r="G17" s="90" t="s">
        <v>187</v>
      </c>
      <c r="H17" s="518">
        <v>65</v>
      </c>
      <c r="I17" s="422">
        <f t="shared" si="4"/>
        <v>15052.659999999993</v>
      </c>
      <c r="J17" s="97">
        <f t="shared" si="5"/>
        <v>553</v>
      </c>
      <c r="M17" s="2">
        <v>27.22</v>
      </c>
      <c r="N17" s="16">
        <v>28</v>
      </c>
      <c r="O17" s="89">
        <f t="shared" si="8"/>
        <v>762.16</v>
      </c>
      <c r="P17" s="126">
        <v>43591</v>
      </c>
      <c r="Q17" s="89">
        <f t="shared" si="9"/>
        <v>762.16</v>
      </c>
      <c r="R17" s="90" t="s">
        <v>557</v>
      </c>
      <c r="S17" s="518">
        <v>65</v>
      </c>
      <c r="T17" s="422">
        <f t="shared" si="6"/>
        <v>10833.559999999998</v>
      </c>
      <c r="U17" s="97">
        <f t="shared" si="7"/>
        <v>398</v>
      </c>
    </row>
    <row r="18" spans="1:21" x14ac:dyDescent="0.25">
      <c r="B18" s="2">
        <v>27.22</v>
      </c>
      <c r="C18" s="16">
        <v>28</v>
      </c>
      <c r="D18" s="89">
        <f t="shared" si="11"/>
        <v>762.16</v>
      </c>
      <c r="E18" s="126">
        <v>43519</v>
      </c>
      <c r="F18" s="89">
        <f t="shared" si="10"/>
        <v>762.16</v>
      </c>
      <c r="G18" s="90" t="s">
        <v>193</v>
      </c>
      <c r="H18" s="518">
        <v>65</v>
      </c>
      <c r="I18" s="422">
        <f t="shared" si="4"/>
        <v>14290.499999999993</v>
      </c>
      <c r="J18" s="97">
        <f t="shared" si="5"/>
        <v>525</v>
      </c>
      <c r="M18" s="2">
        <v>27.22</v>
      </c>
      <c r="N18" s="16"/>
      <c r="O18" s="89">
        <f t="shared" si="8"/>
        <v>0</v>
      </c>
      <c r="P18" s="126"/>
      <c r="Q18" s="89">
        <f t="shared" si="9"/>
        <v>0</v>
      </c>
      <c r="R18" s="90"/>
      <c r="S18" s="518"/>
      <c r="T18" s="422">
        <f t="shared" si="6"/>
        <v>10833.559999999998</v>
      </c>
      <c r="U18" s="97">
        <f t="shared" si="7"/>
        <v>398</v>
      </c>
    </row>
    <row r="19" spans="1:21" x14ac:dyDescent="0.25">
      <c r="B19" s="2">
        <v>27.22</v>
      </c>
      <c r="C19" s="16">
        <v>29</v>
      </c>
      <c r="D19" s="476">
        <f t="shared" si="11"/>
        <v>789.38</v>
      </c>
      <c r="E19" s="119">
        <v>43521</v>
      </c>
      <c r="F19" s="89">
        <f t="shared" si="10"/>
        <v>789.38</v>
      </c>
      <c r="G19" s="137" t="s">
        <v>194</v>
      </c>
      <c r="H19" s="518">
        <v>65</v>
      </c>
      <c r="I19" s="422">
        <f t="shared" si="4"/>
        <v>13501.119999999994</v>
      </c>
      <c r="J19" s="97">
        <f t="shared" si="5"/>
        <v>496</v>
      </c>
      <c r="M19" s="2">
        <v>27.22</v>
      </c>
      <c r="N19" s="16"/>
      <c r="O19" s="476">
        <f t="shared" si="8"/>
        <v>0</v>
      </c>
      <c r="P19" s="119"/>
      <c r="Q19" s="89">
        <f t="shared" si="9"/>
        <v>0</v>
      </c>
      <c r="R19" s="137"/>
      <c r="S19" s="518"/>
      <c r="T19" s="422">
        <f t="shared" si="6"/>
        <v>10833.559999999998</v>
      </c>
      <c r="U19" s="97">
        <f t="shared" si="7"/>
        <v>398</v>
      </c>
    </row>
    <row r="20" spans="1:21" x14ac:dyDescent="0.25">
      <c r="B20" s="2">
        <v>27.22</v>
      </c>
      <c r="C20" s="16">
        <v>28</v>
      </c>
      <c r="D20" s="476">
        <f t="shared" si="11"/>
        <v>762.16</v>
      </c>
      <c r="E20" s="119">
        <v>43525</v>
      </c>
      <c r="F20" s="89">
        <f t="shared" si="10"/>
        <v>762.16</v>
      </c>
      <c r="G20" s="137" t="s">
        <v>198</v>
      </c>
      <c r="H20" s="518">
        <v>65</v>
      </c>
      <c r="I20" s="422">
        <f t="shared" si="4"/>
        <v>12738.959999999994</v>
      </c>
      <c r="J20" s="97">
        <f t="shared" si="5"/>
        <v>468</v>
      </c>
      <c r="M20" s="2">
        <v>27.22</v>
      </c>
      <c r="N20" s="16"/>
      <c r="O20" s="476">
        <f t="shared" si="8"/>
        <v>0</v>
      </c>
      <c r="P20" s="119"/>
      <c r="Q20" s="89">
        <f t="shared" si="9"/>
        <v>0</v>
      </c>
      <c r="R20" s="137"/>
      <c r="S20" s="518"/>
      <c r="T20" s="422">
        <f t="shared" si="6"/>
        <v>10833.559999999998</v>
      </c>
      <c r="U20" s="97">
        <f t="shared" si="7"/>
        <v>398</v>
      </c>
    </row>
    <row r="21" spans="1:21" x14ac:dyDescent="0.25">
      <c r="A21" t="s">
        <v>22</v>
      </c>
      <c r="B21" s="2">
        <v>27.22</v>
      </c>
      <c r="C21" s="16">
        <v>28</v>
      </c>
      <c r="D21" s="476">
        <f t="shared" si="11"/>
        <v>762.16</v>
      </c>
      <c r="E21" s="119">
        <v>43529</v>
      </c>
      <c r="F21" s="89">
        <f t="shared" si="10"/>
        <v>762.16</v>
      </c>
      <c r="G21" s="90" t="s">
        <v>207</v>
      </c>
      <c r="H21" s="518">
        <v>65</v>
      </c>
      <c r="I21" s="422">
        <f t="shared" si="4"/>
        <v>11976.799999999994</v>
      </c>
      <c r="J21" s="97">
        <f t="shared" si="5"/>
        <v>440</v>
      </c>
      <c r="L21" t="s">
        <v>22</v>
      </c>
      <c r="M21" s="2">
        <v>27.22</v>
      </c>
      <c r="N21" s="16"/>
      <c r="O21" s="476">
        <f t="shared" si="8"/>
        <v>0</v>
      </c>
      <c r="P21" s="119"/>
      <c r="Q21" s="89">
        <f t="shared" si="9"/>
        <v>0</v>
      </c>
      <c r="R21" s="90"/>
      <c r="S21" s="518"/>
      <c r="T21" s="422">
        <f t="shared" si="6"/>
        <v>10833.559999999998</v>
      </c>
      <c r="U21" s="97">
        <f t="shared" si="7"/>
        <v>398</v>
      </c>
    </row>
    <row r="22" spans="1:21" x14ac:dyDescent="0.25">
      <c r="B22" s="2">
        <v>27.22</v>
      </c>
      <c r="C22" s="16">
        <v>28</v>
      </c>
      <c r="D22" s="434">
        <f t="shared" si="11"/>
        <v>762.16</v>
      </c>
      <c r="E22" s="455">
        <v>43530</v>
      </c>
      <c r="F22" s="434">
        <f t="shared" si="10"/>
        <v>762.16</v>
      </c>
      <c r="G22" s="280" t="s">
        <v>208</v>
      </c>
      <c r="H22" s="518">
        <v>65</v>
      </c>
      <c r="I22" s="422">
        <f t="shared" si="4"/>
        <v>11214.639999999994</v>
      </c>
      <c r="J22" s="97">
        <f t="shared" si="5"/>
        <v>412</v>
      </c>
      <c r="M22" s="2">
        <v>27.22</v>
      </c>
      <c r="N22" s="16"/>
      <c r="O22" s="434">
        <f t="shared" si="8"/>
        <v>0</v>
      </c>
      <c r="P22" s="455"/>
      <c r="Q22" s="434">
        <f t="shared" si="9"/>
        <v>0</v>
      </c>
      <c r="R22" s="280"/>
      <c r="S22" s="518"/>
      <c r="T22" s="422">
        <f t="shared" si="6"/>
        <v>10833.559999999998</v>
      </c>
      <c r="U22" s="97">
        <f t="shared" si="7"/>
        <v>398</v>
      </c>
    </row>
    <row r="23" spans="1:21" x14ac:dyDescent="0.25">
      <c r="B23" s="2">
        <v>27.22</v>
      </c>
      <c r="C23" s="16">
        <v>28</v>
      </c>
      <c r="D23" s="526">
        <f t="shared" si="11"/>
        <v>762.16</v>
      </c>
      <c r="E23" s="446">
        <v>43531</v>
      </c>
      <c r="F23" s="434">
        <f t="shared" si="10"/>
        <v>762.16</v>
      </c>
      <c r="G23" s="280" t="s">
        <v>211</v>
      </c>
      <c r="H23" s="518">
        <v>65</v>
      </c>
      <c r="I23" s="422">
        <f t="shared" si="4"/>
        <v>10452.479999999994</v>
      </c>
      <c r="J23" s="97">
        <f t="shared" si="5"/>
        <v>384</v>
      </c>
      <c r="M23" s="2">
        <v>27.22</v>
      </c>
      <c r="N23" s="16"/>
      <c r="O23" s="526">
        <f t="shared" si="8"/>
        <v>0</v>
      </c>
      <c r="P23" s="446"/>
      <c r="Q23" s="434">
        <f t="shared" si="9"/>
        <v>0</v>
      </c>
      <c r="R23" s="280"/>
      <c r="S23" s="518"/>
      <c r="T23" s="422">
        <f t="shared" si="6"/>
        <v>10833.559999999998</v>
      </c>
      <c r="U23" s="97">
        <f t="shared" si="7"/>
        <v>398</v>
      </c>
    </row>
    <row r="24" spans="1:21" x14ac:dyDescent="0.25">
      <c r="B24" s="2">
        <v>27.22</v>
      </c>
      <c r="C24" s="16">
        <v>28</v>
      </c>
      <c r="D24" s="434">
        <f t="shared" si="11"/>
        <v>762.16</v>
      </c>
      <c r="E24" s="455">
        <v>43533</v>
      </c>
      <c r="F24" s="434">
        <f t="shared" si="10"/>
        <v>762.16</v>
      </c>
      <c r="G24" s="280" t="s">
        <v>212</v>
      </c>
      <c r="H24" s="518">
        <v>65</v>
      </c>
      <c r="I24" s="422">
        <f t="shared" si="4"/>
        <v>9690.3199999999943</v>
      </c>
      <c r="J24" s="97">
        <f t="shared" si="5"/>
        <v>356</v>
      </c>
      <c r="M24" s="2">
        <v>27.22</v>
      </c>
      <c r="N24" s="16"/>
      <c r="O24" s="434">
        <f t="shared" si="8"/>
        <v>0</v>
      </c>
      <c r="P24" s="455"/>
      <c r="Q24" s="434">
        <f t="shared" si="9"/>
        <v>0</v>
      </c>
      <c r="R24" s="280"/>
      <c r="S24" s="518"/>
      <c r="T24" s="422">
        <f t="shared" si="6"/>
        <v>10833.559999999998</v>
      </c>
      <c r="U24" s="97">
        <f t="shared" si="7"/>
        <v>398</v>
      </c>
    </row>
    <row r="25" spans="1:21" x14ac:dyDescent="0.25">
      <c r="B25" s="2">
        <v>27.22</v>
      </c>
      <c r="C25" s="16">
        <v>28</v>
      </c>
      <c r="D25" s="434">
        <f t="shared" si="11"/>
        <v>762.16</v>
      </c>
      <c r="E25" s="455">
        <v>43535</v>
      </c>
      <c r="F25" s="434">
        <f t="shared" si="10"/>
        <v>762.16</v>
      </c>
      <c r="G25" s="280" t="s">
        <v>213</v>
      </c>
      <c r="H25" s="518">
        <v>65</v>
      </c>
      <c r="I25" s="422">
        <f t="shared" si="4"/>
        <v>8928.1599999999944</v>
      </c>
      <c r="J25" s="97">
        <f t="shared" si="5"/>
        <v>328</v>
      </c>
      <c r="M25" s="2">
        <v>27.22</v>
      </c>
      <c r="N25" s="16"/>
      <c r="O25" s="434">
        <f t="shared" si="8"/>
        <v>0</v>
      </c>
      <c r="P25" s="455"/>
      <c r="Q25" s="434">
        <f t="shared" si="9"/>
        <v>0</v>
      </c>
      <c r="R25" s="280"/>
      <c r="S25" s="518"/>
      <c r="T25" s="422">
        <f t="shared" si="6"/>
        <v>10833.559999999998</v>
      </c>
      <c r="U25" s="97">
        <f t="shared" si="7"/>
        <v>398</v>
      </c>
    </row>
    <row r="26" spans="1:21" x14ac:dyDescent="0.25">
      <c r="B26" s="2">
        <v>27.22</v>
      </c>
      <c r="C26" s="16">
        <v>28</v>
      </c>
      <c r="D26" s="434">
        <f t="shared" si="11"/>
        <v>762.16</v>
      </c>
      <c r="E26" s="455">
        <v>43538</v>
      </c>
      <c r="F26" s="434">
        <f t="shared" si="10"/>
        <v>762.16</v>
      </c>
      <c r="G26" s="280" t="s">
        <v>216</v>
      </c>
      <c r="H26" s="518">
        <v>65</v>
      </c>
      <c r="I26" s="422">
        <f t="shared" si="4"/>
        <v>8165.9999999999945</v>
      </c>
      <c r="J26" s="97">
        <f t="shared" si="5"/>
        <v>300</v>
      </c>
      <c r="M26" s="2">
        <v>27.22</v>
      </c>
      <c r="N26" s="16"/>
      <c r="O26" s="434">
        <f t="shared" si="8"/>
        <v>0</v>
      </c>
      <c r="P26" s="455"/>
      <c r="Q26" s="434">
        <f t="shared" si="9"/>
        <v>0</v>
      </c>
      <c r="R26" s="280"/>
      <c r="S26" s="518"/>
      <c r="T26" s="422">
        <f t="shared" si="6"/>
        <v>10833.559999999998</v>
      </c>
      <c r="U26" s="97">
        <f t="shared" si="7"/>
        <v>398</v>
      </c>
    </row>
    <row r="27" spans="1:21" x14ac:dyDescent="0.25">
      <c r="B27" s="2">
        <v>27.22</v>
      </c>
      <c r="C27" s="16">
        <v>28</v>
      </c>
      <c r="D27" s="434">
        <f t="shared" si="11"/>
        <v>762.16</v>
      </c>
      <c r="E27" s="455">
        <v>43540</v>
      </c>
      <c r="F27" s="434">
        <f t="shared" si="10"/>
        <v>762.16</v>
      </c>
      <c r="G27" s="280" t="s">
        <v>215</v>
      </c>
      <c r="H27" s="518">
        <v>65</v>
      </c>
      <c r="I27" s="422">
        <f t="shared" si="4"/>
        <v>7403.8399999999947</v>
      </c>
      <c r="J27" s="97">
        <f t="shared" si="5"/>
        <v>272</v>
      </c>
      <c r="M27" s="2">
        <v>27.22</v>
      </c>
      <c r="N27" s="16"/>
      <c r="O27" s="434">
        <f t="shared" si="8"/>
        <v>0</v>
      </c>
      <c r="P27" s="455"/>
      <c r="Q27" s="434">
        <f t="shared" si="9"/>
        <v>0</v>
      </c>
      <c r="R27" s="280"/>
      <c r="S27" s="518"/>
      <c r="T27" s="422">
        <f t="shared" si="6"/>
        <v>10833.559999999998</v>
      </c>
      <c r="U27" s="97">
        <f t="shared" si="7"/>
        <v>398</v>
      </c>
    </row>
    <row r="28" spans="1:21" x14ac:dyDescent="0.25">
      <c r="B28" s="2">
        <v>27.22</v>
      </c>
      <c r="C28" s="16">
        <v>28</v>
      </c>
      <c r="D28" s="434">
        <f t="shared" si="11"/>
        <v>762.16</v>
      </c>
      <c r="E28" s="455">
        <v>43544</v>
      </c>
      <c r="F28" s="434">
        <f t="shared" si="10"/>
        <v>762.16</v>
      </c>
      <c r="G28" s="280" t="s">
        <v>222</v>
      </c>
      <c r="H28" s="518">
        <v>65</v>
      </c>
      <c r="I28" s="422">
        <f t="shared" si="4"/>
        <v>6641.6799999999948</v>
      </c>
      <c r="J28" s="97">
        <f t="shared" si="5"/>
        <v>244</v>
      </c>
      <c r="M28" s="2">
        <v>27.22</v>
      </c>
      <c r="N28" s="16"/>
      <c r="O28" s="434">
        <f t="shared" si="8"/>
        <v>0</v>
      </c>
      <c r="P28" s="455"/>
      <c r="Q28" s="434">
        <f t="shared" si="9"/>
        <v>0</v>
      </c>
      <c r="R28" s="280"/>
      <c r="S28" s="518"/>
      <c r="T28" s="422">
        <f t="shared" si="6"/>
        <v>10833.559999999998</v>
      </c>
      <c r="U28" s="97">
        <f t="shared" si="7"/>
        <v>398</v>
      </c>
    </row>
    <row r="29" spans="1:21" x14ac:dyDescent="0.25">
      <c r="B29" s="2">
        <v>27.22</v>
      </c>
      <c r="C29" s="16">
        <v>28</v>
      </c>
      <c r="D29" s="434">
        <f t="shared" si="11"/>
        <v>762.16</v>
      </c>
      <c r="E29" s="455">
        <v>43545</v>
      </c>
      <c r="F29" s="434">
        <f t="shared" si="10"/>
        <v>762.16</v>
      </c>
      <c r="G29" s="280" t="s">
        <v>223</v>
      </c>
      <c r="H29" s="518">
        <v>65</v>
      </c>
      <c r="I29" s="422">
        <f t="shared" si="4"/>
        <v>5879.519999999995</v>
      </c>
      <c r="J29" s="97">
        <f t="shared" si="5"/>
        <v>216</v>
      </c>
      <c r="M29" s="2">
        <v>27.22</v>
      </c>
      <c r="N29" s="16"/>
      <c r="O29" s="434">
        <f t="shared" si="8"/>
        <v>0</v>
      </c>
      <c r="P29" s="455"/>
      <c r="Q29" s="434">
        <f t="shared" si="9"/>
        <v>0</v>
      </c>
      <c r="R29" s="280"/>
      <c r="S29" s="518"/>
      <c r="T29" s="422">
        <f t="shared" si="6"/>
        <v>10833.559999999998</v>
      </c>
      <c r="U29" s="97">
        <f t="shared" si="7"/>
        <v>398</v>
      </c>
    </row>
    <row r="30" spans="1:21" x14ac:dyDescent="0.25">
      <c r="B30" s="2">
        <v>27.22</v>
      </c>
      <c r="C30" s="16">
        <v>28</v>
      </c>
      <c r="D30" s="434">
        <f t="shared" si="11"/>
        <v>762.16</v>
      </c>
      <c r="E30" s="455">
        <v>43547</v>
      </c>
      <c r="F30" s="434">
        <f t="shared" si="10"/>
        <v>762.16</v>
      </c>
      <c r="G30" s="280" t="s">
        <v>230</v>
      </c>
      <c r="H30" s="91">
        <v>65</v>
      </c>
      <c r="I30" s="422">
        <f t="shared" si="4"/>
        <v>5117.3599999999951</v>
      </c>
      <c r="J30" s="97">
        <f t="shared" si="5"/>
        <v>188</v>
      </c>
      <c r="M30" s="2">
        <v>27.22</v>
      </c>
      <c r="N30" s="16"/>
      <c r="O30" s="434">
        <f t="shared" si="8"/>
        <v>0</v>
      </c>
      <c r="P30" s="455"/>
      <c r="Q30" s="434">
        <f t="shared" si="9"/>
        <v>0</v>
      </c>
      <c r="R30" s="280"/>
      <c r="S30" s="91"/>
      <c r="T30" s="422">
        <f t="shared" si="6"/>
        <v>10833.559999999998</v>
      </c>
      <c r="U30" s="97">
        <f t="shared" si="7"/>
        <v>398</v>
      </c>
    </row>
    <row r="31" spans="1:21" x14ac:dyDescent="0.25">
      <c r="B31" s="2">
        <v>27.22</v>
      </c>
      <c r="C31" s="16">
        <v>28</v>
      </c>
      <c r="D31" s="434">
        <f t="shared" si="11"/>
        <v>762.16</v>
      </c>
      <c r="E31" s="455">
        <v>43549</v>
      </c>
      <c r="F31" s="434">
        <f t="shared" si="10"/>
        <v>762.16</v>
      </c>
      <c r="G31" s="280" t="s">
        <v>231</v>
      </c>
      <c r="H31" s="91">
        <v>65</v>
      </c>
      <c r="I31" s="422">
        <f t="shared" si="4"/>
        <v>4355.1999999999953</v>
      </c>
      <c r="J31" s="97">
        <f t="shared" si="5"/>
        <v>160</v>
      </c>
      <c r="M31" s="2">
        <v>27.22</v>
      </c>
      <c r="N31" s="16"/>
      <c r="O31" s="434">
        <f t="shared" si="8"/>
        <v>0</v>
      </c>
      <c r="P31" s="455"/>
      <c r="Q31" s="434">
        <f t="shared" si="9"/>
        <v>0</v>
      </c>
      <c r="R31" s="280"/>
      <c r="S31" s="91"/>
      <c r="T31" s="422">
        <f t="shared" si="6"/>
        <v>10833.559999999998</v>
      </c>
      <c r="U31" s="97">
        <f t="shared" si="7"/>
        <v>398</v>
      </c>
    </row>
    <row r="32" spans="1:21" x14ac:dyDescent="0.25">
      <c r="B32" s="2">
        <v>27.22</v>
      </c>
      <c r="C32" s="16">
        <v>30</v>
      </c>
      <c r="D32" s="434">
        <f t="shared" si="11"/>
        <v>816.59999999999991</v>
      </c>
      <c r="E32" s="455">
        <v>43556</v>
      </c>
      <c r="F32" s="434">
        <f t="shared" si="10"/>
        <v>816.59999999999991</v>
      </c>
      <c r="G32" s="280" t="s">
        <v>242</v>
      </c>
      <c r="H32" s="91">
        <v>65</v>
      </c>
      <c r="I32" s="422">
        <f t="shared" si="4"/>
        <v>3538.5999999999954</v>
      </c>
      <c r="J32" s="97">
        <f t="shared" si="5"/>
        <v>130</v>
      </c>
      <c r="K32" s="711" t="s">
        <v>560</v>
      </c>
      <c r="M32" s="2">
        <v>27.22</v>
      </c>
      <c r="N32" s="16"/>
      <c r="O32" s="434">
        <f t="shared" si="8"/>
        <v>0</v>
      </c>
      <c r="P32" s="455"/>
      <c r="Q32" s="434">
        <f t="shared" si="9"/>
        <v>0</v>
      </c>
      <c r="R32" s="280"/>
      <c r="S32" s="91"/>
      <c r="T32" s="422">
        <f t="shared" si="6"/>
        <v>10833.559999999998</v>
      </c>
      <c r="U32" s="97">
        <f t="shared" si="7"/>
        <v>398</v>
      </c>
    </row>
    <row r="33" spans="2:21" x14ac:dyDescent="0.25">
      <c r="B33" s="2">
        <v>27.22</v>
      </c>
      <c r="C33" s="16">
        <v>10</v>
      </c>
      <c r="D33" s="632">
        <f t="shared" si="11"/>
        <v>272.2</v>
      </c>
      <c r="E33" s="633">
        <v>43556</v>
      </c>
      <c r="F33" s="632">
        <f t="shared" si="10"/>
        <v>272.2</v>
      </c>
      <c r="G33" s="634" t="s">
        <v>365</v>
      </c>
      <c r="H33" s="635">
        <v>65</v>
      </c>
      <c r="I33" s="422">
        <f t="shared" si="4"/>
        <v>3266.3999999999955</v>
      </c>
      <c r="J33" s="97">
        <f t="shared" si="5"/>
        <v>120</v>
      </c>
      <c r="M33" s="2">
        <v>27.22</v>
      </c>
      <c r="N33" s="16"/>
      <c r="O33" s="434">
        <f t="shared" si="8"/>
        <v>0</v>
      </c>
      <c r="P33" s="455"/>
      <c r="Q33" s="434">
        <f t="shared" si="9"/>
        <v>0</v>
      </c>
      <c r="R33" s="280"/>
      <c r="S33" s="91"/>
      <c r="T33" s="422">
        <f t="shared" si="6"/>
        <v>10833.559999999998</v>
      </c>
      <c r="U33" s="97">
        <f t="shared" si="7"/>
        <v>398</v>
      </c>
    </row>
    <row r="34" spans="2:21" x14ac:dyDescent="0.25">
      <c r="B34" s="2">
        <v>27.22</v>
      </c>
      <c r="C34" s="16">
        <v>28</v>
      </c>
      <c r="D34" s="632">
        <f t="shared" si="11"/>
        <v>762.16</v>
      </c>
      <c r="E34" s="633">
        <v>43557</v>
      </c>
      <c r="F34" s="632">
        <f t="shared" si="10"/>
        <v>762.16</v>
      </c>
      <c r="G34" s="634" t="s">
        <v>369</v>
      </c>
      <c r="H34" s="635">
        <v>65</v>
      </c>
      <c r="I34" s="422">
        <f t="shared" si="4"/>
        <v>2504.2399999999957</v>
      </c>
      <c r="J34" s="97">
        <f t="shared" ref="J34:J60" si="12">J33-C34</f>
        <v>92</v>
      </c>
      <c r="M34" s="2">
        <v>27.22</v>
      </c>
      <c r="N34" s="16"/>
      <c r="O34" s="434">
        <f t="shared" si="8"/>
        <v>0</v>
      </c>
      <c r="P34" s="455"/>
      <c r="Q34" s="434">
        <f t="shared" si="9"/>
        <v>0</v>
      </c>
      <c r="R34" s="280"/>
      <c r="S34" s="91"/>
      <c r="T34" s="422">
        <f t="shared" si="6"/>
        <v>10833.559999999998</v>
      </c>
      <c r="U34" s="97">
        <f t="shared" si="7"/>
        <v>398</v>
      </c>
    </row>
    <row r="35" spans="2:21" x14ac:dyDescent="0.25">
      <c r="B35" s="2">
        <v>27.22</v>
      </c>
      <c r="C35" s="16">
        <v>28</v>
      </c>
      <c r="D35" s="632">
        <f t="shared" si="11"/>
        <v>762.16</v>
      </c>
      <c r="E35" s="633">
        <v>43560</v>
      </c>
      <c r="F35" s="632">
        <f t="shared" si="10"/>
        <v>762.16</v>
      </c>
      <c r="G35" s="634" t="s">
        <v>388</v>
      </c>
      <c r="H35" s="635">
        <v>65</v>
      </c>
      <c r="I35" s="422">
        <f t="shared" si="4"/>
        <v>1742.0799999999958</v>
      </c>
      <c r="J35" s="97">
        <f t="shared" si="12"/>
        <v>64</v>
      </c>
      <c r="M35" s="2">
        <v>27.22</v>
      </c>
      <c r="N35" s="16"/>
      <c r="O35" s="434">
        <f t="shared" si="8"/>
        <v>0</v>
      </c>
      <c r="P35" s="455"/>
      <c r="Q35" s="434">
        <f t="shared" si="9"/>
        <v>0</v>
      </c>
      <c r="R35" s="280"/>
      <c r="S35" s="91"/>
      <c r="T35" s="422">
        <f t="shared" si="6"/>
        <v>10833.559999999998</v>
      </c>
      <c r="U35" s="97">
        <f t="shared" si="7"/>
        <v>398</v>
      </c>
    </row>
    <row r="36" spans="2:21" x14ac:dyDescent="0.25">
      <c r="B36" s="2">
        <v>27.22</v>
      </c>
      <c r="C36" s="16">
        <v>30</v>
      </c>
      <c r="D36" s="632">
        <f t="shared" si="11"/>
        <v>816.59999999999991</v>
      </c>
      <c r="E36" s="633">
        <v>43561</v>
      </c>
      <c r="F36" s="632">
        <f t="shared" si="10"/>
        <v>816.59999999999991</v>
      </c>
      <c r="G36" s="634" t="s">
        <v>390</v>
      </c>
      <c r="H36" s="635">
        <v>65</v>
      </c>
      <c r="I36" s="422">
        <f t="shared" si="4"/>
        <v>925.47999999999593</v>
      </c>
      <c r="J36" s="97">
        <f t="shared" si="12"/>
        <v>34</v>
      </c>
      <c r="M36" s="2">
        <v>27.22</v>
      </c>
      <c r="N36" s="16"/>
      <c r="O36" s="434">
        <f t="shared" si="8"/>
        <v>0</v>
      </c>
      <c r="P36" s="455"/>
      <c r="Q36" s="434">
        <f t="shared" si="9"/>
        <v>0</v>
      </c>
      <c r="R36" s="280"/>
      <c r="S36" s="91"/>
      <c r="T36" s="422">
        <f t="shared" si="6"/>
        <v>10833.559999999998</v>
      </c>
      <c r="U36" s="97">
        <f t="shared" si="7"/>
        <v>398</v>
      </c>
    </row>
    <row r="37" spans="2:21" x14ac:dyDescent="0.25">
      <c r="B37" s="2">
        <v>27.22</v>
      </c>
      <c r="C37" s="16">
        <v>28</v>
      </c>
      <c r="D37" s="632">
        <f t="shared" si="11"/>
        <v>762.16</v>
      </c>
      <c r="E37" s="633">
        <v>43563</v>
      </c>
      <c r="F37" s="632">
        <f t="shared" si="10"/>
        <v>762.16</v>
      </c>
      <c r="G37" s="634">
        <v>762.16</v>
      </c>
      <c r="H37" s="635">
        <v>65</v>
      </c>
      <c r="I37" s="422">
        <f t="shared" si="4"/>
        <v>163.31999999999596</v>
      </c>
      <c r="J37" s="97">
        <f t="shared" si="12"/>
        <v>6</v>
      </c>
      <c r="M37" s="2">
        <v>27.22</v>
      </c>
      <c r="N37" s="16"/>
      <c r="O37" s="434">
        <f t="shared" si="8"/>
        <v>0</v>
      </c>
      <c r="P37" s="455"/>
      <c r="Q37" s="434">
        <f t="shared" si="9"/>
        <v>0</v>
      </c>
      <c r="R37" s="280"/>
      <c r="S37" s="91"/>
      <c r="T37" s="422">
        <f t="shared" si="6"/>
        <v>10833.559999999998</v>
      </c>
      <c r="U37" s="97">
        <f t="shared" si="7"/>
        <v>398</v>
      </c>
    </row>
    <row r="38" spans="2:21" x14ac:dyDescent="0.25">
      <c r="B38" s="2">
        <v>27.22</v>
      </c>
      <c r="C38" s="16"/>
      <c r="D38" s="632">
        <f t="shared" si="11"/>
        <v>0</v>
      </c>
      <c r="E38" s="633"/>
      <c r="F38" s="632">
        <f t="shared" si="10"/>
        <v>0</v>
      </c>
      <c r="G38" s="634"/>
      <c r="H38" s="661"/>
      <c r="I38" s="674">
        <f t="shared" si="4"/>
        <v>163.31999999999596</v>
      </c>
      <c r="J38" s="675">
        <f t="shared" si="12"/>
        <v>6</v>
      </c>
      <c r="M38" s="2">
        <v>27.22</v>
      </c>
      <c r="N38" s="16"/>
      <c r="O38" s="434">
        <f t="shared" si="8"/>
        <v>0</v>
      </c>
      <c r="P38" s="455"/>
      <c r="Q38" s="434">
        <f t="shared" si="9"/>
        <v>0</v>
      </c>
      <c r="R38" s="280"/>
      <c r="S38" s="91"/>
      <c r="T38" s="422">
        <f t="shared" si="6"/>
        <v>10833.559999999998</v>
      </c>
      <c r="U38" s="97">
        <f t="shared" si="7"/>
        <v>398</v>
      </c>
    </row>
    <row r="39" spans="2:21" x14ac:dyDescent="0.25">
      <c r="B39" s="2">
        <v>27.22</v>
      </c>
      <c r="C39" s="16"/>
      <c r="D39" s="632">
        <f t="shared" si="11"/>
        <v>0</v>
      </c>
      <c r="E39" s="633"/>
      <c r="F39" s="632">
        <f t="shared" si="10"/>
        <v>0</v>
      </c>
      <c r="G39" s="634"/>
      <c r="H39" s="661"/>
      <c r="I39" s="674">
        <f t="shared" si="4"/>
        <v>163.31999999999596</v>
      </c>
      <c r="J39" s="675">
        <f t="shared" si="12"/>
        <v>6</v>
      </c>
      <c r="M39" s="2">
        <v>27.22</v>
      </c>
      <c r="N39" s="16"/>
      <c r="O39" s="434">
        <f t="shared" si="8"/>
        <v>0</v>
      </c>
      <c r="P39" s="455"/>
      <c r="Q39" s="434">
        <f t="shared" si="9"/>
        <v>0</v>
      </c>
      <c r="R39" s="280"/>
      <c r="S39" s="91"/>
      <c r="T39" s="422">
        <f t="shared" si="6"/>
        <v>10833.559999999998</v>
      </c>
      <c r="U39" s="97">
        <f t="shared" si="7"/>
        <v>398</v>
      </c>
    </row>
    <row r="40" spans="2:21" x14ac:dyDescent="0.25">
      <c r="B40" s="2">
        <v>27.22</v>
      </c>
      <c r="C40" s="16">
        <v>6</v>
      </c>
      <c r="D40" s="632">
        <f t="shared" si="11"/>
        <v>163.32</v>
      </c>
      <c r="E40" s="633"/>
      <c r="F40" s="632">
        <f t="shared" si="10"/>
        <v>163.32</v>
      </c>
      <c r="G40" s="634"/>
      <c r="H40" s="661"/>
      <c r="I40" s="674">
        <f t="shared" si="4"/>
        <v>-4.0358827391173691E-12</v>
      </c>
      <c r="J40" s="675">
        <f t="shared" si="12"/>
        <v>0</v>
      </c>
      <c r="M40" s="2">
        <v>27.22</v>
      </c>
      <c r="N40" s="16"/>
      <c r="O40" s="434">
        <f t="shared" si="8"/>
        <v>0</v>
      </c>
      <c r="P40" s="455"/>
      <c r="Q40" s="434">
        <f t="shared" si="9"/>
        <v>0</v>
      </c>
      <c r="R40" s="280"/>
      <c r="S40" s="91"/>
      <c r="T40" s="422">
        <f t="shared" si="6"/>
        <v>10833.559999999998</v>
      </c>
      <c r="U40" s="97">
        <f t="shared" si="7"/>
        <v>398</v>
      </c>
    </row>
    <row r="41" spans="2:21" x14ac:dyDescent="0.25">
      <c r="B41" s="2">
        <v>27.22</v>
      </c>
      <c r="C41" s="16"/>
      <c r="D41" s="632">
        <f t="shared" si="11"/>
        <v>0</v>
      </c>
      <c r="E41" s="633"/>
      <c r="F41" s="632">
        <f t="shared" si="10"/>
        <v>0</v>
      </c>
      <c r="G41" s="634"/>
      <c r="H41" s="661"/>
      <c r="I41" s="674">
        <f t="shared" si="4"/>
        <v>-4.0358827391173691E-12</v>
      </c>
      <c r="J41" s="675">
        <f t="shared" si="12"/>
        <v>0</v>
      </c>
      <c r="M41" s="2">
        <v>27.22</v>
      </c>
      <c r="N41" s="16"/>
      <c r="O41" s="434">
        <f t="shared" si="8"/>
        <v>0</v>
      </c>
      <c r="P41" s="455"/>
      <c r="Q41" s="434">
        <f t="shared" si="9"/>
        <v>0</v>
      </c>
      <c r="R41" s="280"/>
      <c r="S41" s="91"/>
      <c r="T41" s="422">
        <f t="shared" si="6"/>
        <v>10833.559999999998</v>
      </c>
      <c r="U41" s="97">
        <f t="shared" si="7"/>
        <v>398</v>
      </c>
    </row>
    <row r="42" spans="2:21" x14ac:dyDescent="0.25">
      <c r="B42" s="2">
        <v>27.22</v>
      </c>
      <c r="C42" s="16"/>
      <c r="D42" s="632">
        <f t="shared" si="11"/>
        <v>0</v>
      </c>
      <c r="E42" s="633"/>
      <c r="F42" s="632">
        <f t="shared" si="10"/>
        <v>0</v>
      </c>
      <c r="G42" s="634"/>
      <c r="H42" s="661"/>
      <c r="I42" s="674">
        <f t="shared" si="4"/>
        <v>-4.0358827391173691E-12</v>
      </c>
      <c r="J42" s="675">
        <f t="shared" si="12"/>
        <v>0</v>
      </c>
      <c r="M42" s="2">
        <v>27.22</v>
      </c>
      <c r="N42" s="16"/>
      <c r="O42" s="434">
        <f t="shared" si="8"/>
        <v>0</v>
      </c>
      <c r="P42" s="455"/>
      <c r="Q42" s="434">
        <f t="shared" si="9"/>
        <v>0</v>
      </c>
      <c r="R42" s="280"/>
      <c r="S42" s="91"/>
      <c r="T42" s="422">
        <f t="shared" si="6"/>
        <v>10833.559999999998</v>
      </c>
      <c r="U42" s="97">
        <f t="shared" si="7"/>
        <v>398</v>
      </c>
    </row>
    <row r="43" spans="2:21" x14ac:dyDescent="0.25">
      <c r="B43" s="2">
        <v>27.22</v>
      </c>
      <c r="C43" s="16"/>
      <c r="D43" s="632">
        <f t="shared" si="11"/>
        <v>0</v>
      </c>
      <c r="E43" s="633"/>
      <c r="F43" s="632">
        <f t="shared" si="10"/>
        <v>0</v>
      </c>
      <c r="G43" s="634"/>
      <c r="H43" s="661"/>
      <c r="I43" s="674">
        <f t="shared" si="4"/>
        <v>-4.0358827391173691E-12</v>
      </c>
      <c r="J43" s="675">
        <f t="shared" si="12"/>
        <v>0</v>
      </c>
      <c r="M43" s="2">
        <v>27.22</v>
      </c>
      <c r="N43" s="16"/>
      <c r="O43" s="434">
        <f t="shared" si="8"/>
        <v>0</v>
      </c>
      <c r="P43" s="455"/>
      <c r="Q43" s="434">
        <f t="shared" si="9"/>
        <v>0</v>
      </c>
      <c r="R43" s="280"/>
      <c r="S43" s="91"/>
      <c r="T43" s="422">
        <f t="shared" si="6"/>
        <v>10833.559999999998</v>
      </c>
      <c r="U43" s="97">
        <f t="shared" si="7"/>
        <v>398</v>
      </c>
    </row>
    <row r="44" spans="2:21" x14ac:dyDescent="0.25">
      <c r="B44" s="2">
        <v>27.22</v>
      </c>
      <c r="C44" s="16"/>
      <c r="D44" s="632">
        <f t="shared" si="11"/>
        <v>0</v>
      </c>
      <c r="E44" s="633"/>
      <c r="F44" s="632">
        <f t="shared" si="10"/>
        <v>0</v>
      </c>
      <c r="G44" s="634"/>
      <c r="H44" s="661"/>
      <c r="I44" s="674">
        <f t="shared" si="4"/>
        <v>-4.0358827391173691E-12</v>
      </c>
      <c r="J44" s="675">
        <f t="shared" si="12"/>
        <v>0</v>
      </c>
      <c r="M44" s="2">
        <v>27.22</v>
      </c>
      <c r="N44" s="16"/>
      <c r="O44" s="434">
        <f t="shared" si="8"/>
        <v>0</v>
      </c>
      <c r="P44" s="455"/>
      <c r="Q44" s="434">
        <f t="shared" si="9"/>
        <v>0</v>
      </c>
      <c r="R44" s="280"/>
      <c r="S44" s="91"/>
      <c r="T44" s="422">
        <f t="shared" si="6"/>
        <v>10833.559999999998</v>
      </c>
      <c r="U44" s="97">
        <f t="shared" si="7"/>
        <v>398</v>
      </c>
    </row>
    <row r="45" spans="2:21" x14ac:dyDescent="0.25">
      <c r="B45" s="2">
        <v>27.22</v>
      </c>
      <c r="C45" s="16"/>
      <c r="D45" s="632">
        <f t="shared" si="11"/>
        <v>0</v>
      </c>
      <c r="E45" s="633"/>
      <c r="F45" s="632">
        <f t="shared" si="10"/>
        <v>0</v>
      </c>
      <c r="G45" s="634"/>
      <c r="H45" s="661"/>
      <c r="I45" s="674">
        <f t="shared" si="4"/>
        <v>-4.0358827391173691E-12</v>
      </c>
      <c r="J45" s="675">
        <f t="shared" si="12"/>
        <v>0</v>
      </c>
      <c r="M45" s="2">
        <v>27.22</v>
      </c>
      <c r="N45" s="16"/>
      <c r="O45" s="434">
        <f t="shared" si="8"/>
        <v>0</v>
      </c>
      <c r="P45" s="455"/>
      <c r="Q45" s="434">
        <f t="shared" si="9"/>
        <v>0</v>
      </c>
      <c r="R45" s="280"/>
      <c r="S45" s="91"/>
      <c r="T45" s="422">
        <f t="shared" si="6"/>
        <v>10833.559999999998</v>
      </c>
      <c r="U45" s="97">
        <f t="shared" si="7"/>
        <v>398</v>
      </c>
    </row>
    <row r="46" spans="2:21" x14ac:dyDescent="0.25">
      <c r="B46" s="2">
        <v>27.22</v>
      </c>
      <c r="C46" s="16"/>
      <c r="D46" s="632">
        <f t="shared" si="11"/>
        <v>0</v>
      </c>
      <c r="E46" s="633"/>
      <c r="F46" s="632">
        <f t="shared" si="10"/>
        <v>0</v>
      </c>
      <c r="G46" s="634"/>
      <c r="H46" s="635"/>
      <c r="I46" s="422">
        <f t="shared" si="4"/>
        <v>-4.0358827391173691E-12</v>
      </c>
      <c r="J46" s="97">
        <f t="shared" si="12"/>
        <v>0</v>
      </c>
      <c r="M46" s="2">
        <v>27.22</v>
      </c>
      <c r="N46" s="16"/>
      <c r="O46" s="434">
        <f t="shared" si="8"/>
        <v>0</v>
      </c>
      <c r="P46" s="455"/>
      <c r="Q46" s="434">
        <f t="shared" si="9"/>
        <v>0</v>
      </c>
      <c r="R46" s="280"/>
      <c r="S46" s="91"/>
      <c r="T46" s="422">
        <f t="shared" si="6"/>
        <v>10833.559999999998</v>
      </c>
      <c r="U46" s="97">
        <f t="shared" si="7"/>
        <v>398</v>
      </c>
    </row>
    <row r="47" spans="2:21" x14ac:dyDescent="0.25">
      <c r="B47" s="2">
        <v>27.22</v>
      </c>
      <c r="C47" s="16"/>
      <c r="D47" s="632">
        <f t="shared" si="11"/>
        <v>0</v>
      </c>
      <c r="E47" s="633"/>
      <c r="F47" s="632">
        <f t="shared" si="10"/>
        <v>0</v>
      </c>
      <c r="G47" s="634"/>
      <c r="H47" s="635"/>
      <c r="I47" s="422">
        <f t="shared" si="4"/>
        <v>-4.0358827391173691E-12</v>
      </c>
      <c r="J47" s="97">
        <f t="shared" si="12"/>
        <v>0</v>
      </c>
      <c r="M47" s="2">
        <v>27.22</v>
      </c>
      <c r="N47" s="16"/>
      <c r="O47" s="434">
        <f t="shared" si="8"/>
        <v>0</v>
      </c>
      <c r="P47" s="455"/>
      <c r="Q47" s="434">
        <f t="shared" si="9"/>
        <v>0</v>
      </c>
      <c r="R47" s="280"/>
      <c r="S47" s="91"/>
      <c r="T47" s="422">
        <f t="shared" si="6"/>
        <v>10833.559999999998</v>
      </c>
      <c r="U47" s="97">
        <f t="shared" si="7"/>
        <v>398</v>
      </c>
    </row>
    <row r="48" spans="2:21" x14ac:dyDescent="0.25">
      <c r="B48" s="2">
        <v>27.22</v>
      </c>
      <c r="C48" s="16"/>
      <c r="D48" s="632">
        <f t="shared" si="11"/>
        <v>0</v>
      </c>
      <c r="E48" s="633"/>
      <c r="F48" s="632">
        <f t="shared" si="10"/>
        <v>0</v>
      </c>
      <c r="G48" s="634"/>
      <c r="H48" s="635"/>
      <c r="I48" s="422">
        <f t="shared" si="4"/>
        <v>-4.0358827391173691E-12</v>
      </c>
      <c r="J48" s="97">
        <f t="shared" si="12"/>
        <v>0</v>
      </c>
      <c r="M48" s="2">
        <v>27.22</v>
      </c>
      <c r="N48" s="16"/>
      <c r="O48" s="434">
        <f t="shared" si="8"/>
        <v>0</v>
      </c>
      <c r="P48" s="455"/>
      <c r="Q48" s="434">
        <f t="shared" si="9"/>
        <v>0</v>
      </c>
      <c r="R48" s="280"/>
      <c r="S48" s="91"/>
      <c r="T48" s="422">
        <f t="shared" si="6"/>
        <v>10833.559999999998</v>
      </c>
      <c r="U48" s="97">
        <f t="shared" si="7"/>
        <v>398</v>
      </c>
    </row>
    <row r="49" spans="1:21" x14ac:dyDescent="0.25">
      <c r="B49" s="2">
        <v>27.22</v>
      </c>
      <c r="C49" s="16"/>
      <c r="D49" s="632">
        <f t="shared" si="11"/>
        <v>0</v>
      </c>
      <c r="E49" s="633"/>
      <c r="F49" s="632">
        <f t="shared" si="10"/>
        <v>0</v>
      </c>
      <c r="G49" s="634"/>
      <c r="H49" s="635"/>
      <c r="I49" s="422">
        <f t="shared" si="4"/>
        <v>-4.0358827391173691E-12</v>
      </c>
      <c r="J49" s="97">
        <f t="shared" si="12"/>
        <v>0</v>
      </c>
      <c r="M49" s="2">
        <v>27.22</v>
      </c>
      <c r="N49" s="16"/>
      <c r="O49" s="434">
        <f t="shared" si="8"/>
        <v>0</v>
      </c>
      <c r="P49" s="455"/>
      <c r="Q49" s="434">
        <f t="shared" si="9"/>
        <v>0</v>
      </c>
      <c r="R49" s="280"/>
      <c r="S49" s="91"/>
      <c r="T49" s="422">
        <f t="shared" si="6"/>
        <v>10833.559999999998</v>
      </c>
      <c r="U49" s="97">
        <f t="shared" si="7"/>
        <v>398</v>
      </c>
    </row>
    <row r="50" spans="1:21" x14ac:dyDescent="0.25">
      <c r="B50" s="2">
        <v>27.22</v>
      </c>
      <c r="C50" s="16"/>
      <c r="D50" s="632">
        <f t="shared" si="11"/>
        <v>0</v>
      </c>
      <c r="E50" s="633"/>
      <c r="F50" s="632">
        <f t="shared" si="10"/>
        <v>0</v>
      </c>
      <c r="G50" s="634"/>
      <c r="H50" s="635"/>
      <c r="I50" s="422">
        <f t="shared" ref="I50:I54" si="13">I49-F50</f>
        <v>-4.0358827391173691E-12</v>
      </c>
      <c r="J50" s="97">
        <f t="shared" si="12"/>
        <v>0</v>
      </c>
      <c r="M50" s="2">
        <v>27.22</v>
      </c>
      <c r="N50" s="16"/>
      <c r="O50" s="89">
        <f t="shared" si="8"/>
        <v>0</v>
      </c>
      <c r="P50" s="126"/>
      <c r="Q50" s="89">
        <f t="shared" si="9"/>
        <v>0</v>
      </c>
      <c r="R50" s="90"/>
      <c r="S50" s="91"/>
      <c r="T50" s="422">
        <f t="shared" si="6"/>
        <v>10833.559999999998</v>
      </c>
      <c r="U50" s="97">
        <f t="shared" si="7"/>
        <v>398</v>
      </c>
    </row>
    <row r="51" spans="1:21" x14ac:dyDescent="0.25">
      <c r="B51" s="2">
        <v>27.22</v>
      </c>
      <c r="C51" s="16"/>
      <c r="D51" s="632">
        <f t="shared" si="11"/>
        <v>0</v>
      </c>
      <c r="E51" s="633"/>
      <c r="F51" s="632">
        <f t="shared" si="10"/>
        <v>0</v>
      </c>
      <c r="G51" s="634"/>
      <c r="H51" s="635"/>
      <c r="I51" s="422">
        <f t="shared" si="13"/>
        <v>-4.0358827391173691E-12</v>
      </c>
      <c r="J51" s="97">
        <f t="shared" si="12"/>
        <v>0</v>
      </c>
      <c r="M51" s="2">
        <v>27.22</v>
      </c>
      <c r="N51" s="16"/>
      <c r="O51" s="89">
        <f t="shared" si="8"/>
        <v>0</v>
      </c>
      <c r="P51" s="126"/>
      <c r="Q51" s="89">
        <f t="shared" si="9"/>
        <v>0</v>
      </c>
      <c r="R51" s="90"/>
      <c r="S51" s="91"/>
      <c r="T51" s="422">
        <f t="shared" si="6"/>
        <v>10833.559999999998</v>
      </c>
      <c r="U51" s="97">
        <f t="shared" si="7"/>
        <v>398</v>
      </c>
    </row>
    <row r="52" spans="1:21" x14ac:dyDescent="0.25">
      <c r="B52" s="2">
        <v>27.22</v>
      </c>
      <c r="C52" s="16"/>
      <c r="D52" s="89">
        <f t="shared" si="11"/>
        <v>0</v>
      </c>
      <c r="E52" s="126"/>
      <c r="F52" s="89">
        <f t="shared" si="10"/>
        <v>0</v>
      </c>
      <c r="G52" s="90"/>
      <c r="H52" s="91"/>
      <c r="I52" s="422">
        <f t="shared" si="13"/>
        <v>-4.0358827391173691E-12</v>
      </c>
      <c r="J52" s="97">
        <f t="shared" si="12"/>
        <v>0</v>
      </c>
      <c r="M52" s="2">
        <v>27.22</v>
      </c>
      <c r="N52" s="16"/>
      <c r="O52" s="89">
        <f t="shared" si="8"/>
        <v>0</v>
      </c>
      <c r="P52" s="126"/>
      <c r="Q52" s="89">
        <f t="shared" si="9"/>
        <v>0</v>
      </c>
      <c r="R52" s="90"/>
      <c r="S52" s="91"/>
      <c r="T52" s="422">
        <f t="shared" si="6"/>
        <v>10833.559999999998</v>
      </c>
      <c r="U52" s="97">
        <f t="shared" si="7"/>
        <v>398</v>
      </c>
    </row>
    <row r="53" spans="1:21" x14ac:dyDescent="0.25">
      <c r="B53" s="2">
        <v>27.22</v>
      </c>
      <c r="C53" s="16"/>
      <c r="D53" s="89">
        <f t="shared" si="11"/>
        <v>0</v>
      </c>
      <c r="E53" s="126"/>
      <c r="F53" s="89">
        <f t="shared" si="10"/>
        <v>0</v>
      </c>
      <c r="G53" s="90"/>
      <c r="H53" s="91"/>
      <c r="I53" s="422">
        <f t="shared" si="13"/>
        <v>-4.0358827391173691E-12</v>
      </c>
      <c r="J53" s="97">
        <f t="shared" si="12"/>
        <v>0</v>
      </c>
      <c r="M53" s="2">
        <v>27.22</v>
      </c>
      <c r="N53" s="16"/>
      <c r="O53" s="89">
        <f t="shared" si="8"/>
        <v>0</v>
      </c>
      <c r="P53" s="126"/>
      <c r="Q53" s="89">
        <f t="shared" si="9"/>
        <v>0</v>
      </c>
      <c r="R53" s="90"/>
      <c r="S53" s="91"/>
      <c r="T53" s="422">
        <f t="shared" si="6"/>
        <v>10833.559999999998</v>
      </c>
      <c r="U53" s="97">
        <f t="shared" si="7"/>
        <v>398</v>
      </c>
    </row>
    <row r="54" spans="1:21" x14ac:dyDescent="0.25">
      <c r="B54" s="2">
        <v>27.22</v>
      </c>
      <c r="C54" s="16"/>
      <c r="D54" s="89">
        <f t="shared" si="11"/>
        <v>0</v>
      </c>
      <c r="E54" s="126"/>
      <c r="F54" s="89">
        <f t="shared" si="10"/>
        <v>0</v>
      </c>
      <c r="G54" s="90"/>
      <c r="H54" s="91"/>
      <c r="I54" s="422">
        <f t="shared" si="13"/>
        <v>-4.0358827391173691E-12</v>
      </c>
      <c r="J54" s="97">
        <f t="shared" si="12"/>
        <v>0</v>
      </c>
      <c r="M54" s="2">
        <v>27.22</v>
      </c>
      <c r="N54" s="16"/>
      <c r="O54" s="89">
        <f t="shared" si="8"/>
        <v>0</v>
      </c>
      <c r="P54" s="126"/>
      <c r="Q54" s="89">
        <f t="shared" si="9"/>
        <v>0</v>
      </c>
      <c r="R54" s="90"/>
      <c r="S54" s="91"/>
      <c r="T54" s="422">
        <f t="shared" si="6"/>
        <v>10833.559999999998</v>
      </c>
      <c r="U54" s="97">
        <f t="shared" si="7"/>
        <v>398</v>
      </c>
    </row>
    <row r="55" spans="1:21" x14ac:dyDescent="0.25">
      <c r="B55" s="2">
        <v>27.22</v>
      </c>
      <c r="C55" s="16"/>
      <c r="D55" s="89">
        <f t="shared" si="11"/>
        <v>0</v>
      </c>
      <c r="E55" s="126"/>
      <c r="F55" s="89">
        <f t="shared" si="10"/>
        <v>0</v>
      </c>
      <c r="G55" s="90"/>
      <c r="H55" s="91"/>
      <c r="I55" s="422">
        <f t="shared" ref="I55:I60" si="14">I54-F55</f>
        <v>-4.0358827391173691E-12</v>
      </c>
      <c r="J55" s="97">
        <f t="shared" si="12"/>
        <v>0</v>
      </c>
      <c r="M55" s="2">
        <v>27.22</v>
      </c>
      <c r="N55" s="16"/>
      <c r="O55" s="89">
        <f t="shared" si="8"/>
        <v>0</v>
      </c>
      <c r="P55" s="126"/>
      <c r="Q55" s="89">
        <f t="shared" si="9"/>
        <v>0</v>
      </c>
      <c r="R55" s="90"/>
      <c r="S55" s="91"/>
      <c r="T55" s="422">
        <f t="shared" si="6"/>
        <v>10833.559999999998</v>
      </c>
      <c r="U55" s="97">
        <f t="shared" si="7"/>
        <v>398</v>
      </c>
    </row>
    <row r="56" spans="1:21" x14ac:dyDescent="0.25">
      <c r="B56" s="2">
        <v>27.22</v>
      </c>
      <c r="C56" s="16"/>
      <c r="D56" s="89">
        <f t="shared" si="11"/>
        <v>0</v>
      </c>
      <c r="E56" s="126"/>
      <c r="F56" s="89">
        <f t="shared" si="10"/>
        <v>0</v>
      </c>
      <c r="G56" s="90"/>
      <c r="H56" s="91"/>
      <c r="I56" s="422">
        <f t="shared" si="14"/>
        <v>-4.0358827391173691E-12</v>
      </c>
      <c r="J56" s="97">
        <f t="shared" si="12"/>
        <v>0</v>
      </c>
      <c r="M56" s="2">
        <v>27.22</v>
      </c>
      <c r="N56" s="16"/>
      <c r="O56" s="89">
        <f t="shared" si="8"/>
        <v>0</v>
      </c>
      <c r="P56" s="126"/>
      <c r="Q56" s="89">
        <f t="shared" si="9"/>
        <v>0</v>
      </c>
      <c r="R56" s="90"/>
      <c r="S56" s="91"/>
      <c r="T56" s="422">
        <f t="shared" si="6"/>
        <v>10833.559999999998</v>
      </c>
      <c r="U56" s="97">
        <f t="shared" si="7"/>
        <v>398</v>
      </c>
    </row>
    <row r="57" spans="1:21" x14ac:dyDescent="0.25">
      <c r="B57" s="2">
        <v>27.22</v>
      </c>
      <c r="C57" s="16"/>
      <c r="D57" s="89">
        <f t="shared" si="11"/>
        <v>0</v>
      </c>
      <c r="E57" s="126"/>
      <c r="F57" s="89">
        <f t="shared" si="10"/>
        <v>0</v>
      </c>
      <c r="G57" s="90"/>
      <c r="H57" s="91"/>
      <c r="I57" s="422">
        <f t="shared" si="14"/>
        <v>-4.0358827391173691E-12</v>
      </c>
      <c r="J57" s="97">
        <f t="shared" si="12"/>
        <v>0</v>
      </c>
      <c r="M57" s="2">
        <v>27.22</v>
      </c>
      <c r="N57" s="16"/>
      <c r="O57" s="89">
        <f t="shared" si="8"/>
        <v>0</v>
      </c>
      <c r="P57" s="126"/>
      <c r="Q57" s="89">
        <f t="shared" si="9"/>
        <v>0</v>
      </c>
      <c r="R57" s="90"/>
      <c r="S57" s="91"/>
      <c r="T57" s="422">
        <f t="shared" si="6"/>
        <v>10833.559999999998</v>
      </c>
      <c r="U57" s="97">
        <f t="shared" si="7"/>
        <v>398</v>
      </c>
    </row>
    <row r="58" spans="1:21" x14ac:dyDescent="0.25">
      <c r="B58" s="2">
        <v>27.22</v>
      </c>
      <c r="C58" s="16"/>
      <c r="D58" s="89">
        <f t="shared" si="11"/>
        <v>0</v>
      </c>
      <c r="E58" s="126"/>
      <c r="F58" s="89">
        <f t="shared" si="10"/>
        <v>0</v>
      </c>
      <c r="G58" s="90"/>
      <c r="H58" s="91"/>
      <c r="I58" s="422">
        <f t="shared" si="14"/>
        <v>-4.0358827391173691E-12</v>
      </c>
      <c r="J58" s="97">
        <f t="shared" si="12"/>
        <v>0</v>
      </c>
      <c r="M58" s="2">
        <v>27.22</v>
      </c>
      <c r="N58" s="16"/>
      <c r="O58" s="89">
        <f t="shared" si="8"/>
        <v>0</v>
      </c>
      <c r="P58" s="126"/>
      <c r="Q58" s="89">
        <f t="shared" si="9"/>
        <v>0</v>
      </c>
      <c r="R58" s="90"/>
      <c r="S58" s="91"/>
      <c r="T58" s="422">
        <f t="shared" si="6"/>
        <v>10833.559999999998</v>
      </c>
      <c r="U58" s="97">
        <f t="shared" si="7"/>
        <v>398</v>
      </c>
    </row>
    <row r="59" spans="1:21" ht="15.75" thickBot="1" x14ac:dyDescent="0.3">
      <c r="A59" s="177"/>
      <c r="B59" s="2">
        <v>27.22</v>
      </c>
      <c r="C59" s="16"/>
      <c r="D59" s="89">
        <f t="shared" si="11"/>
        <v>0</v>
      </c>
      <c r="E59" s="126"/>
      <c r="F59" s="89">
        <f t="shared" si="10"/>
        <v>0</v>
      </c>
      <c r="G59" s="90"/>
      <c r="H59" s="91"/>
      <c r="I59" s="422">
        <f t="shared" si="14"/>
        <v>-4.0358827391173691E-12</v>
      </c>
      <c r="J59" s="97">
        <f t="shared" si="12"/>
        <v>0</v>
      </c>
      <c r="L59" s="177"/>
      <c r="M59" s="2">
        <v>27.22</v>
      </c>
      <c r="N59" s="16"/>
      <c r="O59" s="89">
        <f t="shared" si="8"/>
        <v>0</v>
      </c>
      <c r="P59" s="126"/>
      <c r="Q59" s="89">
        <f t="shared" si="9"/>
        <v>0</v>
      </c>
      <c r="R59" s="90"/>
      <c r="S59" s="91"/>
      <c r="T59" s="422">
        <f t="shared" si="6"/>
        <v>10833.559999999998</v>
      </c>
      <c r="U59" s="97">
        <f t="shared" si="7"/>
        <v>398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89">
        <f t="shared" si="11"/>
        <v>0</v>
      </c>
      <c r="E60" s="126"/>
      <c r="F60" s="89">
        <f t="shared" si="10"/>
        <v>0</v>
      </c>
      <c r="G60" s="90"/>
      <c r="H60" s="91"/>
      <c r="I60" s="422">
        <f t="shared" si="14"/>
        <v>-4.0358827391173691E-12</v>
      </c>
      <c r="J60" s="97">
        <f t="shared" si="12"/>
        <v>0</v>
      </c>
      <c r="L60">
        <f>SUM(L58:L59)</f>
        <v>0</v>
      </c>
      <c r="M60" s="2">
        <v>27.22</v>
      </c>
      <c r="N60" s="16"/>
      <c r="O60" s="89">
        <f t="shared" si="8"/>
        <v>0</v>
      </c>
      <c r="P60" s="126"/>
      <c r="Q60" s="89">
        <f t="shared" si="9"/>
        <v>0</v>
      </c>
      <c r="R60" s="90"/>
      <c r="S60" s="91"/>
      <c r="T60" s="422">
        <f t="shared" si="6"/>
        <v>10833.559999999998</v>
      </c>
      <c r="U60" s="97">
        <f t="shared" si="7"/>
        <v>398</v>
      </c>
    </row>
    <row r="61" spans="1:21" ht="15.75" thickBot="1" x14ac:dyDescent="0.3">
      <c r="B61" s="2">
        <v>27.22</v>
      </c>
      <c r="C61" s="39"/>
      <c r="D61" s="235">
        <f t="shared" si="11"/>
        <v>0</v>
      </c>
      <c r="E61" s="249"/>
      <c r="F61" s="235">
        <f t="shared" si="10"/>
        <v>0</v>
      </c>
      <c r="G61" s="209"/>
      <c r="H61" s="91"/>
      <c r="M61" s="2">
        <v>27.22</v>
      </c>
      <c r="N61" s="39"/>
      <c r="O61" s="235">
        <f t="shared" si="8"/>
        <v>0</v>
      </c>
      <c r="P61" s="249"/>
      <c r="Q61" s="235">
        <f t="shared" si="9"/>
        <v>0</v>
      </c>
      <c r="R61" s="209"/>
      <c r="S61" s="91"/>
    </row>
    <row r="62" spans="1:21" x14ac:dyDescent="0.25">
      <c r="C62" s="62">
        <f>SUM(C8:C61)</f>
        <v>680</v>
      </c>
      <c r="D62" s="7">
        <f>SUM(D8:D61)</f>
        <v>18509.599999999999</v>
      </c>
      <c r="F62" s="7">
        <f>SUM(F8:F61)</f>
        <v>18509.599999999999</v>
      </c>
      <c r="N62" s="62">
        <f>SUM(N8:N61)</f>
        <v>288</v>
      </c>
      <c r="O62" s="7">
        <f>SUM(O8:O61)</f>
        <v>7839.3599999999988</v>
      </c>
      <c r="Q62" s="7">
        <f>SUM(Q8:Q61)</f>
        <v>7839.3599999999988</v>
      </c>
    </row>
    <row r="64" spans="1:21" ht="15.75" thickBot="1" x14ac:dyDescent="0.3"/>
    <row r="65" spans="3:19" ht="15.75" thickBot="1" x14ac:dyDescent="0.3">
      <c r="D65" s="49" t="s">
        <v>4</v>
      </c>
      <c r="E65" s="72">
        <f>F5-C62+F4+F6</f>
        <v>0</v>
      </c>
      <c r="O65" s="49" t="s">
        <v>4</v>
      </c>
      <c r="P65" s="72">
        <f>Q5-N62+Q4+Q6</f>
        <v>398</v>
      </c>
    </row>
    <row r="66" spans="3:19" ht="15.75" thickBot="1" x14ac:dyDescent="0.3"/>
    <row r="67" spans="3:19" ht="15.75" thickBot="1" x14ac:dyDescent="0.3">
      <c r="C67" s="751" t="s">
        <v>11</v>
      </c>
      <c r="D67" s="752"/>
      <c r="E67" s="74">
        <f>E4+E5+E6-F62</f>
        <v>0</v>
      </c>
      <c r="G67" s="51"/>
      <c r="H67" s="133"/>
      <c r="N67" s="751" t="s">
        <v>11</v>
      </c>
      <c r="O67" s="752"/>
      <c r="P67" s="74">
        <f>P4+P5+P6-Q62</f>
        <v>10833.56</v>
      </c>
      <c r="R67" s="51"/>
      <c r="S67" s="133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F1" workbookViewId="0">
      <selection activeCell="U34" sqref="U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744" t="s">
        <v>256</v>
      </c>
      <c r="B1" s="744"/>
      <c r="C1" s="744"/>
      <c r="D1" s="744"/>
      <c r="E1" s="744"/>
      <c r="F1" s="744"/>
      <c r="G1" s="744"/>
      <c r="H1" s="12">
        <v>1</v>
      </c>
      <c r="K1" s="744" t="s">
        <v>257</v>
      </c>
      <c r="L1" s="744"/>
      <c r="M1" s="744"/>
      <c r="N1" s="744"/>
      <c r="O1" s="744"/>
      <c r="P1" s="744"/>
      <c r="Q1" s="744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B4" s="125" t="s">
        <v>42</v>
      </c>
      <c r="C4" s="246"/>
      <c r="D4" s="203"/>
      <c r="E4" s="182"/>
      <c r="F4" s="97"/>
      <c r="G4" s="97"/>
      <c r="L4" s="125" t="s">
        <v>42</v>
      </c>
      <c r="M4" s="246"/>
      <c r="N4" s="203"/>
      <c r="O4" s="182"/>
      <c r="P4" s="97"/>
      <c r="Q4" s="97"/>
    </row>
    <row r="5" spans="1:19" ht="15.75" customHeight="1" x14ac:dyDescent="0.25">
      <c r="A5" s="750" t="s">
        <v>161</v>
      </c>
      <c r="B5" s="453" t="s">
        <v>103</v>
      </c>
      <c r="C5" s="148">
        <v>96</v>
      </c>
      <c r="D5" s="203">
        <v>43524</v>
      </c>
      <c r="E5" s="182">
        <v>7013.52</v>
      </c>
      <c r="F5" s="97">
        <v>338</v>
      </c>
      <c r="G5" s="51">
        <f>F55</f>
        <v>6106.59</v>
      </c>
      <c r="H5" s="8">
        <f>E5-G5+E4+E6+E7</f>
        <v>906.93000000000029</v>
      </c>
      <c r="K5" s="750" t="s">
        <v>161</v>
      </c>
      <c r="L5" s="453" t="s">
        <v>103</v>
      </c>
      <c r="M5" s="148">
        <v>96</v>
      </c>
      <c r="N5" s="203">
        <v>43550</v>
      </c>
      <c r="O5" s="182">
        <v>7003.71</v>
      </c>
      <c r="P5" s="97">
        <v>340</v>
      </c>
      <c r="Q5" s="51">
        <f>P55</f>
        <v>0</v>
      </c>
      <c r="R5" s="8">
        <f>O5-Q5+O4+O6+O7</f>
        <v>7003.71</v>
      </c>
    </row>
    <row r="6" spans="1:19" x14ac:dyDescent="0.25">
      <c r="A6" s="750"/>
      <c r="B6" s="97"/>
      <c r="C6" s="148"/>
      <c r="D6" s="241"/>
      <c r="E6" s="154"/>
      <c r="F6" s="97"/>
      <c r="K6" s="750"/>
      <c r="L6" s="97"/>
      <c r="M6" s="148"/>
      <c r="N6" s="241"/>
      <c r="O6" s="154"/>
      <c r="P6" s="97"/>
    </row>
    <row r="7" spans="1:19" ht="15.75" thickBot="1" x14ac:dyDescent="0.3">
      <c r="B7" s="97"/>
      <c r="C7" s="148"/>
      <c r="D7" s="241"/>
      <c r="E7" s="154"/>
      <c r="F7" s="97"/>
      <c r="L7" s="97"/>
      <c r="M7" s="148"/>
      <c r="N7" s="241"/>
      <c r="O7" s="154"/>
      <c r="P7" s="97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71" t="s">
        <v>32</v>
      </c>
      <c r="B9" s="348">
        <f>F4+F5+F6+F7-C9</f>
        <v>308</v>
      </c>
      <c r="C9" s="16">
        <v>30</v>
      </c>
      <c r="D9" s="89">
        <v>622.1</v>
      </c>
      <c r="E9" s="126">
        <v>43526</v>
      </c>
      <c r="F9" s="89">
        <f t="shared" ref="F9:F54" si="0">D9</f>
        <v>622.1</v>
      </c>
      <c r="G9" s="90" t="s">
        <v>197</v>
      </c>
      <c r="H9" s="91">
        <v>105</v>
      </c>
      <c r="I9" s="116">
        <f>E6+E5+E4-F9+E7</f>
        <v>6391.42</v>
      </c>
      <c r="K9" s="71" t="s">
        <v>32</v>
      </c>
      <c r="L9" s="348">
        <f>P4+P5+P6+P7-M9</f>
        <v>340</v>
      </c>
      <c r="M9" s="16"/>
      <c r="N9" s="89"/>
      <c r="O9" s="126"/>
      <c r="P9" s="89">
        <f t="shared" ref="P9:P54" si="1">N9</f>
        <v>0</v>
      </c>
      <c r="Q9" s="90"/>
      <c r="R9" s="91"/>
      <c r="S9" s="116">
        <f>O6+O5+O4-P9+O7</f>
        <v>7003.71</v>
      </c>
    </row>
    <row r="10" spans="1:19" x14ac:dyDescent="0.25">
      <c r="A10" s="115"/>
      <c r="B10" s="348">
        <f>B9-C10</f>
        <v>278</v>
      </c>
      <c r="C10" s="16">
        <v>30</v>
      </c>
      <c r="D10" s="434">
        <v>686.04</v>
      </c>
      <c r="E10" s="455">
        <v>43530</v>
      </c>
      <c r="F10" s="434">
        <f t="shared" si="0"/>
        <v>686.04</v>
      </c>
      <c r="G10" s="280" t="s">
        <v>209</v>
      </c>
      <c r="H10" s="170">
        <v>105</v>
      </c>
      <c r="I10" s="116">
        <f>I9-F10</f>
        <v>5705.38</v>
      </c>
      <c r="K10" s="115"/>
      <c r="L10" s="348">
        <f>L9-M10</f>
        <v>340</v>
      </c>
      <c r="M10" s="16"/>
      <c r="N10" s="89"/>
      <c r="O10" s="126"/>
      <c r="P10" s="89">
        <f t="shared" si="1"/>
        <v>0</v>
      </c>
      <c r="Q10" s="90"/>
      <c r="R10" s="91"/>
      <c r="S10" s="116">
        <f>S9-P10</f>
        <v>7003.71</v>
      </c>
    </row>
    <row r="11" spans="1:19" x14ac:dyDescent="0.25">
      <c r="A11" s="13"/>
      <c r="B11" s="348">
        <f t="shared" ref="B11:B53" si="2">B10-C11</f>
        <v>248</v>
      </c>
      <c r="C11" s="16">
        <v>30</v>
      </c>
      <c r="D11" s="434">
        <v>592.70000000000005</v>
      </c>
      <c r="E11" s="455">
        <v>43535</v>
      </c>
      <c r="F11" s="434">
        <f t="shared" si="0"/>
        <v>592.70000000000005</v>
      </c>
      <c r="G11" s="280" t="s">
        <v>213</v>
      </c>
      <c r="H11" s="170">
        <v>105</v>
      </c>
      <c r="I11" s="116">
        <f t="shared" ref="I11:I54" si="3">I10-F11</f>
        <v>5112.68</v>
      </c>
      <c r="K11" s="13"/>
      <c r="L11" s="348">
        <f t="shared" ref="L11:L53" si="4">L10-M11</f>
        <v>340</v>
      </c>
      <c r="M11" s="16"/>
      <c r="N11" s="89"/>
      <c r="O11" s="126"/>
      <c r="P11" s="89">
        <f t="shared" si="1"/>
        <v>0</v>
      </c>
      <c r="Q11" s="90"/>
      <c r="R11" s="91"/>
      <c r="S11" s="116">
        <f t="shared" ref="S11:S54" si="5">S10-P11</f>
        <v>7003.71</v>
      </c>
    </row>
    <row r="12" spans="1:19" x14ac:dyDescent="0.25">
      <c r="A12" s="71" t="s">
        <v>33</v>
      </c>
      <c r="B12" s="348">
        <f t="shared" si="2"/>
        <v>218</v>
      </c>
      <c r="C12" s="16">
        <v>30</v>
      </c>
      <c r="D12" s="434">
        <v>648.6</v>
      </c>
      <c r="E12" s="455">
        <v>43539</v>
      </c>
      <c r="F12" s="434">
        <f t="shared" si="0"/>
        <v>648.6</v>
      </c>
      <c r="G12" s="280" t="s">
        <v>214</v>
      </c>
      <c r="H12" s="170">
        <v>105</v>
      </c>
      <c r="I12" s="116">
        <f t="shared" si="3"/>
        <v>4464.08</v>
      </c>
      <c r="K12" s="71" t="s">
        <v>33</v>
      </c>
      <c r="L12" s="348">
        <f t="shared" si="4"/>
        <v>340</v>
      </c>
      <c r="M12" s="16"/>
      <c r="N12" s="89"/>
      <c r="O12" s="126"/>
      <c r="P12" s="89">
        <f t="shared" si="1"/>
        <v>0</v>
      </c>
      <c r="Q12" s="90"/>
      <c r="R12" s="91"/>
      <c r="S12" s="116">
        <f t="shared" si="5"/>
        <v>7003.71</v>
      </c>
    </row>
    <row r="13" spans="1:19" x14ac:dyDescent="0.25">
      <c r="A13" s="115"/>
      <c r="B13" s="348">
        <f t="shared" si="2"/>
        <v>188</v>
      </c>
      <c r="C13" s="16">
        <v>30</v>
      </c>
      <c r="D13" s="434">
        <v>616.98</v>
      </c>
      <c r="E13" s="455">
        <v>43547</v>
      </c>
      <c r="F13" s="434">
        <f t="shared" si="0"/>
        <v>616.98</v>
      </c>
      <c r="G13" s="280" t="s">
        <v>230</v>
      </c>
      <c r="H13" s="170">
        <v>105</v>
      </c>
      <c r="I13" s="116">
        <f t="shared" si="3"/>
        <v>3847.1</v>
      </c>
      <c r="K13" s="115"/>
      <c r="L13" s="348">
        <f t="shared" si="4"/>
        <v>340</v>
      </c>
      <c r="M13" s="16"/>
      <c r="N13" s="89"/>
      <c r="O13" s="126"/>
      <c r="P13" s="89">
        <f t="shared" si="1"/>
        <v>0</v>
      </c>
      <c r="Q13" s="90"/>
      <c r="R13" s="91"/>
      <c r="S13" s="116">
        <f t="shared" si="5"/>
        <v>7003.71</v>
      </c>
    </row>
    <row r="14" spans="1:19" x14ac:dyDescent="0.25">
      <c r="A14" s="13"/>
      <c r="B14" s="348">
        <f t="shared" si="2"/>
        <v>168</v>
      </c>
      <c r="C14" s="16">
        <v>20</v>
      </c>
      <c r="D14" s="632">
        <v>422.98</v>
      </c>
      <c r="E14" s="633">
        <v>43560</v>
      </c>
      <c r="F14" s="632">
        <f t="shared" si="0"/>
        <v>422.98</v>
      </c>
      <c r="G14" s="634" t="s">
        <v>388</v>
      </c>
      <c r="H14" s="635">
        <v>105</v>
      </c>
      <c r="I14" s="116">
        <f t="shared" si="3"/>
        <v>3424.12</v>
      </c>
      <c r="K14" s="13"/>
      <c r="L14" s="348">
        <f t="shared" si="4"/>
        <v>340</v>
      </c>
      <c r="M14" s="16"/>
      <c r="N14" s="89"/>
      <c r="O14" s="126"/>
      <c r="P14" s="89">
        <f t="shared" si="1"/>
        <v>0</v>
      </c>
      <c r="Q14" s="90"/>
      <c r="R14" s="91"/>
      <c r="S14" s="116">
        <f t="shared" si="5"/>
        <v>7003.71</v>
      </c>
    </row>
    <row r="15" spans="1:19" x14ac:dyDescent="0.25">
      <c r="B15" s="348">
        <f t="shared" si="2"/>
        <v>138</v>
      </c>
      <c r="C15" s="62">
        <v>30</v>
      </c>
      <c r="D15" s="632">
        <v>635.29999999999995</v>
      </c>
      <c r="E15" s="633">
        <v>43561</v>
      </c>
      <c r="F15" s="632">
        <f t="shared" si="0"/>
        <v>635.29999999999995</v>
      </c>
      <c r="G15" s="634" t="s">
        <v>390</v>
      </c>
      <c r="H15" s="635">
        <v>105</v>
      </c>
      <c r="I15" s="116">
        <f t="shared" si="3"/>
        <v>2788.8199999999997</v>
      </c>
      <c r="L15" s="348">
        <f t="shared" si="4"/>
        <v>340</v>
      </c>
      <c r="M15" s="62"/>
      <c r="N15" s="89"/>
      <c r="O15" s="126"/>
      <c r="P15" s="89">
        <f t="shared" si="1"/>
        <v>0</v>
      </c>
      <c r="Q15" s="90"/>
      <c r="R15" s="91"/>
      <c r="S15" s="116">
        <f t="shared" si="5"/>
        <v>7003.71</v>
      </c>
    </row>
    <row r="16" spans="1:19" x14ac:dyDescent="0.25">
      <c r="B16" s="348">
        <f t="shared" si="2"/>
        <v>103</v>
      </c>
      <c r="C16" s="16">
        <v>35</v>
      </c>
      <c r="D16" s="632">
        <v>685.04</v>
      </c>
      <c r="E16" s="633">
        <v>43568</v>
      </c>
      <c r="F16" s="632">
        <f t="shared" si="0"/>
        <v>685.04</v>
      </c>
      <c r="G16" s="634" t="s">
        <v>424</v>
      </c>
      <c r="H16" s="635">
        <v>105</v>
      </c>
      <c r="I16" s="116">
        <f t="shared" si="3"/>
        <v>2103.7799999999997</v>
      </c>
      <c r="L16" s="348">
        <f t="shared" si="4"/>
        <v>340</v>
      </c>
      <c r="M16" s="16"/>
      <c r="N16" s="89"/>
      <c r="O16" s="126"/>
      <c r="P16" s="89">
        <f t="shared" si="1"/>
        <v>0</v>
      </c>
      <c r="Q16" s="90"/>
      <c r="R16" s="91"/>
      <c r="S16" s="116">
        <f t="shared" si="5"/>
        <v>7003.71</v>
      </c>
    </row>
    <row r="17" spans="2:19" x14ac:dyDescent="0.25">
      <c r="B17" s="348">
        <f t="shared" si="2"/>
        <v>83</v>
      </c>
      <c r="C17" s="16">
        <v>20</v>
      </c>
      <c r="D17" s="632">
        <v>402.54</v>
      </c>
      <c r="E17" s="633">
        <v>43573</v>
      </c>
      <c r="F17" s="632">
        <f t="shared" si="0"/>
        <v>402.54</v>
      </c>
      <c r="G17" s="634" t="s">
        <v>454</v>
      </c>
      <c r="H17" s="635">
        <v>105</v>
      </c>
      <c r="I17" s="116">
        <f t="shared" si="3"/>
        <v>1701.2399999999998</v>
      </c>
      <c r="L17" s="348">
        <f t="shared" si="4"/>
        <v>340</v>
      </c>
      <c r="M17" s="16"/>
      <c r="N17" s="89"/>
      <c r="O17" s="126"/>
      <c r="P17" s="89">
        <f t="shared" si="1"/>
        <v>0</v>
      </c>
      <c r="Q17" s="90"/>
      <c r="R17" s="91"/>
      <c r="S17" s="116">
        <f t="shared" si="5"/>
        <v>7003.71</v>
      </c>
    </row>
    <row r="18" spans="2:19" x14ac:dyDescent="0.25">
      <c r="B18" s="348">
        <f t="shared" si="2"/>
        <v>73</v>
      </c>
      <c r="C18" s="62">
        <v>10</v>
      </c>
      <c r="D18" s="632">
        <v>202.09</v>
      </c>
      <c r="E18" s="633">
        <v>43580</v>
      </c>
      <c r="F18" s="632">
        <f t="shared" si="0"/>
        <v>202.09</v>
      </c>
      <c r="G18" s="634" t="s">
        <v>501</v>
      </c>
      <c r="H18" s="635">
        <v>105</v>
      </c>
      <c r="I18" s="116">
        <f t="shared" si="3"/>
        <v>1499.1499999999999</v>
      </c>
      <c r="L18" s="348">
        <f t="shared" si="4"/>
        <v>340</v>
      </c>
      <c r="M18" s="62"/>
      <c r="N18" s="89"/>
      <c r="O18" s="126"/>
      <c r="P18" s="89">
        <f t="shared" si="1"/>
        <v>0</v>
      </c>
      <c r="Q18" s="90"/>
      <c r="R18" s="91"/>
      <c r="S18" s="116">
        <f t="shared" si="5"/>
        <v>7003.71</v>
      </c>
    </row>
    <row r="19" spans="2:19" x14ac:dyDescent="0.25">
      <c r="B19" s="348">
        <f t="shared" si="2"/>
        <v>43</v>
      </c>
      <c r="C19" s="16">
        <v>30</v>
      </c>
      <c r="D19" s="632">
        <v>592.22</v>
      </c>
      <c r="E19" s="633">
        <v>43582</v>
      </c>
      <c r="F19" s="632">
        <f t="shared" si="0"/>
        <v>592.22</v>
      </c>
      <c r="G19" s="634" t="s">
        <v>511</v>
      </c>
      <c r="H19" s="635">
        <v>105</v>
      </c>
      <c r="I19" s="116">
        <f t="shared" si="3"/>
        <v>906.92999999999984</v>
      </c>
      <c r="L19" s="348">
        <f t="shared" si="4"/>
        <v>340</v>
      </c>
      <c r="M19" s="16"/>
      <c r="N19" s="89"/>
      <c r="O19" s="126"/>
      <c r="P19" s="89">
        <f t="shared" si="1"/>
        <v>0</v>
      </c>
      <c r="Q19" s="90"/>
      <c r="R19" s="91"/>
      <c r="S19" s="116">
        <f t="shared" si="5"/>
        <v>7003.71</v>
      </c>
    </row>
    <row r="20" spans="2:19" x14ac:dyDescent="0.25">
      <c r="B20" s="348">
        <f t="shared" si="2"/>
        <v>43</v>
      </c>
      <c r="C20" s="16"/>
      <c r="D20" s="632"/>
      <c r="E20" s="633"/>
      <c r="F20" s="632">
        <f t="shared" si="0"/>
        <v>0</v>
      </c>
      <c r="G20" s="634"/>
      <c r="H20" s="635"/>
      <c r="I20" s="116">
        <f t="shared" si="3"/>
        <v>906.92999999999984</v>
      </c>
      <c r="L20" s="348">
        <f t="shared" si="4"/>
        <v>340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5"/>
        <v>7003.71</v>
      </c>
    </row>
    <row r="21" spans="2:19" x14ac:dyDescent="0.25">
      <c r="B21" s="348">
        <f t="shared" si="2"/>
        <v>43</v>
      </c>
      <c r="C21" s="16"/>
      <c r="D21" s="632"/>
      <c r="E21" s="633"/>
      <c r="F21" s="632">
        <f t="shared" si="0"/>
        <v>0</v>
      </c>
      <c r="G21" s="634"/>
      <c r="H21" s="635"/>
      <c r="I21" s="116">
        <f t="shared" si="3"/>
        <v>906.92999999999984</v>
      </c>
      <c r="L21" s="348">
        <f t="shared" si="4"/>
        <v>340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5"/>
        <v>7003.71</v>
      </c>
    </row>
    <row r="22" spans="2:19" x14ac:dyDescent="0.25">
      <c r="B22" s="348">
        <f t="shared" si="2"/>
        <v>43</v>
      </c>
      <c r="C22" s="16"/>
      <c r="D22" s="632"/>
      <c r="E22" s="633"/>
      <c r="F22" s="632">
        <f t="shared" si="0"/>
        <v>0</v>
      </c>
      <c r="G22" s="634"/>
      <c r="H22" s="635"/>
      <c r="I22" s="116">
        <f t="shared" si="3"/>
        <v>906.92999999999984</v>
      </c>
      <c r="L22" s="348">
        <f t="shared" si="4"/>
        <v>340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5"/>
        <v>7003.71</v>
      </c>
    </row>
    <row r="23" spans="2:19" x14ac:dyDescent="0.25">
      <c r="B23" s="348">
        <f t="shared" si="2"/>
        <v>43</v>
      </c>
      <c r="C23" s="16"/>
      <c r="D23" s="632"/>
      <c r="E23" s="633"/>
      <c r="F23" s="632">
        <f t="shared" si="0"/>
        <v>0</v>
      </c>
      <c r="G23" s="634"/>
      <c r="H23" s="635"/>
      <c r="I23" s="116">
        <f t="shared" si="3"/>
        <v>906.92999999999984</v>
      </c>
      <c r="L23" s="348">
        <f t="shared" si="4"/>
        <v>340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5"/>
        <v>7003.71</v>
      </c>
    </row>
    <row r="24" spans="2:19" x14ac:dyDescent="0.25">
      <c r="B24" s="348">
        <f t="shared" si="2"/>
        <v>43</v>
      </c>
      <c r="C24" s="16"/>
      <c r="D24" s="632"/>
      <c r="E24" s="633"/>
      <c r="F24" s="632">
        <f t="shared" si="0"/>
        <v>0</v>
      </c>
      <c r="G24" s="634"/>
      <c r="H24" s="635"/>
      <c r="I24" s="116">
        <f t="shared" si="3"/>
        <v>906.92999999999984</v>
      </c>
      <c r="L24" s="348">
        <f t="shared" si="4"/>
        <v>340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5"/>
        <v>7003.71</v>
      </c>
    </row>
    <row r="25" spans="2:19" x14ac:dyDescent="0.25">
      <c r="B25" s="348">
        <f t="shared" si="2"/>
        <v>43</v>
      </c>
      <c r="C25" s="16"/>
      <c r="D25" s="632"/>
      <c r="E25" s="633"/>
      <c r="F25" s="632">
        <f t="shared" si="0"/>
        <v>0</v>
      </c>
      <c r="G25" s="634"/>
      <c r="H25" s="635"/>
      <c r="I25" s="116">
        <f t="shared" si="3"/>
        <v>906.92999999999984</v>
      </c>
      <c r="L25" s="348">
        <f t="shared" si="4"/>
        <v>340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5"/>
        <v>7003.71</v>
      </c>
    </row>
    <row r="26" spans="2:19" x14ac:dyDescent="0.25">
      <c r="B26" s="348">
        <f t="shared" si="2"/>
        <v>43</v>
      </c>
      <c r="C26" s="16"/>
      <c r="D26" s="632"/>
      <c r="E26" s="633"/>
      <c r="F26" s="632">
        <f t="shared" si="0"/>
        <v>0</v>
      </c>
      <c r="G26" s="634"/>
      <c r="H26" s="635"/>
      <c r="I26" s="116">
        <f t="shared" si="3"/>
        <v>906.92999999999984</v>
      </c>
      <c r="L26" s="348">
        <f t="shared" si="4"/>
        <v>340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5"/>
        <v>7003.71</v>
      </c>
    </row>
    <row r="27" spans="2:19" x14ac:dyDescent="0.25">
      <c r="B27" s="348">
        <f t="shared" si="2"/>
        <v>43</v>
      </c>
      <c r="C27" s="16"/>
      <c r="D27" s="632"/>
      <c r="E27" s="633"/>
      <c r="F27" s="632">
        <f t="shared" si="0"/>
        <v>0</v>
      </c>
      <c r="G27" s="634"/>
      <c r="H27" s="635"/>
      <c r="I27" s="116">
        <f t="shared" si="3"/>
        <v>906.92999999999984</v>
      </c>
      <c r="L27" s="348">
        <f t="shared" si="4"/>
        <v>340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5"/>
        <v>7003.71</v>
      </c>
    </row>
    <row r="28" spans="2:19" x14ac:dyDescent="0.25">
      <c r="B28" s="348">
        <f t="shared" si="2"/>
        <v>43</v>
      </c>
      <c r="C28" s="16"/>
      <c r="D28" s="89"/>
      <c r="E28" s="126"/>
      <c r="F28" s="89">
        <f t="shared" si="0"/>
        <v>0</v>
      </c>
      <c r="G28" s="90"/>
      <c r="H28" s="91"/>
      <c r="I28" s="116">
        <f t="shared" si="3"/>
        <v>906.92999999999984</v>
      </c>
      <c r="L28" s="348">
        <f t="shared" si="4"/>
        <v>340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5"/>
        <v>7003.71</v>
      </c>
    </row>
    <row r="29" spans="2:19" x14ac:dyDescent="0.25">
      <c r="B29" s="348">
        <f t="shared" si="2"/>
        <v>43</v>
      </c>
      <c r="C29" s="16"/>
      <c r="D29" s="89"/>
      <c r="E29" s="126"/>
      <c r="F29" s="89">
        <f t="shared" si="0"/>
        <v>0</v>
      </c>
      <c r="G29" s="90"/>
      <c r="H29" s="91"/>
      <c r="I29" s="116">
        <f t="shared" si="3"/>
        <v>906.92999999999984</v>
      </c>
      <c r="L29" s="348">
        <f t="shared" si="4"/>
        <v>340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5"/>
        <v>7003.71</v>
      </c>
    </row>
    <row r="30" spans="2:19" x14ac:dyDescent="0.25">
      <c r="B30" s="348">
        <f t="shared" si="2"/>
        <v>43</v>
      </c>
      <c r="C30" s="16"/>
      <c r="D30" s="89"/>
      <c r="E30" s="126"/>
      <c r="F30" s="89">
        <f t="shared" si="0"/>
        <v>0</v>
      </c>
      <c r="G30" s="90"/>
      <c r="H30" s="91"/>
      <c r="I30" s="116">
        <f t="shared" si="3"/>
        <v>906.92999999999984</v>
      </c>
      <c r="L30" s="348">
        <f t="shared" si="4"/>
        <v>340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5"/>
        <v>7003.71</v>
      </c>
    </row>
    <row r="31" spans="2:19" x14ac:dyDescent="0.25">
      <c r="B31" s="348">
        <f t="shared" si="2"/>
        <v>43</v>
      </c>
      <c r="C31" s="16"/>
      <c r="D31" s="89"/>
      <c r="E31" s="126"/>
      <c r="F31" s="89">
        <f t="shared" si="0"/>
        <v>0</v>
      </c>
      <c r="G31" s="90"/>
      <c r="H31" s="91"/>
      <c r="I31" s="116">
        <f t="shared" si="3"/>
        <v>906.92999999999984</v>
      </c>
      <c r="L31" s="348">
        <f t="shared" si="4"/>
        <v>340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5"/>
        <v>7003.71</v>
      </c>
    </row>
    <row r="32" spans="2:19" x14ac:dyDescent="0.25">
      <c r="B32" s="348">
        <f t="shared" si="2"/>
        <v>43</v>
      </c>
      <c r="C32" s="16"/>
      <c r="D32" s="89"/>
      <c r="E32" s="126"/>
      <c r="F32" s="89">
        <f t="shared" si="0"/>
        <v>0</v>
      </c>
      <c r="G32" s="90"/>
      <c r="H32" s="91"/>
      <c r="I32" s="116">
        <f t="shared" si="3"/>
        <v>906.92999999999984</v>
      </c>
      <c r="L32" s="348">
        <f t="shared" si="4"/>
        <v>340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5"/>
        <v>7003.71</v>
      </c>
    </row>
    <row r="33" spans="2:19" x14ac:dyDescent="0.25">
      <c r="B33" s="348">
        <f t="shared" si="2"/>
        <v>43</v>
      </c>
      <c r="C33" s="16"/>
      <c r="D33" s="89"/>
      <c r="E33" s="126"/>
      <c r="F33" s="89">
        <f t="shared" si="0"/>
        <v>0</v>
      </c>
      <c r="G33" s="90"/>
      <c r="H33" s="91"/>
      <c r="I33" s="116">
        <f t="shared" si="3"/>
        <v>906.92999999999984</v>
      </c>
      <c r="L33" s="348">
        <f t="shared" si="4"/>
        <v>340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5"/>
        <v>7003.71</v>
      </c>
    </row>
    <row r="34" spans="2:19" x14ac:dyDescent="0.25">
      <c r="B34" s="348">
        <f t="shared" si="2"/>
        <v>43</v>
      </c>
      <c r="C34" s="16"/>
      <c r="D34" s="89"/>
      <c r="E34" s="126"/>
      <c r="F34" s="89">
        <f t="shared" si="0"/>
        <v>0</v>
      </c>
      <c r="G34" s="90"/>
      <c r="H34" s="91"/>
      <c r="I34" s="116">
        <f t="shared" si="3"/>
        <v>906.92999999999984</v>
      </c>
      <c r="L34" s="348">
        <f t="shared" si="4"/>
        <v>340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5"/>
        <v>7003.71</v>
      </c>
    </row>
    <row r="35" spans="2:19" x14ac:dyDescent="0.25">
      <c r="B35" s="348">
        <f t="shared" si="2"/>
        <v>43</v>
      </c>
      <c r="C35" s="16"/>
      <c r="D35" s="89"/>
      <c r="E35" s="126"/>
      <c r="F35" s="89">
        <f t="shared" si="0"/>
        <v>0</v>
      </c>
      <c r="G35" s="90"/>
      <c r="H35" s="91"/>
      <c r="I35" s="116">
        <f t="shared" si="3"/>
        <v>906.92999999999984</v>
      </c>
      <c r="L35" s="348">
        <f t="shared" si="4"/>
        <v>340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5"/>
        <v>7003.71</v>
      </c>
    </row>
    <row r="36" spans="2:19" x14ac:dyDescent="0.25">
      <c r="B36" s="348">
        <f t="shared" si="2"/>
        <v>43</v>
      </c>
      <c r="C36" s="16"/>
      <c r="D36" s="89"/>
      <c r="E36" s="126"/>
      <c r="F36" s="89">
        <f t="shared" si="0"/>
        <v>0</v>
      </c>
      <c r="G36" s="90"/>
      <c r="H36" s="91"/>
      <c r="I36" s="116">
        <f t="shared" si="3"/>
        <v>906.92999999999984</v>
      </c>
      <c r="L36" s="348">
        <f t="shared" si="4"/>
        <v>340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5"/>
        <v>7003.71</v>
      </c>
    </row>
    <row r="37" spans="2:19" x14ac:dyDescent="0.25">
      <c r="B37" s="348">
        <f t="shared" si="2"/>
        <v>43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3"/>
        <v>906.92999999999984</v>
      </c>
      <c r="L37" s="348">
        <f t="shared" si="4"/>
        <v>340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5"/>
        <v>7003.71</v>
      </c>
    </row>
    <row r="38" spans="2:19" x14ac:dyDescent="0.25">
      <c r="B38" s="348">
        <f t="shared" si="2"/>
        <v>43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3"/>
        <v>906.92999999999984</v>
      </c>
      <c r="L38" s="348">
        <f t="shared" si="4"/>
        <v>340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5"/>
        <v>7003.71</v>
      </c>
    </row>
    <row r="39" spans="2:19" x14ac:dyDescent="0.25">
      <c r="B39" s="348">
        <f t="shared" si="2"/>
        <v>43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3"/>
        <v>906.92999999999984</v>
      </c>
      <c r="L39" s="348">
        <f t="shared" si="4"/>
        <v>340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5"/>
        <v>7003.71</v>
      </c>
    </row>
    <row r="40" spans="2:19" x14ac:dyDescent="0.25">
      <c r="B40" s="348">
        <f t="shared" si="2"/>
        <v>43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3"/>
        <v>906.92999999999984</v>
      </c>
      <c r="L40" s="348">
        <f t="shared" si="4"/>
        <v>340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5"/>
        <v>7003.71</v>
      </c>
    </row>
    <row r="41" spans="2:19" x14ac:dyDescent="0.25">
      <c r="B41" s="348">
        <f t="shared" si="2"/>
        <v>43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3"/>
        <v>906.92999999999984</v>
      </c>
      <c r="L41" s="348">
        <f t="shared" si="4"/>
        <v>340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5"/>
        <v>7003.71</v>
      </c>
    </row>
    <row r="42" spans="2:19" x14ac:dyDescent="0.25">
      <c r="B42" s="348">
        <f t="shared" si="2"/>
        <v>43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3"/>
        <v>906.92999999999984</v>
      </c>
      <c r="L42" s="348">
        <f t="shared" si="4"/>
        <v>340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5"/>
        <v>7003.71</v>
      </c>
    </row>
    <row r="43" spans="2:19" x14ac:dyDescent="0.25">
      <c r="B43" s="348">
        <f t="shared" si="2"/>
        <v>43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3"/>
        <v>906.92999999999984</v>
      </c>
      <c r="L43" s="348">
        <f t="shared" si="4"/>
        <v>340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5"/>
        <v>7003.71</v>
      </c>
    </row>
    <row r="44" spans="2:19" x14ac:dyDescent="0.25">
      <c r="B44" s="348">
        <f t="shared" si="2"/>
        <v>43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3"/>
        <v>906.92999999999984</v>
      </c>
      <c r="L44" s="348">
        <f t="shared" si="4"/>
        <v>340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5"/>
        <v>7003.71</v>
      </c>
    </row>
    <row r="45" spans="2:19" x14ac:dyDescent="0.25">
      <c r="B45" s="348">
        <f t="shared" si="2"/>
        <v>43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3"/>
        <v>906.92999999999984</v>
      </c>
      <c r="L45" s="348">
        <f t="shared" si="4"/>
        <v>340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5"/>
        <v>7003.71</v>
      </c>
    </row>
    <row r="46" spans="2:19" x14ac:dyDescent="0.25">
      <c r="B46" s="348">
        <f t="shared" si="2"/>
        <v>43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3"/>
        <v>906.92999999999984</v>
      </c>
      <c r="L46" s="348">
        <f t="shared" si="4"/>
        <v>340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5"/>
        <v>7003.71</v>
      </c>
    </row>
    <row r="47" spans="2:19" x14ac:dyDescent="0.25">
      <c r="B47" s="348">
        <f t="shared" si="2"/>
        <v>43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3"/>
        <v>906.92999999999984</v>
      </c>
      <c r="L47" s="348">
        <f t="shared" si="4"/>
        <v>340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5"/>
        <v>7003.71</v>
      </c>
    </row>
    <row r="48" spans="2:19" x14ac:dyDescent="0.25">
      <c r="B48" s="348">
        <f t="shared" si="2"/>
        <v>43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3"/>
        <v>906.92999999999984</v>
      </c>
      <c r="L48" s="348">
        <f t="shared" si="4"/>
        <v>340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5"/>
        <v>7003.71</v>
      </c>
    </row>
    <row r="49" spans="2:19" x14ac:dyDescent="0.25">
      <c r="B49" s="348">
        <f t="shared" si="2"/>
        <v>43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3"/>
        <v>906.92999999999984</v>
      </c>
      <c r="L49" s="348">
        <f t="shared" si="4"/>
        <v>340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5"/>
        <v>7003.71</v>
      </c>
    </row>
    <row r="50" spans="2:19" x14ac:dyDescent="0.25">
      <c r="B50" s="348">
        <f t="shared" si="2"/>
        <v>43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3"/>
        <v>906.92999999999984</v>
      </c>
      <c r="L50" s="348">
        <f t="shared" si="4"/>
        <v>340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5"/>
        <v>7003.71</v>
      </c>
    </row>
    <row r="51" spans="2:19" x14ac:dyDescent="0.25">
      <c r="B51" s="348">
        <f t="shared" si="2"/>
        <v>43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3"/>
        <v>906.92999999999984</v>
      </c>
      <c r="L51" s="348">
        <f t="shared" si="4"/>
        <v>340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5"/>
        <v>7003.71</v>
      </c>
    </row>
    <row r="52" spans="2:19" x14ac:dyDescent="0.25">
      <c r="B52" s="348">
        <f t="shared" si="2"/>
        <v>43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3"/>
        <v>906.92999999999984</v>
      </c>
      <c r="L52" s="348">
        <f t="shared" si="4"/>
        <v>340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5"/>
        <v>7003.71</v>
      </c>
    </row>
    <row r="53" spans="2:19" x14ac:dyDescent="0.25">
      <c r="B53" s="348">
        <f t="shared" si="2"/>
        <v>43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3"/>
        <v>906.92999999999984</v>
      </c>
      <c r="L53" s="348">
        <f t="shared" si="4"/>
        <v>340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5"/>
        <v>7003.71</v>
      </c>
    </row>
    <row r="54" spans="2:19" ht="15.75" thickBot="1" x14ac:dyDescent="0.3">
      <c r="B54" s="3"/>
      <c r="C54" s="39"/>
      <c r="D54" s="235"/>
      <c r="E54" s="249"/>
      <c r="F54" s="235">
        <f t="shared" si="0"/>
        <v>0</v>
      </c>
      <c r="G54" s="418"/>
      <c r="H54" s="102"/>
      <c r="I54" s="116">
        <f t="shared" si="3"/>
        <v>906.92999999999984</v>
      </c>
      <c r="L54" s="3"/>
      <c r="M54" s="39"/>
      <c r="N54" s="235"/>
      <c r="O54" s="249"/>
      <c r="P54" s="235">
        <f t="shared" si="1"/>
        <v>0</v>
      </c>
      <c r="Q54" s="418"/>
      <c r="R54" s="102"/>
      <c r="S54" s="116">
        <f t="shared" si="5"/>
        <v>7003.71</v>
      </c>
    </row>
    <row r="55" spans="2:19" x14ac:dyDescent="0.25">
      <c r="C55" s="62">
        <f>SUM(C9:C54)</f>
        <v>295</v>
      </c>
      <c r="D55" s="182">
        <f>SUM(D9:D54)</f>
        <v>6106.59</v>
      </c>
      <c r="E55" s="274"/>
      <c r="F55" s="182">
        <f>SUM(F9:F54)</f>
        <v>6106.59</v>
      </c>
      <c r="G55" s="255"/>
      <c r="H55" s="255"/>
      <c r="M55" s="62">
        <f>SUM(M9:M54)</f>
        <v>0</v>
      </c>
      <c r="N55" s="182">
        <f>SUM(N9:N54)</f>
        <v>0</v>
      </c>
      <c r="O55" s="274"/>
      <c r="P55" s="182">
        <f>SUM(P9:P54)</f>
        <v>0</v>
      </c>
      <c r="Q55" s="255"/>
      <c r="R55" s="255"/>
    </row>
    <row r="56" spans="2:19" x14ac:dyDescent="0.25">
      <c r="C56" s="159"/>
      <c r="M56" s="159"/>
    </row>
    <row r="57" spans="2:19" ht="15.75" thickBot="1" x14ac:dyDescent="0.3">
      <c r="B57" s="51"/>
      <c r="L57" s="51"/>
    </row>
    <row r="58" spans="2:19" ht="15.75" thickBot="1" x14ac:dyDescent="0.3">
      <c r="B58" s="133"/>
      <c r="D58" s="49" t="s">
        <v>4</v>
      </c>
      <c r="E58" s="72">
        <f>F5-C55+F4+F6+F7</f>
        <v>43</v>
      </c>
      <c r="L58" s="133"/>
      <c r="N58" s="49" t="s">
        <v>4</v>
      </c>
      <c r="O58" s="72">
        <f>P5-M55+P4+P6+P7</f>
        <v>340</v>
      </c>
    </row>
    <row r="59" spans="2:19" ht="15.75" thickBot="1" x14ac:dyDescent="0.3">
      <c r="B59" s="185"/>
      <c r="L59" s="185"/>
    </row>
    <row r="60" spans="2:19" ht="15.75" thickBot="1" x14ac:dyDescent="0.3">
      <c r="B60" s="133"/>
      <c r="C60" s="751" t="s">
        <v>11</v>
      </c>
      <c r="D60" s="752"/>
      <c r="E60" s="74">
        <f>E5-F55+E4+E6+E7</f>
        <v>906.93000000000029</v>
      </c>
      <c r="L60" s="133"/>
      <c r="M60" s="751" t="s">
        <v>11</v>
      </c>
      <c r="N60" s="752"/>
      <c r="O60" s="74">
        <f>O5-P55+O4+O6+O7</f>
        <v>7003.71</v>
      </c>
    </row>
  </sheetData>
  <mergeCells count="6">
    <mergeCell ref="A1:G1"/>
    <mergeCell ref="C60:D60"/>
    <mergeCell ref="A5:A6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96"/>
  <sheetViews>
    <sheetView topLeftCell="L1" workbookViewId="0">
      <pane ySplit="7" topLeftCell="A83" activePane="bottomLeft" state="frozen"/>
      <selection activeCell="J1" sqref="J1"/>
      <selection pane="bottomLeft" activeCell="S10" sqref="S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1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customHeight="1" x14ac:dyDescent="0.65">
      <c r="A1" s="744" t="s">
        <v>258</v>
      </c>
      <c r="B1" s="744"/>
      <c r="C1" s="744"/>
      <c r="D1" s="744"/>
      <c r="E1" s="744"/>
      <c r="F1" s="744"/>
      <c r="G1" s="744"/>
      <c r="H1" s="141">
        <v>1</v>
      </c>
      <c r="L1" s="744" t="s">
        <v>250</v>
      </c>
      <c r="M1" s="744"/>
      <c r="N1" s="744"/>
      <c r="O1" s="744"/>
      <c r="P1" s="744"/>
      <c r="Q1" s="744"/>
      <c r="R1" s="744"/>
      <c r="S1" s="14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7.25" thickTop="1" thickBot="1" x14ac:dyDescent="0.3">
      <c r="A4" s="102"/>
      <c r="B4" s="216"/>
      <c r="C4" s="18"/>
      <c r="E4" s="338">
        <v>1024.5999999999999</v>
      </c>
      <c r="F4" s="215">
        <v>94</v>
      </c>
      <c r="L4" s="102"/>
      <c r="M4" s="216"/>
      <c r="N4" s="18"/>
      <c r="P4" s="338"/>
      <c r="Q4" s="215"/>
    </row>
    <row r="5" spans="1:21" ht="15" customHeight="1" x14ac:dyDescent="0.25">
      <c r="A5" s="756" t="s">
        <v>111</v>
      </c>
      <c r="B5" s="758" t="s">
        <v>90</v>
      </c>
      <c r="C5" s="167">
        <v>39.5</v>
      </c>
      <c r="D5" s="171">
        <v>43446</v>
      </c>
      <c r="E5" s="286">
        <v>17440</v>
      </c>
      <c r="F5" s="215">
        <v>1600</v>
      </c>
      <c r="G5" s="658">
        <f>F93</f>
        <v>18464.599999999999</v>
      </c>
      <c r="H5" s="76">
        <f>E4+E5+E6-G5</f>
        <v>0</v>
      </c>
      <c r="L5" s="756" t="s">
        <v>111</v>
      </c>
      <c r="M5" s="758" t="s">
        <v>90</v>
      </c>
      <c r="N5" s="167">
        <v>40.67</v>
      </c>
      <c r="O5" s="171">
        <v>43554</v>
      </c>
      <c r="P5" s="286">
        <v>11804.7</v>
      </c>
      <c r="Q5" s="215">
        <v>1083</v>
      </c>
      <c r="R5" s="219">
        <f>Q93</f>
        <v>1002.8000000000001</v>
      </c>
      <c r="S5" s="76">
        <f>P4+P5+P6-R5</f>
        <v>10801.900000000001</v>
      </c>
    </row>
    <row r="6" spans="1:21" ht="16.5" thickBot="1" x14ac:dyDescent="0.3">
      <c r="A6" s="757"/>
      <c r="B6" s="759"/>
      <c r="C6" s="303"/>
      <c r="E6" s="216"/>
      <c r="F6" s="287"/>
      <c r="L6" s="757"/>
      <c r="M6" s="759"/>
      <c r="N6" s="303"/>
      <c r="P6" s="216"/>
      <c r="Q6" s="287"/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91" t="s">
        <v>3</v>
      </c>
      <c r="J7" s="492" t="s">
        <v>4</v>
      </c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491" t="s">
        <v>3</v>
      </c>
      <c r="U7" s="492" t="s">
        <v>4</v>
      </c>
    </row>
    <row r="8" spans="1:21" ht="15.75" thickTop="1" x14ac:dyDescent="0.25">
      <c r="A8" s="120" t="s">
        <v>32</v>
      </c>
      <c r="B8" s="125">
        <v>10.9</v>
      </c>
      <c r="C8" s="16">
        <v>800</v>
      </c>
      <c r="D8" s="323">
        <f t="shared" ref="D8:D71" si="0">C8*B8</f>
        <v>8720</v>
      </c>
      <c r="E8" s="126">
        <v>43449</v>
      </c>
      <c r="F8" s="89">
        <f t="shared" ref="F8:F71" si="1">D8</f>
        <v>8720</v>
      </c>
      <c r="G8" s="90" t="s">
        <v>120</v>
      </c>
      <c r="H8" s="91">
        <v>430.16</v>
      </c>
      <c r="I8" s="493">
        <f>E5+E4-F8</f>
        <v>9744.5999999999985</v>
      </c>
      <c r="J8" s="494">
        <f>F4+F5+F6-C8</f>
        <v>894</v>
      </c>
      <c r="L8" s="120" t="s">
        <v>32</v>
      </c>
      <c r="M8" s="125">
        <v>10.9</v>
      </c>
      <c r="N8" s="16">
        <v>20</v>
      </c>
      <c r="O8" s="323">
        <f t="shared" ref="O8:O71" si="2">N8*M8</f>
        <v>218</v>
      </c>
      <c r="P8" s="126">
        <v>43567</v>
      </c>
      <c r="Q8" s="89">
        <f t="shared" ref="Q8:Q71" si="3">O8</f>
        <v>218</v>
      </c>
      <c r="R8" s="90" t="s">
        <v>413</v>
      </c>
      <c r="S8" s="91">
        <v>580</v>
      </c>
      <c r="T8" s="493">
        <f>P5+P4-Q8</f>
        <v>11586.7</v>
      </c>
      <c r="U8" s="494">
        <f>Q4+Q5+Q6-N8</f>
        <v>1063</v>
      </c>
    </row>
    <row r="9" spans="1:21" x14ac:dyDescent="0.25">
      <c r="A9" s="379"/>
      <c r="B9" s="125">
        <v>10.9</v>
      </c>
      <c r="C9" s="16">
        <v>10</v>
      </c>
      <c r="D9" s="323">
        <f t="shared" si="0"/>
        <v>109</v>
      </c>
      <c r="E9" s="126">
        <v>43449</v>
      </c>
      <c r="F9" s="89">
        <f t="shared" si="1"/>
        <v>109</v>
      </c>
      <c r="G9" s="90" t="s">
        <v>121</v>
      </c>
      <c r="H9" s="91">
        <v>600</v>
      </c>
      <c r="I9" s="493">
        <f>I8-F9</f>
        <v>9635.5999999999985</v>
      </c>
      <c r="J9" s="494">
        <f>J8-C9</f>
        <v>884</v>
      </c>
      <c r="L9" s="379"/>
      <c r="M9" s="125">
        <v>10.9</v>
      </c>
      <c r="N9" s="16">
        <v>72</v>
      </c>
      <c r="O9" s="323">
        <f t="shared" si="2"/>
        <v>784.80000000000007</v>
      </c>
      <c r="P9" s="126">
        <v>43582</v>
      </c>
      <c r="Q9" s="89">
        <f t="shared" si="3"/>
        <v>784.80000000000007</v>
      </c>
      <c r="R9" s="90" t="s">
        <v>511</v>
      </c>
      <c r="S9" s="91">
        <v>580</v>
      </c>
      <c r="T9" s="493">
        <f>T8-Q9</f>
        <v>10801.900000000001</v>
      </c>
      <c r="U9" s="494">
        <f>U8-N9</f>
        <v>991</v>
      </c>
    </row>
    <row r="10" spans="1:21" x14ac:dyDescent="0.25">
      <c r="A10" s="348"/>
      <c r="B10" s="125">
        <v>10.9</v>
      </c>
      <c r="C10" s="16">
        <v>66</v>
      </c>
      <c r="D10" s="323">
        <f t="shared" si="0"/>
        <v>719.4</v>
      </c>
      <c r="E10" s="126">
        <v>43450</v>
      </c>
      <c r="F10" s="89">
        <f t="shared" si="1"/>
        <v>719.4</v>
      </c>
      <c r="G10" s="90" t="s">
        <v>122</v>
      </c>
      <c r="H10" s="91">
        <v>600</v>
      </c>
      <c r="I10" s="493">
        <f t="shared" ref="I10:I73" si="4">I9-F10</f>
        <v>8916.1999999999989</v>
      </c>
      <c r="J10" s="494">
        <f t="shared" ref="J10:J73" si="5">J9-C10</f>
        <v>818</v>
      </c>
      <c r="L10" s="348"/>
      <c r="M10" s="125">
        <v>10.9</v>
      </c>
      <c r="N10" s="16"/>
      <c r="O10" s="323">
        <f t="shared" si="2"/>
        <v>0</v>
      </c>
      <c r="P10" s="126"/>
      <c r="Q10" s="89">
        <f t="shared" si="3"/>
        <v>0</v>
      </c>
      <c r="R10" s="90"/>
      <c r="S10" s="91"/>
      <c r="T10" s="493">
        <f t="shared" ref="T10:T73" si="6">T9-Q10</f>
        <v>10801.900000000001</v>
      </c>
      <c r="U10" s="494">
        <f t="shared" ref="U10:U73" si="7">U9-N10</f>
        <v>991</v>
      </c>
    </row>
    <row r="11" spans="1:21" x14ac:dyDescent="0.25">
      <c r="A11" s="122" t="s">
        <v>33</v>
      </c>
      <c r="B11" s="125">
        <v>10.9</v>
      </c>
      <c r="C11" s="16">
        <v>10</v>
      </c>
      <c r="D11" s="323">
        <f t="shared" si="0"/>
        <v>109</v>
      </c>
      <c r="E11" s="126">
        <v>43451</v>
      </c>
      <c r="F11" s="89">
        <f t="shared" si="1"/>
        <v>109</v>
      </c>
      <c r="G11" s="90" t="s">
        <v>123</v>
      </c>
      <c r="H11" s="91">
        <v>600</v>
      </c>
      <c r="I11" s="493">
        <f t="shared" si="4"/>
        <v>8807.1999999999989</v>
      </c>
      <c r="J11" s="494">
        <f t="shared" si="5"/>
        <v>808</v>
      </c>
      <c r="L11" s="122" t="s">
        <v>33</v>
      </c>
      <c r="M11" s="125">
        <v>10.9</v>
      </c>
      <c r="N11" s="16"/>
      <c r="O11" s="323">
        <f t="shared" si="2"/>
        <v>0</v>
      </c>
      <c r="P11" s="126"/>
      <c r="Q11" s="89">
        <f t="shared" si="3"/>
        <v>0</v>
      </c>
      <c r="R11" s="90"/>
      <c r="S11" s="91"/>
      <c r="T11" s="493">
        <f t="shared" si="6"/>
        <v>10801.900000000001</v>
      </c>
      <c r="U11" s="494">
        <f t="shared" si="7"/>
        <v>991</v>
      </c>
    </row>
    <row r="12" spans="1:21" x14ac:dyDescent="0.25">
      <c r="A12" s="97"/>
      <c r="B12" s="125">
        <v>10.9</v>
      </c>
      <c r="C12" s="16">
        <v>4</v>
      </c>
      <c r="D12" s="323">
        <f t="shared" si="0"/>
        <v>43.6</v>
      </c>
      <c r="E12" s="126">
        <v>43451</v>
      </c>
      <c r="F12" s="89">
        <f t="shared" si="1"/>
        <v>43.6</v>
      </c>
      <c r="G12" s="90" t="s">
        <v>124</v>
      </c>
      <c r="H12" s="91">
        <v>600</v>
      </c>
      <c r="I12" s="493">
        <f t="shared" si="4"/>
        <v>8763.5999999999985</v>
      </c>
      <c r="J12" s="494">
        <f t="shared" si="5"/>
        <v>804</v>
      </c>
      <c r="L12" s="97"/>
      <c r="M12" s="125">
        <v>10.9</v>
      </c>
      <c r="N12" s="16"/>
      <c r="O12" s="323">
        <f t="shared" si="2"/>
        <v>0</v>
      </c>
      <c r="P12" s="126"/>
      <c r="Q12" s="89">
        <f t="shared" si="3"/>
        <v>0</v>
      </c>
      <c r="R12" s="90"/>
      <c r="S12" s="91"/>
      <c r="T12" s="493">
        <f t="shared" si="6"/>
        <v>10801.900000000001</v>
      </c>
      <c r="U12" s="494">
        <f t="shared" si="7"/>
        <v>991</v>
      </c>
    </row>
    <row r="13" spans="1:21" x14ac:dyDescent="0.25">
      <c r="A13" s="97"/>
      <c r="B13" s="125">
        <v>10.9</v>
      </c>
      <c r="C13" s="16">
        <v>1</v>
      </c>
      <c r="D13" s="323">
        <f t="shared" si="0"/>
        <v>10.9</v>
      </c>
      <c r="E13" s="119">
        <v>43454</v>
      </c>
      <c r="F13" s="89">
        <f t="shared" si="1"/>
        <v>10.9</v>
      </c>
      <c r="G13" s="90" t="s">
        <v>126</v>
      </c>
      <c r="H13" s="91">
        <v>600</v>
      </c>
      <c r="I13" s="493">
        <f t="shared" si="4"/>
        <v>8752.6999999999989</v>
      </c>
      <c r="J13" s="494">
        <f t="shared" si="5"/>
        <v>803</v>
      </c>
      <c r="L13" s="97"/>
      <c r="M13" s="125">
        <v>10.9</v>
      </c>
      <c r="N13" s="16"/>
      <c r="O13" s="323">
        <f t="shared" si="2"/>
        <v>0</v>
      </c>
      <c r="P13" s="119"/>
      <c r="Q13" s="89">
        <f t="shared" si="3"/>
        <v>0</v>
      </c>
      <c r="R13" s="90"/>
      <c r="S13" s="91"/>
      <c r="T13" s="493">
        <f t="shared" si="6"/>
        <v>10801.900000000001</v>
      </c>
      <c r="U13" s="494">
        <f t="shared" si="7"/>
        <v>991</v>
      </c>
    </row>
    <row r="14" spans="1:21" x14ac:dyDescent="0.25">
      <c r="B14" s="125">
        <v>10.9</v>
      </c>
      <c r="C14" s="16">
        <v>10</v>
      </c>
      <c r="D14" s="323">
        <f t="shared" si="0"/>
        <v>109</v>
      </c>
      <c r="E14" s="119">
        <v>43455</v>
      </c>
      <c r="F14" s="89">
        <f t="shared" si="1"/>
        <v>109</v>
      </c>
      <c r="G14" s="90" t="s">
        <v>127</v>
      </c>
      <c r="H14" s="91">
        <v>600</v>
      </c>
      <c r="I14" s="493">
        <f t="shared" si="4"/>
        <v>8643.6999999999989</v>
      </c>
      <c r="J14" s="494">
        <f t="shared" si="5"/>
        <v>793</v>
      </c>
      <c r="M14" s="125">
        <v>10.9</v>
      </c>
      <c r="N14" s="16"/>
      <c r="O14" s="323">
        <f t="shared" si="2"/>
        <v>0</v>
      </c>
      <c r="P14" s="119"/>
      <c r="Q14" s="89">
        <f t="shared" si="3"/>
        <v>0</v>
      </c>
      <c r="R14" s="90"/>
      <c r="S14" s="91"/>
      <c r="T14" s="493">
        <f t="shared" si="6"/>
        <v>10801.900000000001</v>
      </c>
      <c r="U14" s="494">
        <f t="shared" si="7"/>
        <v>991</v>
      </c>
    </row>
    <row r="15" spans="1:21" x14ac:dyDescent="0.25">
      <c r="B15" s="125">
        <v>10.9</v>
      </c>
      <c r="C15" s="16">
        <v>3</v>
      </c>
      <c r="D15" s="323">
        <f t="shared" si="0"/>
        <v>32.700000000000003</v>
      </c>
      <c r="E15" s="119">
        <v>43460</v>
      </c>
      <c r="F15" s="89">
        <f t="shared" si="1"/>
        <v>32.700000000000003</v>
      </c>
      <c r="G15" s="90" t="s">
        <v>132</v>
      </c>
      <c r="H15" s="91">
        <v>600</v>
      </c>
      <c r="I15" s="493">
        <f t="shared" si="4"/>
        <v>8610.9999999999982</v>
      </c>
      <c r="J15" s="494">
        <f t="shared" si="5"/>
        <v>790</v>
      </c>
      <c r="M15" s="125">
        <v>10.9</v>
      </c>
      <c r="N15" s="16"/>
      <c r="O15" s="323">
        <f t="shared" si="2"/>
        <v>0</v>
      </c>
      <c r="P15" s="119"/>
      <c r="Q15" s="89">
        <f t="shared" si="3"/>
        <v>0</v>
      </c>
      <c r="R15" s="90"/>
      <c r="S15" s="91"/>
      <c r="T15" s="493">
        <f t="shared" si="6"/>
        <v>10801.900000000001</v>
      </c>
      <c r="U15" s="494">
        <f t="shared" si="7"/>
        <v>991</v>
      </c>
    </row>
    <row r="16" spans="1:21" x14ac:dyDescent="0.25">
      <c r="A16" s="121"/>
      <c r="B16" s="125">
        <v>10.9</v>
      </c>
      <c r="C16" s="16">
        <v>3</v>
      </c>
      <c r="D16" s="323">
        <f t="shared" si="0"/>
        <v>32.700000000000003</v>
      </c>
      <c r="E16" s="135">
        <v>43462</v>
      </c>
      <c r="F16" s="89">
        <f t="shared" si="1"/>
        <v>32.700000000000003</v>
      </c>
      <c r="G16" s="90" t="s">
        <v>134</v>
      </c>
      <c r="H16" s="91">
        <v>600</v>
      </c>
      <c r="I16" s="493">
        <f t="shared" si="4"/>
        <v>8578.2999999999975</v>
      </c>
      <c r="J16" s="494">
        <f t="shared" si="5"/>
        <v>787</v>
      </c>
      <c r="L16" s="121"/>
      <c r="M16" s="125">
        <v>10.9</v>
      </c>
      <c r="N16" s="16"/>
      <c r="O16" s="323">
        <f t="shared" si="2"/>
        <v>0</v>
      </c>
      <c r="P16" s="135"/>
      <c r="Q16" s="89">
        <f t="shared" si="3"/>
        <v>0</v>
      </c>
      <c r="R16" s="90"/>
      <c r="S16" s="91"/>
      <c r="T16" s="493">
        <f t="shared" si="6"/>
        <v>10801.900000000001</v>
      </c>
      <c r="U16" s="494">
        <f t="shared" si="7"/>
        <v>991</v>
      </c>
    </row>
    <row r="17" spans="1:21" x14ac:dyDescent="0.25">
      <c r="A17" s="125"/>
      <c r="B17" s="125">
        <v>10.9</v>
      </c>
      <c r="C17" s="16">
        <v>10</v>
      </c>
      <c r="D17" s="323">
        <f t="shared" si="0"/>
        <v>109</v>
      </c>
      <c r="E17" s="135">
        <v>43463</v>
      </c>
      <c r="F17" s="89">
        <f t="shared" si="1"/>
        <v>109</v>
      </c>
      <c r="G17" s="375" t="s">
        <v>135</v>
      </c>
      <c r="H17" s="91">
        <v>600</v>
      </c>
      <c r="I17" s="493">
        <f t="shared" si="4"/>
        <v>8469.2999999999975</v>
      </c>
      <c r="J17" s="494">
        <f t="shared" si="5"/>
        <v>777</v>
      </c>
      <c r="L17" s="125"/>
      <c r="M17" s="125">
        <v>10.9</v>
      </c>
      <c r="N17" s="16"/>
      <c r="O17" s="323">
        <f t="shared" si="2"/>
        <v>0</v>
      </c>
      <c r="P17" s="135"/>
      <c r="Q17" s="89">
        <f t="shared" si="3"/>
        <v>0</v>
      </c>
      <c r="R17" s="375"/>
      <c r="S17" s="91"/>
      <c r="T17" s="493">
        <f t="shared" si="6"/>
        <v>10801.900000000001</v>
      </c>
      <c r="U17" s="494">
        <f t="shared" si="7"/>
        <v>991</v>
      </c>
    </row>
    <row r="18" spans="1:21" x14ac:dyDescent="0.25">
      <c r="A18" s="2"/>
      <c r="B18" s="125">
        <v>10.9</v>
      </c>
      <c r="C18" s="16">
        <v>20</v>
      </c>
      <c r="D18" s="323">
        <f t="shared" si="0"/>
        <v>218</v>
      </c>
      <c r="E18" s="135">
        <v>43463</v>
      </c>
      <c r="F18" s="89">
        <f t="shared" si="1"/>
        <v>218</v>
      </c>
      <c r="G18" s="90" t="s">
        <v>136</v>
      </c>
      <c r="H18" s="91">
        <v>600</v>
      </c>
      <c r="I18" s="493">
        <f t="shared" si="4"/>
        <v>8251.2999999999975</v>
      </c>
      <c r="J18" s="494">
        <f t="shared" si="5"/>
        <v>757</v>
      </c>
      <c r="L18" s="2"/>
      <c r="M18" s="125">
        <v>10.9</v>
      </c>
      <c r="N18" s="16"/>
      <c r="O18" s="323">
        <f t="shared" si="2"/>
        <v>0</v>
      </c>
      <c r="P18" s="135"/>
      <c r="Q18" s="89">
        <f t="shared" si="3"/>
        <v>0</v>
      </c>
      <c r="R18" s="90"/>
      <c r="S18" s="91"/>
      <c r="T18" s="493">
        <f t="shared" si="6"/>
        <v>10801.900000000001</v>
      </c>
      <c r="U18" s="494">
        <f t="shared" si="7"/>
        <v>991</v>
      </c>
    </row>
    <row r="19" spans="1:21" x14ac:dyDescent="0.25">
      <c r="A19" s="2"/>
      <c r="B19" s="125">
        <v>10.9</v>
      </c>
      <c r="C19" s="16">
        <v>3</v>
      </c>
      <c r="D19" s="473">
        <f t="shared" si="0"/>
        <v>32.700000000000003</v>
      </c>
      <c r="E19" s="474">
        <v>43467</v>
      </c>
      <c r="F19" s="470">
        <f t="shared" si="1"/>
        <v>32.700000000000003</v>
      </c>
      <c r="G19" s="472" t="s">
        <v>137</v>
      </c>
      <c r="H19" s="411">
        <v>600</v>
      </c>
      <c r="I19" s="493">
        <f t="shared" si="4"/>
        <v>8218.5999999999967</v>
      </c>
      <c r="J19" s="494">
        <f t="shared" si="5"/>
        <v>754</v>
      </c>
      <c r="L19" s="2"/>
      <c r="M19" s="125">
        <v>10.9</v>
      </c>
      <c r="N19" s="16"/>
      <c r="O19" s="473">
        <f t="shared" si="2"/>
        <v>0</v>
      </c>
      <c r="P19" s="474"/>
      <c r="Q19" s="470">
        <f t="shared" si="3"/>
        <v>0</v>
      </c>
      <c r="R19" s="472"/>
      <c r="S19" s="411"/>
      <c r="T19" s="493">
        <f t="shared" si="6"/>
        <v>10801.900000000001</v>
      </c>
      <c r="U19" s="494">
        <f t="shared" si="7"/>
        <v>991</v>
      </c>
    </row>
    <row r="20" spans="1:21" x14ac:dyDescent="0.25">
      <c r="A20" s="2"/>
      <c r="B20" s="125">
        <v>10.9</v>
      </c>
      <c r="C20" s="16">
        <v>10</v>
      </c>
      <c r="D20" s="473">
        <f t="shared" si="0"/>
        <v>109</v>
      </c>
      <c r="E20" s="475">
        <v>43469</v>
      </c>
      <c r="F20" s="470">
        <f t="shared" si="1"/>
        <v>109</v>
      </c>
      <c r="G20" s="472" t="s">
        <v>138</v>
      </c>
      <c r="H20" s="411">
        <v>600</v>
      </c>
      <c r="I20" s="493">
        <f t="shared" si="4"/>
        <v>8109.5999999999967</v>
      </c>
      <c r="J20" s="494">
        <f t="shared" si="5"/>
        <v>744</v>
      </c>
      <c r="L20" s="2"/>
      <c r="M20" s="125">
        <v>10.9</v>
      </c>
      <c r="N20" s="16"/>
      <c r="O20" s="473">
        <f t="shared" si="2"/>
        <v>0</v>
      </c>
      <c r="P20" s="475"/>
      <c r="Q20" s="470">
        <f t="shared" si="3"/>
        <v>0</v>
      </c>
      <c r="R20" s="472"/>
      <c r="S20" s="411"/>
      <c r="T20" s="493">
        <f t="shared" si="6"/>
        <v>10801.900000000001</v>
      </c>
      <c r="U20" s="494">
        <f t="shared" si="7"/>
        <v>991</v>
      </c>
    </row>
    <row r="21" spans="1:21" x14ac:dyDescent="0.25">
      <c r="A21" s="2"/>
      <c r="B21" s="125">
        <v>10.9</v>
      </c>
      <c r="C21" s="16">
        <v>10</v>
      </c>
      <c r="D21" s="473">
        <f t="shared" si="0"/>
        <v>109</v>
      </c>
      <c r="E21" s="475">
        <v>43470</v>
      </c>
      <c r="F21" s="470">
        <f t="shared" si="1"/>
        <v>109</v>
      </c>
      <c r="G21" s="472" t="s">
        <v>139</v>
      </c>
      <c r="H21" s="411">
        <v>600</v>
      </c>
      <c r="I21" s="493">
        <f t="shared" si="4"/>
        <v>8000.5999999999967</v>
      </c>
      <c r="J21" s="494">
        <f t="shared" si="5"/>
        <v>734</v>
      </c>
      <c r="L21" s="2"/>
      <c r="M21" s="125">
        <v>10.9</v>
      </c>
      <c r="N21" s="16"/>
      <c r="O21" s="473">
        <f t="shared" si="2"/>
        <v>0</v>
      </c>
      <c r="P21" s="475"/>
      <c r="Q21" s="470">
        <f t="shared" si="3"/>
        <v>0</v>
      </c>
      <c r="R21" s="472"/>
      <c r="S21" s="411"/>
      <c r="T21" s="493">
        <f t="shared" si="6"/>
        <v>10801.900000000001</v>
      </c>
      <c r="U21" s="494">
        <f t="shared" si="7"/>
        <v>991</v>
      </c>
    </row>
    <row r="22" spans="1:21" x14ac:dyDescent="0.25">
      <c r="A22" s="2"/>
      <c r="B22" s="125">
        <v>10.9</v>
      </c>
      <c r="C22" s="16">
        <v>64</v>
      </c>
      <c r="D22" s="473">
        <f t="shared" si="0"/>
        <v>697.6</v>
      </c>
      <c r="E22" s="475">
        <v>43470</v>
      </c>
      <c r="F22" s="470">
        <f t="shared" si="1"/>
        <v>697.6</v>
      </c>
      <c r="G22" s="472" t="s">
        <v>140</v>
      </c>
      <c r="H22" s="411">
        <v>600</v>
      </c>
      <c r="I22" s="493">
        <f t="shared" si="4"/>
        <v>7302.9999999999964</v>
      </c>
      <c r="J22" s="494">
        <f t="shared" si="5"/>
        <v>670</v>
      </c>
      <c r="L22" s="2"/>
      <c r="M22" s="125">
        <v>10.9</v>
      </c>
      <c r="N22" s="16"/>
      <c r="O22" s="473">
        <f t="shared" si="2"/>
        <v>0</v>
      </c>
      <c r="P22" s="475"/>
      <c r="Q22" s="470">
        <f t="shared" si="3"/>
        <v>0</v>
      </c>
      <c r="R22" s="472"/>
      <c r="S22" s="411"/>
      <c r="T22" s="493">
        <f t="shared" si="6"/>
        <v>10801.900000000001</v>
      </c>
      <c r="U22" s="494">
        <f t="shared" si="7"/>
        <v>991</v>
      </c>
    </row>
    <row r="23" spans="1:21" x14ac:dyDescent="0.25">
      <c r="A23" s="2"/>
      <c r="B23" s="125">
        <v>10.9</v>
      </c>
      <c r="C23" s="16">
        <v>2</v>
      </c>
      <c r="D23" s="473">
        <f t="shared" si="0"/>
        <v>21.8</v>
      </c>
      <c r="E23" s="475">
        <v>43473</v>
      </c>
      <c r="F23" s="470">
        <f t="shared" si="1"/>
        <v>21.8</v>
      </c>
      <c r="G23" s="472" t="s">
        <v>141</v>
      </c>
      <c r="H23" s="411">
        <v>600</v>
      </c>
      <c r="I23" s="493">
        <f t="shared" si="4"/>
        <v>7281.1999999999962</v>
      </c>
      <c r="J23" s="494">
        <f t="shared" si="5"/>
        <v>668</v>
      </c>
      <c r="L23" s="2"/>
      <c r="M23" s="125">
        <v>10.9</v>
      </c>
      <c r="N23" s="16"/>
      <c r="O23" s="473">
        <f t="shared" si="2"/>
        <v>0</v>
      </c>
      <c r="P23" s="475"/>
      <c r="Q23" s="470">
        <f t="shared" si="3"/>
        <v>0</v>
      </c>
      <c r="R23" s="472"/>
      <c r="S23" s="411"/>
      <c r="T23" s="493">
        <f t="shared" si="6"/>
        <v>10801.900000000001</v>
      </c>
      <c r="U23" s="494">
        <f t="shared" si="7"/>
        <v>991</v>
      </c>
    </row>
    <row r="24" spans="1:21" x14ac:dyDescent="0.25">
      <c r="A24" s="2"/>
      <c r="B24" s="125">
        <v>10.9</v>
      </c>
      <c r="C24" s="16">
        <v>10</v>
      </c>
      <c r="D24" s="473">
        <f t="shared" si="0"/>
        <v>109</v>
      </c>
      <c r="E24" s="474">
        <v>43477</v>
      </c>
      <c r="F24" s="470">
        <f t="shared" si="1"/>
        <v>109</v>
      </c>
      <c r="G24" s="472" t="s">
        <v>142</v>
      </c>
      <c r="H24" s="411">
        <v>600</v>
      </c>
      <c r="I24" s="493">
        <f t="shared" si="4"/>
        <v>7172.1999999999962</v>
      </c>
      <c r="J24" s="494">
        <f t="shared" si="5"/>
        <v>658</v>
      </c>
      <c r="L24" s="2"/>
      <c r="M24" s="125">
        <v>10.9</v>
      </c>
      <c r="N24" s="16"/>
      <c r="O24" s="473">
        <f t="shared" si="2"/>
        <v>0</v>
      </c>
      <c r="P24" s="474"/>
      <c r="Q24" s="470">
        <f t="shared" si="3"/>
        <v>0</v>
      </c>
      <c r="R24" s="472"/>
      <c r="S24" s="411"/>
      <c r="T24" s="493">
        <f t="shared" si="6"/>
        <v>10801.900000000001</v>
      </c>
      <c r="U24" s="494">
        <f t="shared" si="7"/>
        <v>991</v>
      </c>
    </row>
    <row r="25" spans="1:21" x14ac:dyDescent="0.25">
      <c r="A25" s="2"/>
      <c r="B25" s="125">
        <v>10.9</v>
      </c>
      <c r="C25" s="16">
        <v>10</v>
      </c>
      <c r="D25" s="473">
        <f t="shared" si="0"/>
        <v>109</v>
      </c>
      <c r="E25" s="474">
        <v>43479</v>
      </c>
      <c r="F25" s="470">
        <f t="shared" si="1"/>
        <v>109</v>
      </c>
      <c r="G25" s="472" t="s">
        <v>143</v>
      </c>
      <c r="H25" s="411">
        <v>600</v>
      </c>
      <c r="I25" s="493">
        <f t="shared" si="4"/>
        <v>7063.1999999999962</v>
      </c>
      <c r="J25" s="494">
        <f t="shared" si="5"/>
        <v>648</v>
      </c>
      <c r="L25" s="2"/>
      <c r="M25" s="125">
        <v>10.9</v>
      </c>
      <c r="N25" s="16"/>
      <c r="O25" s="473">
        <f t="shared" si="2"/>
        <v>0</v>
      </c>
      <c r="P25" s="474"/>
      <c r="Q25" s="470">
        <f t="shared" si="3"/>
        <v>0</v>
      </c>
      <c r="R25" s="472"/>
      <c r="S25" s="411"/>
      <c r="T25" s="493">
        <f t="shared" si="6"/>
        <v>10801.900000000001</v>
      </c>
      <c r="U25" s="494">
        <f t="shared" si="7"/>
        <v>991</v>
      </c>
    </row>
    <row r="26" spans="1:21" x14ac:dyDescent="0.25">
      <c r="A26" s="2"/>
      <c r="B26" s="125">
        <v>10.9</v>
      </c>
      <c r="C26" s="16">
        <v>64</v>
      </c>
      <c r="D26" s="473">
        <f t="shared" si="0"/>
        <v>697.6</v>
      </c>
      <c r="E26" s="474">
        <v>43482</v>
      </c>
      <c r="F26" s="470">
        <f t="shared" si="1"/>
        <v>697.6</v>
      </c>
      <c r="G26" s="472" t="s">
        <v>144</v>
      </c>
      <c r="H26" s="411">
        <v>600</v>
      </c>
      <c r="I26" s="493">
        <f t="shared" si="4"/>
        <v>6365.5999999999958</v>
      </c>
      <c r="J26" s="494">
        <f t="shared" si="5"/>
        <v>584</v>
      </c>
      <c r="L26" s="2"/>
      <c r="M26" s="125">
        <v>10.9</v>
      </c>
      <c r="N26" s="16"/>
      <c r="O26" s="473">
        <f t="shared" si="2"/>
        <v>0</v>
      </c>
      <c r="P26" s="474"/>
      <c r="Q26" s="470">
        <f t="shared" si="3"/>
        <v>0</v>
      </c>
      <c r="R26" s="472"/>
      <c r="S26" s="411"/>
      <c r="T26" s="493">
        <f t="shared" si="6"/>
        <v>10801.900000000001</v>
      </c>
      <c r="U26" s="494">
        <f t="shared" si="7"/>
        <v>991</v>
      </c>
    </row>
    <row r="27" spans="1:21" x14ac:dyDescent="0.25">
      <c r="A27" s="324"/>
      <c r="B27" s="125">
        <v>10.9</v>
      </c>
      <c r="C27" s="16">
        <v>64</v>
      </c>
      <c r="D27" s="473">
        <f t="shared" si="0"/>
        <v>697.6</v>
      </c>
      <c r="E27" s="474">
        <v>43486</v>
      </c>
      <c r="F27" s="470">
        <f t="shared" si="1"/>
        <v>697.6</v>
      </c>
      <c r="G27" s="472" t="s">
        <v>145</v>
      </c>
      <c r="H27" s="411">
        <v>600</v>
      </c>
      <c r="I27" s="493">
        <f t="shared" si="4"/>
        <v>5667.9999999999955</v>
      </c>
      <c r="J27" s="494">
        <f t="shared" si="5"/>
        <v>520</v>
      </c>
      <c r="L27" s="324"/>
      <c r="M27" s="125">
        <v>10.9</v>
      </c>
      <c r="N27" s="16"/>
      <c r="O27" s="473">
        <f t="shared" si="2"/>
        <v>0</v>
      </c>
      <c r="P27" s="474"/>
      <c r="Q27" s="470">
        <f t="shared" si="3"/>
        <v>0</v>
      </c>
      <c r="R27" s="472"/>
      <c r="S27" s="411"/>
      <c r="T27" s="493">
        <f t="shared" si="6"/>
        <v>10801.900000000001</v>
      </c>
      <c r="U27" s="494">
        <f t="shared" si="7"/>
        <v>991</v>
      </c>
    </row>
    <row r="28" spans="1:21" x14ac:dyDescent="0.25">
      <c r="A28" s="324"/>
      <c r="B28" s="125">
        <v>10.9</v>
      </c>
      <c r="C28" s="16">
        <v>20</v>
      </c>
      <c r="D28" s="473">
        <f t="shared" si="0"/>
        <v>218</v>
      </c>
      <c r="E28" s="475">
        <v>43486</v>
      </c>
      <c r="F28" s="470">
        <f t="shared" si="1"/>
        <v>218</v>
      </c>
      <c r="G28" s="472" t="s">
        <v>146</v>
      </c>
      <c r="H28" s="411">
        <v>600</v>
      </c>
      <c r="I28" s="493">
        <f t="shared" si="4"/>
        <v>5449.9999999999955</v>
      </c>
      <c r="J28" s="494">
        <f t="shared" si="5"/>
        <v>500</v>
      </c>
      <c r="L28" s="324"/>
      <c r="M28" s="125">
        <v>10.9</v>
      </c>
      <c r="N28" s="16"/>
      <c r="O28" s="473">
        <f t="shared" si="2"/>
        <v>0</v>
      </c>
      <c r="P28" s="475"/>
      <c r="Q28" s="470">
        <f t="shared" si="3"/>
        <v>0</v>
      </c>
      <c r="R28" s="472"/>
      <c r="S28" s="411"/>
      <c r="T28" s="493">
        <f t="shared" si="6"/>
        <v>10801.900000000001</v>
      </c>
      <c r="U28" s="494">
        <f t="shared" si="7"/>
        <v>991</v>
      </c>
    </row>
    <row r="29" spans="1:21" x14ac:dyDescent="0.25">
      <c r="A29" s="324"/>
      <c r="B29" s="125">
        <v>10.9</v>
      </c>
      <c r="C29" s="16">
        <v>3</v>
      </c>
      <c r="D29" s="473">
        <f t="shared" si="0"/>
        <v>32.700000000000003</v>
      </c>
      <c r="E29" s="475">
        <v>43486</v>
      </c>
      <c r="F29" s="470">
        <f t="shared" si="1"/>
        <v>32.700000000000003</v>
      </c>
      <c r="G29" s="472" t="s">
        <v>147</v>
      </c>
      <c r="H29" s="411">
        <v>600</v>
      </c>
      <c r="I29" s="493">
        <f t="shared" si="4"/>
        <v>5417.2999999999956</v>
      </c>
      <c r="J29" s="494">
        <f t="shared" si="5"/>
        <v>497</v>
      </c>
      <c r="L29" s="324"/>
      <c r="M29" s="125">
        <v>10.9</v>
      </c>
      <c r="N29" s="16"/>
      <c r="O29" s="473">
        <f t="shared" si="2"/>
        <v>0</v>
      </c>
      <c r="P29" s="475"/>
      <c r="Q29" s="470">
        <f t="shared" si="3"/>
        <v>0</v>
      </c>
      <c r="R29" s="472"/>
      <c r="S29" s="411"/>
      <c r="T29" s="493">
        <f t="shared" si="6"/>
        <v>10801.900000000001</v>
      </c>
      <c r="U29" s="494">
        <f t="shared" si="7"/>
        <v>991</v>
      </c>
    </row>
    <row r="30" spans="1:21" x14ac:dyDescent="0.25">
      <c r="A30" s="324"/>
      <c r="B30" s="125">
        <v>10.9</v>
      </c>
      <c r="C30" s="16">
        <v>10</v>
      </c>
      <c r="D30" s="473">
        <f t="shared" si="0"/>
        <v>109</v>
      </c>
      <c r="E30" s="475">
        <v>43489</v>
      </c>
      <c r="F30" s="470">
        <f t="shared" si="1"/>
        <v>109</v>
      </c>
      <c r="G30" s="472" t="s">
        <v>148</v>
      </c>
      <c r="H30" s="411">
        <v>600</v>
      </c>
      <c r="I30" s="493">
        <f t="shared" si="4"/>
        <v>5308.2999999999956</v>
      </c>
      <c r="J30" s="494">
        <f t="shared" si="5"/>
        <v>487</v>
      </c>
      <c r="L30" s="324"/>
      <c r="M30" s="125">
        <v>10.9</v>
      </c>
      <c r="N30" s="16"/>
      <c r="O30" s="473">
        <f t="shared" si="2"/>
        <v>0</v>
      </c>
      <c r="P30" s="475"/>
      <c r="Q30" s="470">
        <f t="shared" si="3"/>
        <v>0</v>
      </c>
      <c r="R30" s="472"/>
      <c r="S30" s="411"/>
      <c r="T30" s="493">
        <f t="shared" si="6"/>
        <v>10801.900000000001</v>
      </c>
      <c r="U30" s="494">
        <f t="shared" si="7"/>
        <v>991</v>
      </c>
    </row>
    <row r="31" spans="1:21" x14ac:dyDescent="0.25">
      <c r="A31" s="324"/>
      <c r="B31" s="125">
        <v>10.9</v>
      </c>
      <c r="C31" s="16">
        <v>10</v>
      </c>
      <c r="D31" s="473">
        <f t="shared" si="0"/>
        <v>109</v>
      </c>
      <c r="E31" s="475">
        <v>43491</v>
      </c>
      <c r="F31" s="470">
        <f t="shared" si="1"/>
        <v>109</v>
      </c>
      <c r="G31" s="472" t="s">
        <v>149</v>
      </c>
      <c r="H31" s="411">
        <v>600</v>
      </c>
      <c r="I31" s="493">
        <f t="shared" si="4"/>
        <v>5199.2999999999956</v>
      </c>
      <c r="J31" s="494">
        <f t="shared" si="5"/>
        <v>477</v>
      </c>
      <c r="L31" s="324"/>
      <c r="M31" s="125">
        <v>10.9</v>
      </c>
      <c r="N31" s="16"/>
      <c r="O31" s="473">
        <f t="shared" si="2"/>
        <v>0</v>
      </c>
      <c r="P31" s="475"/>
      <c r="Q31" s="470">
        <f t="shared" si="3"/>
        <v>0</v>
      </c>
      <c r="R31" s="472"/>
      <c r="S31" s="411"/>
      <c r="T31" s="493">
        <f t="shared" si="6"/>
        <v>10801.900000000001</v>
      </c>
      <c r="U31" s="494">
        <f t="shared" si="7"/>
        <v>991</v>
      </c>
    </row>
    <row r="32" spans="1:21" x14ac:dyDescent="0.25">
      <c r="A32" s="2"/>
      <c r="B32" s="485">
        <v>10.9</v>
      </c>
      <c r="C32" s="481">
        <v>3</v>
      </c>
      <c r="D32" s="495">
        <f t="shared" si="0"/>
        <v>32.700000000000003</v>
      </c>
      <c r="E32" s="488">
        <v>43493</v>
      </c>
      <c r="F32" s="487">
        <f t="shared" si="1"/>
        <v>32.700000000000003</v>
      </c>
      <c r="G32" s="489" t="s">
        <v>150</v>
      </c>
      <c r="H32" s="490">
        <v>600</v>
      </c>
      <c r="I32" s="496">
        <f t="shared" si="4"/>
        <v>5166.5999999999958</v>
      </c>
      <c r="J32" s="497">
        <f t="shared" si="5"/>
        <v>474</v>
      </c>
      <c r="L32" s="2"/>
      <c r="M32" s="485">
        <v>10.9</v>
      </c>
      <c r="N32" s="481"/>
      <c r="O32" s="495">
        <f t="shared" si="2"/>
        <v>0</v>
      </c>
      <c r="P32" s="488"/>
      <c r="Q32" s="487">
        <f t="shared" si="3"/>
        <v>0</v>
      </c>
      <c r="R32" s="489"/>
      <c r="S32" s="490"/>
      <c r="T32" s="496">
        <f t="shared" si="6"/>
        <v>10801.900000000001</v>
      </c>
      <c r="U32" s="497">
        <f t="shared" si="7"/>
        <v>991</v>
      </c>
    </row>
    <row r="33" spans="1:21" x14ac:dyDescent="0.25">
      <c r="A33" s="2"/>
      <c r="B33" s="125">
        <v>10.9</v>
      </c>
      <c r="C33" s="16">
        <v>10</v>
      </c>
      <c r="D33" s="479">
        <f t="shared" si="0"/>
        <v>109</v>
      </c>
      <c r="E33" s="256">
        <v>43498</v>
      </c>
      <c r="F33" s="367">
        <f t="shared" si="1"/>
        <v>109</v>
      </c>
      <c r="G33" s="460" t="s">
        <v>157</v>
      </c>
      <c r="H33" s="368">
        <v>600</v>
      </c>
      <c r="I33" s="493">
        <f t="shared" si="4"/>
        <v>5057.5999999999958</v>
      </c>
      <c r="J33" s="494">
        <f t="shared" si="5"/>
        <v>464</v>
      </c>
      <c r="L33" s="2"/>
      <c r="M33" s="125">
        <v>10.9</v>
      </c>
      <c r="N33" s="16"/>
      <c r="O33" s="479">
        <f t="shared" si="2"/>
        <v>0</v>
      </c>
      <c r="P33" s="256"/>
      <c r="Q33" s="367">
        <f t="shared" si="3"/>
        <v>0</v>
      </c>
      <c r="R33" s="460"/>
      <c r="S33" s="368"/>
      <c r="T33" s="493">
        <f t="shared" si="6"/>
        <v>10801.900000000001</v>
      </c>
      <c r="U33" s="494">
        <f t="shared" si="7"/>
        <v>991</v>
      </c>
    </row>
    <row r="34" spans="1:21" x14ac:dyDescent="0.25">
      <c r="A34" s="2"/>
      <c r="B34" s="125">
        <v>10.9</v>
      </c>
      <c r="C34" s="16">
        <v>2</v>
      </c>
      <c r="D34" s="479">
        <f t="shared" si="0"/>
        <v>21.8</v>
      </c>
      <c r="E34" s="256">
        <v>43500</v>
      </c>
      <c r="F34" s="367">
        <f t="shared" si="1"/>
        <v>21.8</v>
      </c>
      <c r="G34" s="460" t="s">
        <v>158</v>
      </c>
      <c r="H34" s="368">
        <v>600</v>
      </c>
      <c r="I34" s="493">
        <f t="shared" si="4"/>
        <v>5035.7999999999956</v>
      </c>
      <c r="J34" s="494">
        <f t="shared" si="5"/>
        <v>462</v>
      </c>
      <c r="L34" s="2"/>
      <c r="M34" s="125">
        <v>10.9</v>
      </c>
      <c r="N34" s="16"/>
      <c r="O34" s="479">
        <f t="shared" si="2"/>
        <v>0</v>
      </c>
      <c r="P34" s="256"/>
      <c r="Q34" s="367">
        <f t="shared" si="3"/>
        <v>0</v>
      </c>
      <c r="R34" s="460"/>
      <c r="S34" s="368"/>
      <c r="T34" s="493">
        <f t="shared" si="6"/>
        <v>10801.900000000001</v>
      </c>
      <c r="U34" s="494">
        <f t="shared" si="7"/>
        <v>991</v>
      </c>
    </row>
    <row r="35" spans="1:21" x14ac:dyDescent="0.25">
      <c r="A35" s="2"/>
      <c r="B35" s="125">
        <v>10.9</v>
      </c>
      <c r="C35" s="16">
        <v>3</v>
      </c>
      <c r="D35" s="479">
        <f t="shared" si="0"/>
        <v>32.700000000000003</v>
      </c>
      <c r="E35" s="466">
        <v>43500</v>
      </c>
      <c r="F35" s="367">
        <f t="shared" si="1"/>
        <v>32.700000000000003</v>
      </c>
      <c r="G35" s="460" t="s">
        <v>160</v>
      </c>
      <c r="H35" s="368">
        <v>600</v>
      </c>
      <c r="I35" s="493">
        <f t="shared" si="4"/>
        <v>5003.0999999999958</v>
      </c>
      <c r="J35" s="494">
        <f t="shared" si="5"/>
        <v>459</v>
      </c>
      <c r="L35" s="2"/>
      <c r="M35" s="125">
        <v>10.9</v>
      </c>
      <c r="N35" s="16"/>
      <c r="O35" s="479">
        <f t="shared" si="2"/>
        <v>0</v>
      </c>
      <c r="P35" s="466"/>
      <c r="Q35" s="367">
        <f t="shared" si="3"/>
        <v>0</v>
      </c>
      <c r="R35" s="460"/>
      <c r="S35" s="368"/>
      <c r="T35" s="493">
        <f t="shared" si="6"/>
        <v>10801.900000000001</v>
      </c>
      <c r="U35" s="494">
        <f t="shared" si="7"/>
        <v>991</v>
      </c>
    </row>
    <row r="36" spans="1:21" x14ac:dyDescent="0.25">
      <c r="A36" s="2"/>
      <c r="B36" s="125">
        <v>10.9</v>
      </c>
      <c r="C36" s="16">
        <v>10</v>
      </c>
      <c r="D36" s="479">
        <f t="shared" si="0"/>
        <v>109</v>
      </c>
      <c r="E36" s="466">
        <v>43504</v>
      </c>
      <c r="F36" s="367">
        <f t="shared" si="1"/>
        <v>109</v>
      </c>
      <c r="G36" s="460" t="s">
        <v>162</v>
      </c>
      <c r="H36" s="368">
        <v>600</v>
      </c>
      <c r="I36" s="493">
        <f t="shared" si="4"/>
        <v>4894.0999999999958</v>
      </c>
      <c r="J36" s="494">
        <f t="shared" si="5"/>
        <v>449</v>
      </c>
      <c r="L36" s="2"/>
      <c r="M36" s="125">
        <v>10.9</v>
      </c>
      <c r="N36" s="16"/>
      <c r="O36" s="479">
        <f t="shared" si="2"/>
        <v>0</v>
      </c>
      <c r="P36" s="466"/>
      <c r="Q36" s="367">
        <f t="shared" si="3"/>
        <v>0</v>
      </c>
      <c r="R36" s="460"/>
      <c r="S36" s="368"/>
      <c r="T36" s="493">
        <f t="shared" si="6"/>
        <v>10801.900000000001</v>
      </c>
      <c r="U36" s="494">
        <f t="shared" si="7"/>
        <v>991</v>
      </c>
    </row>
    <row r="37" spans="1:21" x14ac:dyDescent="0.25">
      <c r="A37" s="2"/>
      <c r="B37" s="125">
        <v>10.9</v>
      </c>
      <c r="C37" s="16">
        <v>3</v>
      </c>
      <c r="D37" s="479">
        <f t="shared" si="0"/>
        <v>32.700000000000003</v>
      </c>
      <c r="E37" s="466">
        <v>43507</v>
      </c>
      <c r="F37" s="367">
        <f t="shared" si="1"/>
        <v>32.700000000000003</v>
      </c>
      <c r="G37" s="460" t="s">
        <v>163</v>
      </c>
      <c r="H37" s="368">
        <v>600</v>
      </c>
      <c r="I37" s="493">
        <f t="shared" si="4"/>
        <v>4861.399999999996</v>
      </c>
      <c r="J37" s="494">
        <f t="shared" si="5"/>
        <v>446</v>
      </c>
      <c r="L37" s="2"/>
      <c r="M37" s="125">
        <v>10.9</v>
      </c>
      <c r="N37" s="16"/>
      <c r="O37" s="479">
        <f t="shared" si="2"/>
        <v>0</v>
      </c>
      <c r="P37" s="466"/>
      <c r="Q37" s="367">
        <f t="shared" si="3"/>
        <v>0</v>
      </c>
      <c r="R37" s="460"/>
      <c r="S37" s="368"/>
      <c r="T37" s="493">
        <f t="shared" si="6"/>
        <v>10801.900000000001</v>
      </c>
      <c r="U37" s="494">
        <f t="shared" si="7"/>
        <v>991</v>
      </c>
    </row>
    <row r="38" spans="1:21" x14ac:dyDescent="0.25">
      <c r="A38" s="2"/>
      <c r="B38" s="125">
        <v>10.9</v>
      </c>
      <c r="C38" s="16">
        <v>10</v>
      </c>
      <c r="D38" s="479">
        <f t="shared" si="0"/>
        <v>109</v>
      </c>
      <c r="E38" s="466">
        <v>43507</v>
      </c>
      <c r="F38" s="367">
        <f t="shared" si="1"/>
        <v>109</v>
      </c>
      <c r="G38" s="460" t="s">
        <v>165</v>
      </c>
      <c r="H38" s="368">
        <v>600</v>
      </c>
      <c r="I38" s="493">
        <f t="shared" si="4"/>
        <v>4752.399999999996</v>
      </c>
      <c r="J38" s="494">
        <f t="shared" si="5"/>
        <v>436</v>
      </c>
      <c r="L38" s="2"/>
      <c r="M38" s="125">
        <v>10.9</v>
      </c>
      <c r="N38" s="16"/>
      <c r="O38" s="479">
        <f t="shared" si="2"/>
        <v>0</v>
      </c>
      <c r="P38" s="466"/>
      <c r="Q38" s="367">
        <f t="shared" si="3"/>
        <v>0</v>
      </c>
      <c r="R38" s="460"/>
      <c r="S38" s="368"/>
      <c r="T38" s="493">
        <f t="shared" si="6"/>
        <v>10801.900000000001</v>
      </c>
      <c r="U38" s="494">
        <f t="shared" si="7"/>
        <v>991</v>
      </c>
    </row>
    <row r="39" spans="1:21" x14ac:dyDescent="0.25">
      <c r="A39" s="2"/>
      <c r="B39" s="125">
        <v>10.9</v>
      </c>
      <c r="C39" s="16">
        <v>10</v>
      </c>
      <c r="D39" s="479">
        <f t="shared" si="0"/>
        <v>109</v>
      </c>
      <c r="E39" s="466">
        <v>43508</v>
      </c>
      <c r="F39" s="367">
        <f t="shared" si="1"/>
        <v>109</v>
      </c>
      <c r="G39" s="460" t="s">
        <v>166</v>
      </c>
      <c r="H39" s="368">
        <v>600</v>
      </c>
      <c r="I39" s="493">
        <f t="shared" si="4"/>
        <v>4643.399999999996</v>
      </c>
      <c r="J39" s="494">
        <f t="shared" si="5"/>
        <v>426</v>
      </c>
      <c r="L39" s="2"/>
      <c r="M39" s="125">
        <v>10.9</v>
      </c>
      <c r="N39" s="16"/>
      <c r="O39" s="479">
        <f t="shared" si="2"/>
        <v>0</v>
      </c>
      <c r="P39" s="466"/>
      <c r="Q39" s="367">
        <f t="shared" si="3"/>
        <v>0</v>
      </c>
      <c r="R39" s="460"/>
      <c r="S39" s="368"/>
      <c r="T39" s="493">
        <f t="shared" si="6"/>
        <v>10801.900000000001</v>
      </c>
      <c r="U39" s="494">
        <f t="shared" si="7"/>
        <v>991</v>
      </c>
    </row>
    <row r="40" spans="1:21" x14ac:dyDescent="0.25">
      <c r="A40" s="2"/>
      <c r="B40" s="125">
        <v>10.9</v>
      </c>
      <c r="C40" s="16">
        <v>1</v>
      </c>
      <c r="D40" s="479">
        <f t="shared" si="0"/>
        <v>10.9</v>
      </c>
      <c r="E40" s="466">
        <v>43511</v>
      </c>
      <c r="F40" s="367">
        <f t="shared" si="1"/>
        <v>10.9</v>
      </c>
      <c r="G40" s="460" t="s">
        <v>167</v>
      </c>
      <c r="H40" s="368">
        <v>600</v>
      </c>
      <c r="I40" s="493">
        <f t="shared" si="4"/>
        <v>4632.4999999999964</v>
      </c>
      <c r="J40" s="494">
        <f t="shared" si="5"/>
        <v>425</v>
      </c>
      <c r="L40" s="2"/>
      <c r="M40" s="125">
        <v>10.9</v>
      </c>
      <c r="N40" s="16"/>
      <c r="O40" s="479">
        <f t="shared" si="2"/>
        <v>0</v>
      </c>
      <c r="P40" s="466"/>
      <c r="Q40" s="367">
        <f t="shared" si="3"/>
        <v>0</v>
      </c>
      <c r="R40" s="460"/>
      <c r="S40" s="368"/>
      <c r="T40" s="493">
        <f t="shared" si="6"/>
        <v>10801.900000000001</v>
      </c>
      <c r="U40" s="494">
        <f t="shared" si="7"/>
        <v>991</v>
      </c>
    </row>
    <row r="41" spans="1:21" x14ac:dyDescent="0.25">
      <c r="A41" s="2"/>
      <c r="B41" s="125">
        <v>10.9</v>
      </c>
      <c r="C41" s="16">
        <v>3</v>
      </c>
      <c r="D41" s="479">
        <f t="shared" si="0"/>
        <v>32.700000000000003</v>
      </c>
      <c r="E41" s="466">
        <v>43514</v>
      </c>
      <c r="F41" s="367">
        <f t="shared" si="1"/>
        <v>32.700000000000003</v>
      </c>
      <c r="G41" s="460" t="s">
        <v>169</v>
      </c>
      <c r="H41" s="368">
        <v>600</v>
      </c>
      <c r="I41" s="493">
        <f t="shared" si="4"/>
        <v>4599.7999999999965</v>
      </c>
      <c r="J41" s="494">
        <f t="shared" si="5"/>
        <v>422</v>
      </c>
      <c r="L41" s="2"/>
      <c r="M41" s="125">
        <v>10.9</v>
      </c>
      <c r="N41" s="16"/>
      <c r="O41" s="479">
        <f t="shared" si="2"/>
        <v>0</v>
      </c>
      <c r="P41" s="466"/>
      <c r="Q41" s="367">
        <f t="shared" si="3"/>
        <v>0</v>
      </c>
      <c r="R41" s="460"/>
      <c r="S41" s="368"/>
      <c r="T41" s="493">
        <f t="shared" si="6"/>
        <v>10801.900000000001</v>
      </c>
      <c r="U41" s="494">
        <f t="shared" si="7"/>
        <v>991</v>
      </c>
    </row>
    <row r="42" spans="1:21" x14ac:dyDescent="0.25">
      <c r="A42" s="2"/>
      <c r="B42" s="125">
        <v>10.9</v>
      </c>
      <c r="C42" s="16">
        <v>2</v>
      </c>
      <c r="D42" s="479">
        <f t="shared" si="0"/>
        <v>21.8</v>
      </c>
      <c r="E42" s="466">
        <v>43515</v>
      </c>
      <c r="F42" s="367">
        <f t="shared" si="1"/>
        <v>21.8</v>
      </c>
      <c r="G42" s="460" t="s">
        <v>175</v>
      </c>
      <c r="H42" s="368">
        <v>600</v>
      </c>
      <c r="I42" s="493">
        <f t="shared" si="4"/>
        <v>4577.9999999999964</v>
      </c>
      <c r="J42" s="494">
        <f t="shared" si="5"/>
        <v>420</v>
      </c>
      <c r="L42" s="2"/>
      <c r="M42" s="125">
        <v>10.9</v>
      </c>
      <c r="N42" s="16"/>
      <c r="O42" s="479">
        <f t="shared" si="2"/>
        <v>0</v>
      </c>
      <c r="P42" s="466"/>
      <c r="Q42" s="367">
        <f t="shared" si="3"/>
        <v>0</v>
      </c>
      <c r="R42" s="460"/>
      <c r="S42" s="368"/>
      <c r="T42" s="493">
        <f t="shared" si="6"/>
        <v>10801.900000000001</v>
      </c>
      <c r="U42" s="494">
        <f t="shared" si="7"/>
        <v>991</v>
      </c>
    </row>
    <row r="43" spans="1:21" x14ac:dyDescent="0.25">
      <c r="A43" s="2"/>
      <c r="B43" s="125">
        <v>10.9</v>
      </c>
      <c r="C43" s="16">
        <v>10</v>
      </c>
      <c r="D43" s="479">
        <f t="shared" si="0"/>
        <v>109</v>
      </c>
      <c r="E43" s="466">
        <v>43516</v>
      </c>
      <c r="F43" s="367">
        <f t="shared" si="1"/>
        <v>109</v>
      </c>
      <c r="G43" s="460" t="s">
        <v>178</v>
      </c>
      <c r="H43" s="368">
        <v>600</v>
      </c>
      <c r="I43" s="493">
        <f t="shared" si="4"/>
        <v>4468.9999999999964</v>
      </c>
      <c r="J43" s="494">
        <f t="shared" si="5"/>
        <v>410</v>
      </c>
      <c r="L43" s="2"/>
      <c r="M43" s="125">
        <v>10.9</v>
      </c>
      <c r="N43" s="16"/>
      <c r="O43" s="479">
        <f t="shared" si="2"/>
        <v>0</v>
      </c>
      <c r="P43" s="466"/>
      <c r="Q43" s="367">
        <f t="shared" si="3"/>
        <v>0</v>
      </c>
      <c r="R43" s="460"/>
      <c r="S43" s="368"/>
      <c r="T43" s="493">
        <f t="shared" si="6"/>
        <v>10801.900000000001</v>
      </c>
      <c r="U43" s="494">
        <f t="shared" si="7"/>
        <v>991</v>
      </c>
    </row>
    <row r="44" spans="1:21" x14ac:dyDescent="0.25">
      <c r="A44" s="2"/>
      <c r="B44" s="125">
        <v>10.9</v>
      </c>
      <c r="C44" s="16">
        <v>2</v>
      </c>
      <c r="D44" s="479">
        <f t="shared" si="0"/>
        <v>21.8</v>
      </c>
      <c r="E44" s="466">
        <v>43516</v>
      </c>
      <c r="F44" s="367">
        <f t="shared" si="1"/>
        <v>21.8</v>
      </c>
      <c r="G44" s="460" t="s">
        <v>182</v>
      </c>
      <c r="H44" s="368">
        <v>600</v>
      </c>
      <c r="I44" s="493">
        <f t="shared" si="4"/>
        <v>4447.1999999999962</v>
      </c>
      <c r="J44" s="494">
        <f t="shared" si="5"/>
        <v>408</v>
      </c>
      <c r="L44" s="2"/>
      <c r="M44" s="125">
        <v>10.9</v>
      </c>
      <c r="N44" s="16"/>
      <c r="O44" s="479">
        <f t="shared" si="2"/>
        <v>0</v>
      </c>
      <c r="P44" s="466"/>
      <c r="Q44" s="367">
        <f t="shared" si="3"/>
        <v>0</v>
      </c>
      <c r="R44" s="460"/>
      <c r="S44" s="368"/>
      <c r="T44" s="493">
        <f t="shared" si="6"/>
        <v>10801.900000000001</v>
      </c>
      <c r="U44" s="494">
        <f t="shared" si="7"/>
        <v>991</v>
      </c>
    </row>
    <row r="45" spans="1:21" x14ac:dyDescent="0.25">
      <c r="A45" s="2"/>
      <c r="B45" s="125">
        <v>10.9</v>
      </c>
      <c r="C45" s="16">
        <v>1</v>
      </c>
      <c r="D45" s="479">
        <f t="shared" si="0"/>
        <v>10.9</v>
      </c>
      <c r="E45" s="466">
        <v>43516</v>
      </c>
      <c r="F45" s="367">
        <f t="shared" si="1"/>
        <v>10.9</v>
      </c>
      <c r="G45" s="460" t="s">
        <v>183</v>
      </c>
      <c r="H45" s="368">
        <v>600</v>
      </c>
      <c r="I45" s="493">
        <f t="shared" si="4"/>
        <v>4436.2999999999965</v>
      </c>
      <c r="J45" s="494">
        <f t="shared" si="5"/>
        <v>407</v>
      </c>
      <c r="L45" s="2"/>
      <c r="M45" s="125">
        <v>10.9</v>
      </c>
      <c r="N45" s="16"/>
      <c r="O45" s="479">
        <f t="shared" si="2"/>
        <v>0</v>
      </c>
      <c r="P45" s="466"/>
      <c r="Q45" s="367">
        <f t="shared" si="3"/>
        <v>0</v>
      </c>
      <c r="R45" s="460"/>
      <c r="S45" s="368"/>
      <c r="T45" s="493">
        <f t="shared" si="6"/>
        <v>10801.900000000001</v>
      </c>
      <c r="U45" s="494">
        <f t="shared" si="7"/>
        <v>991</v>
      </c>
    </row>
    <row r="46" spans="1:21" x14ac:dyDescent="0.25">
      <c r="A46" s="2"/>
      <c r="B46" s="125">
        <v>10.9</v>
      </c>
      <c r="C46" s="16">
        <v>1</v>
      </c>
      <c r="D46" s="479">
        <f t="shared" si="0"/>
        <v>10.9</v>
      </c>
      <c r="E46" s="466">
        <v>43516</v>
      </c>
      <c r="F46" s="367">
        <f t="shared" si="1"/>
        <v>10.9</v>
      </c>
      <c r="G46" s="460" t="s">
        <v>170</v>
      </c>
      <c r="H46" s="368">
        <v>600</v>
      </c>
      <c r="I46" s="493">
        <f t="shared" si="4"/>
        <v>4425.3999999999969</v>
      </c>
      <c r="J46" s="494">
        <f t="shared" si="5"/>
        <v>406</v>
      </c>
      <c r="L46" s="2"/>
      <c r="M46" s="125">
        <v>10.9</v>
      </c>
      <c r="N46" s="16"/>
      <c r="O46" s="479">
        <f t="shared" si="2"/>
        <v>0</v>
      </c>
      <c r="P46" s="466"/>
      <c r="Q46" s="367">
        <f t="shared" si="3"/>
        <v>0</v>
      </c>
      <c r="R46" s="460"/>
      <c r="S46" s="368"/>
      <c r="T46" s="493">
        <f t="shared" si="6"/>
        <v>10801.900000000001</v>
      </c>
      <c r="U46" s="494">
        <f t="shared" si="7"/>
        <v>991</v>
      </c>
    </row>
    <row r="47" spans="1:21" x14ac:dyDescent="0.25">
      <c r="A47" s="2"/>
      <c r="B47" s="125">
        <v>10.9</v>
      </c>
      <c r="C47" s="16">
        <v>1</v>
      </c>
      <c r="D47" s="479">
        <f t="shared" si="0"/>
        <v>10.9</v>
      </c>
      <c r="E47" s="466">
        <v>43517</v>
      </c>
      <c r="F47" s="367">
        <f t="shared" si="1"/>
        <v>10.9</v>
      </c>
      <c r="G47" s="460" t="s">
        <v>184</v>
      </c>
      <c r="H47" s="368">
        <v>600</v>
      </c>
      <c r="I47" s="493">
        <f t="shared" si="4"/>
        <v>4414.4999999999973</v>
      </c>
      <c r="J47" s="494">
        <f t="shared" si="5"/>
        <v>405</v>
      </c>
      <c r="L47" s="2"/>
      <c r="M47" s="125">
        <v>10.9</v>
      </c>
      <c r="N47" s="16"/>
      <c r="O47" s="479">
        <f t="shared" si="2"/>
        <v>0</v>
      </c>
      <c r="P47" s="466"/>
      <c r="Q47" s="367">
        <f t="shared" si="3"/>
        <v>0</v>
      </c>
      <c r="R47" s="460"/>
      <c r="S47" s="368"/>
      <c r="T47" s="493">
        <f t="shared" si="6"/>
        <v>10801.900000000001</v>
      </c>
      <c r="U47" s="494">
        <f t="shared" si="7"/>
        <v>991</v>
      </c>
    </row>
    <row r="48" spans="1:21" x14ac:dyDescent="0.25">
      <c r="A48" s="2"/>
      <c r="B48" s="125">
        <v>10.9</v>
      </c>
      <c r="C48" s="16">
        <v>3</v>
      </c>
      <c r="D48" s="479">
        <f t="shared" si="0"/>
        <v>32.700000000000003</v>
      </c>
      <c r="E48" s="466">
        <v>43518</v>
      </c>
      <c r="F48" s="367">
        <f t="shared" si="1"/>
        <v>32.700000000000003</v>
      </c>
      <c r="G48" s="460" t="s">
        <v>189</v>
      </c>
      <c r="H48" s="368">
        <v>600</v>
      </c>
      <c r="I48" s="493">
        <f t="shared" si="4"/>
        <v>4381.7999999999975</v>
      </c>
      <c r="J48" s="494">
        <f t="shared" si="5"/>
        <v>402</v>
      </c>
      <c r="L48" s="2"/>
      <c r="M48" s="125">
        <v>10.9</v>
      </c>
      <c r="N48" s="16"/>
      <c r="O48" s="479">
        <f t="shared" si="2"/>
        <v>0</v>
      </c>
      <c r="P48" s="466"/>
      <c r="Q48" s="367">
        <f t="shared" si="3"/>
        <v>0</v>
      </c>
      <c r="R48" s="460"/>
      <c r="S48" s="368"/>
      <c r="T48" s="493">
        <f t="shared" si="6"/>
        <v>10801.900000000001</v>
      </c>
      <c r="U48" s="494">
        <f t="shared" si="7"/>
        <v>991</v>
      </c>
    </row>
    <row r="49" spans="1:21" x14ac:dyDescent="0.25">
      <c r="A49" s="2"/>
      <c r="B49" s="125">
        <v>10.9</v>
      </c>
      <c r="C49" s="16">
        <v>2</v>
      </c>
      <c r="D49" s="479">
        <f t="shared" si="0"/>
        <v>21.8</v>
      </c>
      <c r="E49" s="466">
        <v>43518</v>
      </c>
      <c r="F49" s="367">
        <f t="shared" si="1"/>
        <v>21.8</v>
      </c>
      <c r="G49" s="460" t="s">
        <v>190</v>
      </c>
      <c r="H49" s="368">
        <v>600</v>
      </c>
      <c r="I49" s="493">
        <f t="shared" si="4"/>
        <v>4359.9999999999973</v>
      </c>
      <c r="J49" s="494">
        <f t="shared" si="5"/>
        <v>400</v>
      </c>
      <c r="L49" s="2"/>
      <c r="M49" s="125">
        <v>10.9</v>
      </c>
      <c r="N49" s="16"/>
      <c r="O49" s="479">
        <f t="shared" si="2"/>
        <v>0</v>
      </c>
      <c r="P49" s="466"/>
      <c r="Q49" s="367">
        <f t="shared" si="3"/>
        <v>0</v>
      </c>
      <c r="R49" s="460"/>
      <c r="S49" s="368"/>
      <c r="T49" s="493">
        <f t="shared" si="6"/>
        <v>10801.900000000001</v>
      </c>
      <c r="U49" s="494">
        <f t="shared" si="7"/>
        <v>991</v>
      </c>
    </row>
    <row r="50" spans="1:21" x14ac:dyDescent="0.25">
      <c r="A50" s="2"/>
      <c r="B50" s="125">
        <v>10.9</v>
      </c>
      <c r="C50" s="16">
        <v>10</v>
      </c>
      <c r="D50" s="479">
        <f t="shared" si="0"/>
        <v>109</v>
      </c>
      <c r="E50" s="466">
        <v>43518</v>
      </c>
      <c r="F50" s="367">
        <f t="shared" si="1"/>
        <v>109</v>
      </c>
      <c r="G50" s="460" t="s">
        <v>191</v>
      </c>
      <c r="H50" s="368">
        <v>600</v>
      </c>
      <c r="I50" s="493">
        <f t="shared" si="4"/>
        <v>4250.9999999999973</v>
      </c>
      <c r="J50" s="494">
        <f t="shared" si="5"/>
        <v>390</v>
      </c>
      <c r="L50" s="2"/>
      <c r="M50" s="125">
        <v>10.9</v>
      </c>
      <c r="N50" s="16"/>
      <c r="O50" s="479">
        <f t="shared" si="2"/>
        <v>0</v>
      </c>
      <c r="P50" s="466"/>
      <c r="Q50" s="367">
        <f t="shared" si="3"/>
        <v>0</v>
      </c>
      <c r="R50" s="460"/>
      <c r="S50" s="368"/>
      <c r="T50" s="493">
        <f t="shared" si="6"/>
        <v>10801.900000000001</v>
      </c>
      <c r="U50" s="494">
        <f t="shared" si="7"/>
        <v>991</v>
      </c>
    </row>
    <row r="51" spans="1:21" x14ac:dyDescent="0.25">
      <c r="A51" s="2"/>
      <c r="B51" s="125">
        <v>10.9</v>
      </c>
      <c r="C51" s="16">
        <v>64</v>
      </c>
      <c r="D51" s="479">
        <f t="shared" si="0"/>
        <v>697.6</v>
      </c>
      <c r="E51" s="466">
        <v>43518</v>
      </c>
      <c r="F51" s="367">
        <f t="shared" si="1"/>
        <v>697.6</v>
      </c>
      <c r="G51" s="460" t="s">
        <v>192</v>
      </c>
      <c r="H51" s="368">
        <v>600</v>
      </c>
      <c r="I51" s="493">
        <f t="shared" si="4"/>
        <v>3553.3999999999974</v>
      </c>
      <c r="J51" s="494">
        <f t="shared" si="5"/>
        <v>326</v>
      </c>
      <c r="L51" s="2"/>
      <c r="M51" s="125">
        <v>10.9</v>
      </c>
      <c r="N51" s="16"/>
      <c r="O51" s="479">
        <f t="shared" si="2"/>
        <v>0</v>
      </c>
      <c r="P51" s="466"/>
      <c r="Q51" s="367">
        <f t="shared" si="3"/>
        <v>0</v>
      </c>
      <c r="R51" s="460"/>
      <c r="S51" s="368"/>
      <c r="T51" s="493">
        <f t="shared" si="6"/>
        <v>10801.900000000001</v>
      </c>
      <c r="U51" s="494">
        <f t="shared" si="7"/>
        <v>991</v>
      </c>
    </row>
    <row r="52" spans="1:21" x14ac:dyDescent="0.25">
      <c r="A52" s="2"/>
      <c r="B52" s="125">
        <v>10.9</v>
      </c>
      <c r="C52" s="16">
        <v>3</v>
      </c>
      <c r="D52" s="479">
        <f t="shared" si="0"/>
        <v>32.700000000000003</v>
      </c>
      <c r="E52" s="466">
        <v>43528</v>
      </c>
      <c r="F52" s="367">
        <f t="shared" si="1"/>
        <v>32.700000000000003</v>
      </c>
      <c r="G52" s="460" t="s">
        <v>201</v>
      </c>
      <c r="H52" s="368">
        <v>600</v>
      </c>
      <c r="I52" s="493">
        <f t="shared" si="4"/>
        <v>3520.6999999999975</v>
      </c>
      <c r="J52" s="494">
        <f t="shared" si="5"/>
        <v>323</v>
      </c>
      <c r="L52" s="2"/>
      <c r="M52" s="125">
        <v>10.9</v>
      </c>
      <c r="N52" s="16"/>
      <c r="O52" s="479">
        <f t="shared" si="2"/>
        <v>0</v>
      </c>
      <c r="P52" s="466"/>
      <c r="Q52" s="367">
        <f t="shared" si="3"/>
        <v>0</v>
      </c>
      <c r="R52" s="460"/>
      <c r="S52" s="368"/>
      <c r="T52" s="493">
        <f t="shared" si="6"/>
        <v>10801.900000000001</v>
      </c>
      <c r="U52" s="494">
        <f t="shared" si="7"/>
        <v>991</v>
      </c>
    </row>
    <row r="53" spans="1:21" x14ac:dyDescent="0.25">
      <c r="A53" s="2"/>
      <c r="B53" s="125">
        <v>10.9</v>
      </c>
      <c r="C53" s="16">
        <v>64</v>
      </c>
      <c r="D53" s="444">
        <f t="shared" si="0"/>
        <v>697.6</v>
      </c>
      <c r="E53" s="455">
        <v>43530</v>
      </c>
      <c r="F53" s="434">
        <f t="shared" si="1"/>
        <v>697.6</v>
      </c>
      <c r="G53" s="280" t="s">
        <v>209</v>
      </c>
      <c r="H53" s="170">
        <v>600</v>
      </c>
      <c r="I53" s="493">
        <f t="shared" si="4"/>
        <v>2823.0999999999976</v>
      </c>
      <c r="J53" s="494">
        <f t="shared" si="5"/>
        <v>259</v>
      </c>
      <c r="L53" s="2"/>
      <c r="M53" s="125">
        <v>10.9</v>
      </c>
      <c r="N53" s="16"/>
      <c r="O53" s="444">
        <f t="shared" si="2"/>
        <v>0</v>
      </c>
      <c r="P53" s="455"/>
      <c r="Q53" s="434">
        <f t="shared" si="3"/>
        <v>0</v>
      </c>
      <c r="R53" s="280"/>
      <c r="S53" s="170"/>
      <c r="T53" s="493">
        <f t="shared" si="6"/>
        <v>10801.900000000001</v>
      </c>
      <c r="U53" s="494">
        <f t="shared" si="7"/>
        <v>991</v>
      </c>
    </row>
    <row r="54" spans="1:21" x14ac:dyDescent="0.25">
      <c r="A54" s="2"/>
      <c r="B54" s="125">
        <v>10.9</v>
      </c>
      <c r="C54" s="16">
        <v>5</v>
      </c>
      <c r="D54" s="444">
        <f t="shared" si="0"/>
        <v>54.5</v>
      </c>
      <c r="E54" s="455">
        <v>43531</v>
      </c>
      <c r="F54" s="434">
        <f t="shared" si="1"/>
        <v>54.5</v>
      </c>
      <c r="G54" s="280" t="s">
        <v>210</v>
      </c>
      <c r="H54" s="170">
        <v>600</v>
      </c>
      <c r="I54" s="493">
        <f t="shared" si="4"/>
        <v>2768.5999999999976</v>
      </c>
      <c r="J54" s="494">
        <f t="shared" si="5"/>
        <v>254</v>
      </c>
      <c r="L54" s="2"/>
      <c r="M54" s="125">
        <v>10.9</v>
      </c>
      <c r="N54" s="16"/>
      <c r="O54" s="444">
        <f t="shared" si="2"/>
        <v>0</v>
      </c>
      <c r="P54" s="455"/>
      <c r="Q54" s="434">
        <f t="shared" si="3"/>
        <v>0</v>
      </c>
      <c r="R54" s="280"/>
      <c r="S54" s="170"/>
      <c r="T54" s="493">
        <f t="shared" si="6"/>
        <v>10801.900000000001</v>
      </c>
      <c r="U54" s="494">
        <f t="shared" si="7"/>
        <v>991</v>
      </c>
    </row>
    <row r="55" spans="1:21" x14ac:dyDescent="0.25">
      <c r="A55" s="2"/>
      <c r="B55" s="125">
        <v>10.9</v>
      </c>
      <c r="C55" s="16">
        <v>64</v>
      </c>
      <c r="D55" s="444">
        <f t="shared" si="0"/>
        <v>697.6</v>
      </c>
      <c r="E55" s="455">
        <v>43533</v>
      </c>
      <c r="F55" s="434">
        <f t="shared" si="1"/>
        <v>697.6</v>
      </c>
      <c r="G55" s="280" t="s">
        <v>212</v>
      </c>
      <c r="H55" s="170">
        <v>600</v>
      </c>
      <c r="I55" s="493">
        <f t="shared" si="4"/>
        <v>2070.9999999999977</v>
      </c>
      <c r="J55" s="494">
        <f t="shared" si="5"/>
        <v>190</v>
      </c>
      <c r="L55" s="2"/>
      <c r="M55" s="125">
        <v>10.9</v>
      </c>
      <c r="N55" s="16"/>
      <c r="O55" s="444">
        <f t="shared" si="2"/>
        <v>0</v>
      </c>
      <c r="P55" s="455"/>
      <c r="Q55" s="434">
        <f t="shared" si="3"/>
        <v>0</v>
      </c>
      <c r="R55" s="280"/>
      <c r="S55" s="170"/>
      <c r="T55" s="493">
        <f t="shared" si="6"/>
        <v>10801.900000000001</v>
      </c>
      <c r="U55" s="494">
        <f t="shared" si="7"/>
        <v>991</v>
      </c>
    </row>
    <row r="56" spans="1:21" x14ac:dyDescent="0.25">
      <c r="A56" s="2"/>
      <c r="B56" s="125">
        <v>10.9</v>
      </c>
      <c r="C56" s="16">
        <v>64</v>
      </c>
      <c r="D56" s="444">
        <f t="shared" si="0"/>
        <v>697.6</v>
      </c>
      <c r="E56" s="455">
        <v>43546</v>
      </c>
      <c r="F56" s="434">
        <f t="shared" si="1"/>
        <v>697.6</v>
      </c>
      <c r="G56" s="280" t="s">
        <v>224</v>
      </c>
      <c r="H56" s="170">
        <v>600</v>
      </c>
      <c r="I56" s="493">
        <f t="shared" si="4"/>
        <v>1373.3999999999978</v>
      </c>
      <c r="J56" s="494">
        <f t="shared" si="5"/>
        <v>126</v>
      </c>
      <c r="L56" s="2"/>
      <c r="M56" s="125">
        <v>10.9</v>
      </c>
      <c r="N56" s="16"/>
      <c r="O56" s="444">
        <f t="shared" si="2"/>
        <v>0</v>
      </c>
      <c r="P56" s="455"/>
      <c r="Q56" s="434">
        <f t="shared" si="3"/>
        <v>0</v>
      </c>
      <c r="R56" s="280"/>
      <c r="S56" s="170"/>
      <c r="T56" s="493">
        <f t="shared" si="6"/>
        <v>10801.900000000001</v>
      </c>
      <c r="U56" s="494">
        <f t="shared" si="7"/>
        <v>991</v>
      </c>
    </row>
    <row r="57" spans="1:21" x14ac:dyDescent="0.25">
      <c r="A57" s="2"/>
      <c r="B57" s="125">
        <v>10.9</v>
      </c>
      <c r="C57" s="16">
        <v>64</v>
      </c>
      <c r="D57" s="444">
        <f t="shared" si="0"/>
        <v>697.6</v>
      </c>
      <c r="E57" s="455">
        <v>43556</v>
      </c>
      <c r="F57" s="434">
        <f t="shared" si="1"/>
        <v>697.6</v>
      </c>
      <c r="G57" s="280" t="s">
        <v>241</v>
      </c>
      <c r="H57" s="170">
        <v>600</v>
      </c>
      <c r="I57" s="493">
        <f t="shared" si="4"/>
        <v>675.79999999999779</v>
      </c>
      <c r="J57" s="494">
        <f t="shared" si="5"/>
        <v>62</v>
      </c>
      <c r="L57" s="2"/>
      <c r="M57" s="125">
        <v>10.9</v>
      </c>
      <c r="N57" s="16"/>
      <c r="O57" s="444">
        <f t="shared" si="2"/>
        <v>0</v>
      </c>
      <c r="P57" s="455"/>
      <c r="Q57" s="434">
        <f t="shared" si="3"/>
        <v>0</v>
      </c>
      <c r="R57" s="280"/>
      <c r="S57" s="170"/>
      <c r="T57" s="493">
        <f t="shared" si="6"/>
        <v>10801.900000000001</v>
      </c>
      <c r="U57" s="494">
        <f t="shared" si="7"/>
        <v>991</v>
      </c>
    </row>
    <row r="58" spans="1:21" x14ac:dyDescent="0.25">
      <c r="A58" s="2"/>
      <c r="B58" s="125">
        <v>10.9</v>
      </c>
      <c r="C58" s="16">
        <v>62</v>
      </c>
      <c r="D58" s="323">
        <f t="shared" si="0"/>
        <v>675.80000000000007</v>
      </c>
      <c r="E58" s="126">
        <v>43566</v>
      </c>
      <c r="F58" s="89">
        <f t="shared" si="1"/>
        <v>675.80000000000007</v>
      </c>
      <c r="G58" s="90" t="s">
        <v>410</v>
      </c>
      <c r="H58" s="91">
        <v>580</v>
      </c>
      <c r="I58" s="493">
        <f t="shared" si="4"/>
        <v>-2.2737367544323206E-12</v>
      </c>
      <c r="J58" s="494">
        <f t="shared" si="5"/>
        <v>0</v>
      </c>
      <c r="L58" s="2"/>
      <c r="M58" s="125">
        <v>10.9</v>
      </c>
      <c r="N58" s="16"/>
      <c r="O58" s="444">
        <f t="shared" si="2"/>
        <v>0</v>
      </c>
      <c r="P58" s="455"/>
      <c r="Q58" s="434">
        <f t="shared" si="3"/>
        <v>0</v>
      </c>
      <c r="R58" s="280"/>
      <c r="S58" s="170"/>
      <c r="T58" s="493">
        <f t="shared" si="6"/>
        <v>10801.900000000001</v>
      </c>
      <c r="U58" s="494">
        <f t="shared" si="7"/>
        <v>991</v>
      </c>
    </row>
    <row r="59" spans="1:21" x14ac:dyDescent="0.25">
      <c r="A59" s="2"/>
      <c r="B59" s="125">
        <v>10.9</v>
      </c>
      <c r="C59" s="16"/>
      <c r="D59" s="323">
        <f t="shared" si="0"/>
        <v>0</v>
      </c>
      <c r="E59" s="126"/>
      <c r="F59" s="89">
        <f t="shared" si="1"/>
        <v>0</v>
      </c>
      <c r="G59" s="653"/>
      <c r="H59" s="654"/>
      <c r="I59" s="655">
        <f t="shared" si="4"/>
        <v>-2.2737367544323206E-12</v>
      </c>
      <c r="J59" s="494">
        <f t="shared" si="5"/>
        <v>0</v>
      </c>
      <c r="L59" s="2"/>
      <c r="M59" s="125">
        <v>10.9</v>
      </c>
      <c r="N59" s="16"/>
      <c r="O59" s="444">
        <f t="shared" si="2"/>
        <v>0</v>
      </c>
      <c r="P59" s="455"/>
      <c r="Q59" s="434">
        <f t="shared" si="3"/>
        <v>0</v>
      </c>
      <c r="R59" s="280"/>
      <c r="S59" s="170"/>
      <c r="T59" s="493">
        <f t="shared" si="6"/>
        <v>10801.900000000001</v>
      </c>
      <c r="U59" s="494">
        <f t="shared" si="7"/>
        <v>991</v>
      </c>
    </row>
    <row r="60" spans="1:21" x14ac:dyDescent="0.25">
      <c r="A60" s="2"/>
      <c r="B60" s="125">
        <v>10.9</v>
      </c>
      <c r="C60" s="16"/>
      <c r="D60" s="323">
        <f t="shared" si="0"/>
        <v>0</v>
      </c>
      <c r="E60" s="126"/>
      <c r="F60" s="89">
        <f t="shared" si="1"/>
        <v>0</v>
      </c>
      <c r="G60" s="653"/>
      <c r="H60" s="654"/>
      <c r="I60" s="655">
        <f t="shared" si="4"/>
        <v>-2.2737367544323206E-12</v>
      </c>
      <c r="J60" s="494">
        <f t="shared" si="5"/>
        <v>0</v>
      </c>
      <c r="L60" s="2"/>
      <c r="M60" s="125">
        <v>10.9</v>
      </c>
      <c r="N60" s="16"/>
      <c r="O60" s="444">
        <f t="shared" si="2"/>
        <v>0</v>
      </c>
      <c r="P60" s="455"/>
      <c r="Q60" s="434">
        <f t="shared" si="3"/>
        <v>0</v>
      </c>
      <c r="R60" s="280"/>
      <c r="S60" s="170"/>
      <c r="T60" s="493">
        <f t="shared" si="6"/>
        <v>10801.900000000001</v>
      </c>
      <c r="U60" s="494">
        <f t="shared" si="7"/>
        <v>991</v>
      </c>
    </row>
    <row r="61" spans="1:21" x14ac:dyDescent="0.25">
      <c r="A61" s="2"/>
      <c r="B61" s="125">
        <v>10.9</v>
      </c>
      <c r="C61" s="16"/>
      <c r="D61" s="323">
        <f t="shared" si="0"/>
        <v>0</v>
      </c>
      <c r="E61" s="126"/>
      <c r="F61" s="89">
        <f t="shared" si="1"/>
        <v>0</v>
      </c>
      <c r="G61" s="653"/>
      <c r="H61" s="654"/>
      <c r="I61" s="655">
        <f t="shared" si="4"/>
        <v>-2.2737367544323206E-12</v>
      </c>
      <c r="J61" s="494">
        <f t="shared" si="5"/>
        <v>0</v>
      </c>
      <c r="L61" s="2"/>
      <c r="M61" s="125">
        <v>10.9</v>
      </c>
      <c r="N61" s="16"/>
      <c r="O61" s="444">
        <f t="shared" si="2"/>
        <v>0</v>
      </c>
      <c r="P61" s="455"/>
      <c r="Q61" s="434">
        <f t="shared" si="3"/>
        <v>0</v>
      </c>
      <c r="R61" s="280"/>
      <c r="S61" s="170"/>
      <c r="T61" s="493">
        <f t="shared" si="6"/>
        <v>10801.900000000001</v>
      </c>
      <c r="U61" s="494">
        <f t="shared" si="7"/>
        <v>991</v>
      </c>
    </row>
    <row r="62" spans="1:21" x14ac:dyDescent="0.25">
      <c r="A62" s="2"/>
      <c r="B62" s="125">
        <v>10.9</v>
      </c>
      <c r="C62" s="16"/>
      <c r="D62" s="323">
        <f t="shared" si="0"/>
        <v>0</v>
      </c>
      <c r="E62" s="126"/>
      <c r="F62" s="89">
        <f t="shared" si="1"/>
        <v>0</v>
      </c>
      <c r="G62" s="653"/>
      <c r="H62" s="654"/>
      <c r="I62" s="655">
        <f t="shared" si="4"/>
        <v>-2.2737367544323206E-12</v>
      </c>
      <c r="J62" s="494">
        <f t="shared" si="5"/>
        <v>0</v>
      </c>
      <c r="L62" s="2"/>
      <c r="M62" s="125">
        <v>10.9</v>
      </c>
      <c r="N62" s="16"/>
      <c r="O62" s="448">
        <f t="shared" si="2"/>
        <v>0</v>
      </c>
      <c r="P62" s="461"/>
      <c r="Q62" s="449">
        <f t="shared" si="3"/>
        <v>0</v>
      </c>
      <c r="R62" s="450"/>
      <c r="S62" s="451"/>
      <c r="T62" s="493">
        <f t="shared" si="6"/>
        <v>10801.900000000001</v>
      </c>
      <c r="U62" s="494">
        <f t="shared" si="7"/>
        <v>991</v>
      </c>
    </row>
    <row r="63" spans="1:21" x14ac:dyDescent="0.25">
      <c r="A63" s="2"/>
      <c r="B63" s="125">
        <v>10.9</v>
      </c>
      <c r="C63" s="16"/>
      <c r="D63" s="648">
        <f t="shared" si="0"/>
        <v>0</v>
      </c>
      <c r="E63" s="649"/>
      <c r="F63" s="650">
        <f t="shared" si="1"/>
        <v>0</v>
      </c>
      <c r="G63" s="656"/>
      <c r="H63" s="657"/>
      <c r="I63" s="655">
        <f t="shared" si="4"/>
        <v>-2.2737367544323206E-12</v>
      </c>
      <c r="J63" s="494">
        <f t="shared" si="5"/>
        <v>0</v>
      </c>
      <c r="L63" s="2"/>
      <c r="M63" s="125">
        <v>10.9</v>
      </c>
      <c r="N63" s="16"/>
      <c r="O63" s="448">
        <f t="shared" si="2"/>
        <v>0</v>
      </c>
      <c r="P63" s="461"/>
      <c r="Q63" s="449">
        <f t="shared" si="3"/>
        <v>0</v>
      </c>
      <c r="R63" s="450"/>
      <c r="S63" s="451"/>
      <c r="T63" s="493">
        <f t="shared" si="6"/>
        <v>10801.900000000001</v>
      </c>
      <c r="U63" s="494">
        <f t="shared" si="7"/>
        <v>991</v>
      </c>
    </row>
    <row r="64" spans="1:21" x14ac:dyDescent="0.25">
      <c r="A64" s="2"/>
      <c r="B64" s="125">
        <v>10.9</v>
      </c>
      <c r="C64" s="16"/>
      <c r="D64" s="648">
        <f t="shared" si="0"/>
        <v>0</v>
      </c>
      <c r="E64" s="649"/>
      <c r="F64" s="650">
        <f t="shared" si="1"/>
        <v>0</v>
      </c>
      <c r="G64" s="656"/>
      <c r="H64" s="657"/>
      <c r="I64" s="655">
        <f t="shared" si="4"/>
        <v>-2.2737367544323206E-12</v>
      </c>
      <c r="J64" s="494">
        <f t="shared" si="5"/>
        <v>0</v>
      </c>
      <c r="L64" s="2"/>
      <c r="M64" s="125">
        <v>10.9</v>
      </c>
      <c r="N64" s="16"/>
      <c r="O64" s="448">
        <f t="shared" si="2"/>
        <v>0</v>
      </c>
      <c r="P64" s="461"/>
      <c r="Q64" s="449">
        <f t="shared" si="3"/>
        <v>0</v>
      </c>
      <c r="R64" s="450"/>
      <c r="S64" s="451"/>
      <c r="T64" s="493">
        <f t="shared" si="6"/>
        <v>10801.900000000001</v>
      </c>
      <c r="U64" s="494">
        <f t="shared" si="7"/>
        <v>991</v>
      </c>
    </row>
    <row r="65" spans="1:21" x14ac:dyDescent="0.25">
      <c r="A65" s="2"/>
      <c r="B65" s="125">
        <v>10.9</v>
      </c>
      <c r="C65" s="16"/>
      <c r="D65" s="648">
        <f t="shared" si="0"/>
        <v>0</v>
      </c>
      <c r="E65" s="649"/>
      <c r="F65" s="650">
        <f t="shared" si="1"/>
        <v>0</v>
      </c>
      <c r="G65" s="656"/>
      <c r="H65" s="657"/>
      <c r="I65" s="655">
        <f t="shared" si="4"/>
        <v>-2.2737367544323206E-12</v>
      </c>
      <c r="J65" s="494">
        <f t="shared" si="5"/>
        <v>0</v>
      </c>
      <c r="L65" s="2"/>
      <c r="M65" s="125">
        <v>10.9</v>
      </c>
      <c r="N65" s="16"/>
      <c r="O65" s="448">
        <f t="shared" si="2"/>
        <v>0</v>
      </c>
      <c r="P65" s="461"/>
      <c r="Q65" s="449">
        <f t="shared" si="3"/>
        <v>0</v>
      </c>
      <c r="R65" s="450"/>
      <c r="S65" s="451"/>
      <c r="T65" s="493">
        <f t="shared" si="6"/>
        <v>10801.900000000001</v>
      </c>
      <c r="U65" s="494">
        <f t="shared" si="7"/>
        <v>991</v>
      </c>
    </row>
    <row r="66" spans="1:21" x14ac:dyDescent="0.25">
      <c r="A66" s="2"/>
      <c r="B66" s="125">
        <v>10.9</v>
      </c>
      <c r="C66" s="16"/>
      <c r="D66" s="648">
        <f t="shared" si="0"/>
        <v>0</v>
      </c>
      <c r="E66" s="649"/>
      <c r="F66" s="650">
        <f t="shared" si="1"/>
        <v>0</v>
      </c>
      <c r="G66" s="651"/>
      <c r="H66" s="652"/>
      <c r="I66" s="493">
        <f t="shared" si="4"/>
        <v>-2.2737367544323206E-12</v>
      </c>
      <c r="J66" s="494">
        <f t="shared" si="5"/>
        <v>0</v>
      </c>
      <c r="L66" s="2"/>
      <c r="M66" s="125">
        <v>10.9</v>
      </c>
      <c r="N66" s="16"/>
      <c r="O66" s="448">
        <f t="shared" si="2"/>
        <v>0</v>
      </c>
      <c r="P66" s="461"/>
      <c r="Q66" s="449">
        <f t="shared" si="3"/>
        <v>0</v>
      </c>
      <c r="R66" s="450"/>
      <c r="S66" s="451"/>
      <c r="T66" s="493">
        <f t="shared" si="6"/>
        <v>10801.900000000001</v>
      </c>
      <c r="U66" s="494">
        <f t="shared" si="7"/>
        <v>991</v>
      </c>
    </row>
    <row r="67" spans="1:21" x14ac:dyDescent="0.25">
      <c r="A67" s="2"/>
      <c r="B67" s="125">
        <v>10.9</v>
      </c>
      <c r="C67" s="16"/>
      <c r="D67" s="448">
        <f t="shared" si="0"/>
        <v>0</v>
      </c>
      <c r="E67" s="461"/>
      <c r="F67" s="449">
        <f t="shared" si="1"/>
        <v>0</v>
      </c>
      <c r="G67" s="450"/>
      <c r="H67" s="451"/>
      <c r="I67" s="493">
        <f t="shared" si="4"/>
        <v>-2.2737367544323206E-12</v>
      </c>
      <c r="J67" s="494">
        <f t="shared" si="5"/>
        <v>0</v>
      </c>
      <c r="L67" s="2"/>
      <c r="M67" s="125">
        <v>10.9</v>
      </c>
      <c r="N67" s="16"/>
      <c r="O67" s="448">
        <f t="shared" si="2"/>
        <v>0</v>
      </c>
      <c r="P67" s="461"/>
      <c r="Q67" s="449">
        <f t="shared" si="3"/>
        <v>0</v>
      </c>
      <c r="R67" s="450"/>
      <c r="S67" s="451"/>
      <c r="T67" s="493">
        <f t="shared" si="6"/>
        <v>10801.900000000001</v>
      </c>
      <c r="U67" s="494">
        <f t="shared" si="7"/>
        <v>991</v>
      </c>
    </row>
    <row r="68" spans="1:21" x14ac:dyDescent="0.25">
      <c r="A68" s="2"/>
      <c r="B68" s="125">
        <v>10.9</v>
      </c>
      <c r="C68" s="16"/>
      <c r="D68" s="448">
        <f t="shared" si="0"/>
        <v>0</v>
      </c>
      <c r="E68" s="461"/>
      <c r="F68" s="449">
        <f t="shared" si="1"/>
        <v>0</v>
      </c>
      <c r="G68" s="450"/>
      <c r="H68" s="451"/>
      <c r="I68" s="493">
        <f t="shared" si="4"/>
        <v>-2.2737367544323206E-12</v>
      </c>
      <c r="J68" s="494">
        <f t="shared" si="5"/>
        <v>0</v>
      </c>
      <c r="L68" s="2"/>
      <c r="M68" s="125">
        <v>10.9</v>
      </c>
      <c r="N68" s="16"/>
      <c r="O68" s="448">
        <f t="shared" si="2"/>
        <v>0</v>
      </c>
      <c r="P68" s="461"/>
      <c r="Q68" s="449">
        <f t="shared" si="3"/>
        <v>0</v>
      </c>
      <c r="R68" s="450"/>
      <c r="S68" s="451"/>
      <c r="T68" s="493">
        <f t="shared" si="6"/>
        <v>10801.900000000001</v>
      </c>
      <c r="U68" s="494">
        <f t="shared" si="7"/>
        <v>991</v>
      </c>
    </row>
    <row r="69" spans="1:21" x14ac:dyDescent="0.25">
      <c r="A69" s="2"/>
      <c r="B69" s="125">
        <v>10.9</v>
      </c>
      <c r="C69" s="16"/>
      <c r="D69" s="323">
        <f t="shared" si="0"/>
        <v>0</v>
      </c>
      <c r="E69" s="126"/>
      <c r="F69" s="89">
        <f t="shared" si="1"/>
        <v>0</v>
      </c>
      <c r="G69" s="90"/>
      <c r="H69" s="91"/>
      <c r="I69" s="493">
        <f t="shared" si="4"/>
        <v>-2.2737367544323206E-12</v>
      </c>
      <c r="J69" s="494">
        <f t="shared" si="5"/>
        <v>0</v>
      </c>
      <c r="L69" s="2"/>
      <c r="M69" s="125">
        <v>10.9</v>
      </c>
      <c r="N69" s="16"/>
      <c r="O69" s="323">
        <f t="shared" si="2"/>
        <v>0</v>
      </c>
      <c r="P69" s="126"/>
      <c r="Q69" s="89">
        <f t="shared" si="3"/>
        <v>0</v>
      </c>
      <c r="R69" s="90"/>
      <c r="S69" s="91"/>
      <c r="T69" s="493">
        <f t="shared" si="6"/>
        <v>10801.900000000001</v>
      </c>
      <c r="U69" s="494">
        <f t="shared" si="7"/>
        <v>991</v>
      </c>
    </row>
    <row r="70" spans="1:21" x14ac:dyDescent="0.25">
      <c r="A70" s="2"/>
      <c r="B70" s="125">
        <v>10.9</v>
      </c>
      <c r="C70" s="16"/>
      <c r="D70" s="323">
        <f t="shared" si="0"/>
        <v>0</v>
      </c>
      <c r="E70" s="126"/>
      <c r="F70" s="89">
        <f t="shared" si="1"/>
        <v>0</v>
      </c>
      <c r="G70" s="90"/>
      <c r="H70" s="91"/>
      <c r="I70" s="493">
        <f t="shared" si="4"/>
        <v>-2.2737367544323206E-12</v>
      </c>
      <c r="J70" s="494">
        <f t="shared" si="5"/>
        <v>0</v>
      </c>
      <c r="L70" s="2"/>
      <c r="M70" s="125">
        <v>10.9</v>
      </c>
      <c r="N70" s="16"/>
      <c r="O70" s="323">
        <f t="shared" si="2"/>
        <v>0</v>
      </c>
      <c r="P70" s="126"/>
      <c r="Q70" s="89">
        <f t="shared" si="3"/>
        <v>0</v>
      </c>
      <c r="R70" s="90"/>
      <c r="S70" s="91"/>
      <c r="T70" s="493">
        <f t="shared" si="6"/>
        <v>10801.900000000001</v>
      </c>
      <c r="U70" s="494">
        <f t="shared" si="7"/>
        <v>991</v>
      </c>
    </row>
    <row r="71" spans="1:21" x14ac:dyDescent="0.25">
      <c r="A71" s="2"/>
      <c r="B71" s="125">
        <v>10.9</v>
      </c>
      <c r="C71" s="16"/>
      <c r="D71" s="323">
        <f t="shared" si="0"/>
        <v>0</v>
      </c>
      <c r="E71" s="126"/>
      <c r="F71" s="89">
        <f t="shared" si="1"/>
        <v>0</v>
      </c>
      <c r="G71" s="90"/>
      <c r="H71" s="91"/>
      <c r="I71" s="493">
        <f t="shared" si="4"/>
        <v>-2.2737367544323206E-12</v>
      </c>
      <c r="J71" s="494">
        <f t="shared" si="5"/>
        <v>0</v>
      </c>
      <c r="L71" s="2"/>
      <c r="M71" s="125">
        <v>10.9</v>
      </c>
      <c r="N71" s="16"/>
      <c r="O71" s="323">
        <f t="shared" si="2"/>
        <v>0</v>
      </c>
      <c r="P71" s="126"/>
      <c r="Q71" s="89">
        <f t="shared" si="3"/>
        <v>0</v>
      </c>
      <c r="R71" s="90"/>
      <c r="S71" s="91"/>
      <c r="T71" s="493">
        <f t="shared" si="6"/>
        <v>10801.900000000001</v>
      </c>
      <c r="U71" s="494">
        <f t="shared" si="7"/>
        <v>991</v>
      </c>
    </row>
    <row r="72" spans="1:21" x14ac:dyDescent="0.25">
      <c r="A72" s="2"/>
      <c r="B72" s="125">
        <v>10.9</v>
      </c>
      <c r="C72" s="16"/>
      <c r="D72" s="323">
        <f t="shared" ref="D72:D91" si="8">C72*B72</f>
        <v>0</v>
      </c>
      <c r="E72" s="126"/>
      <c r="F72" s="89">
        <f t="shared" ref="F72:F92" si="9">D72</f>
        <v>0</v>
      </c>
      <c r="G72" s="90"/>
      <c r="H72" s="91"/>
      <c r="I72" s="493">
        <f t="shared" si="4"/>
        <v>-2.2737367544323206E-12</v>
      </c>
      <c r="J72" s="494">
        <f t="shared" si="5"/>
        <v>0</v>
      </c>
      <c r="L72" s="2"/>
      <c r="M72" s="125">
        <v>10.9</v>
      </c>
      <c r="N72" s="16"/>
      <c r="O72" s="323">
        <f t="shared" ref="O72:O91" si="10">N72*M72</f>
        <v>0</v>
      </c>
      <c r="P72" s="126"/>
      <c r="Q72" s="89">
        <f t="shared" ref="Q72:Q92" si="11">O72</f>
        <v>0</v>
      </c>
      <c r="R72" s="90"/>
      <c r="S72" s="91"/>
      <c r="T72" s="493">
        <f t="shared" si="6"/>
        <v>10801.900000000001</v>
      </c>
      <c r="U72" s="494">
        <f t="shared" si="7"/>
        <v>991</v>
      </c>
    </row>
    <row r="73" spans="1:21" x14ac:dyDescent="0.25">
      <c r="A73" s="2"/>
      <c r="B73" s="125">
        <v>10.9</v>
      </c>
      <c r="C73" s="16"/>
      <c r="D73" s="323">
        <f t="shared" si="8"/>
        <v>0</v>
      </c>
      <c r="E73" s="126"/>
      <c r="F73" s="89">
        <f t="shared" si="9"/>
        <v>0</v>
      </c>
      <c r="G73" s="90"/>
      <c r="H73" s="91"/>
      <c r="I73" s="493">
        <f t="shared" si="4"/>
        <v>-2.2737367544323206E-12</v>
      </c>
      <c r="J73" s="494">
        <f t="shared" si="5"/>
        <v>0</v>
      </c>
      <c r="L73" s="2"/>
      <c r="M73" s="125">
        <v>10.9</v>
      </c>
      <c r="N73" s="16"/>
      <c r="O73" s="323">
        <f t="shared" si="10"/>
        <v>0</v>
      </c>
      <c r="P73" s="126"/>
      <c r="Q73" s="89">
        <f t="shared" si="11"/>
        <v>0</v>
      </c>
      <c r="R73" s="90"/>
      <c r="S73" s="91"/>
      <c r="T73" s="493">
        <f t="shared" si="6"/>
        <v>10801.900000000001</v>
      </c>
      <c r="U73" s="494">
        <f t="shared" si="7"/>
        <v>991</v>
      </c>
    </row>
    <row r="74" spans="1:21" x14ac:dyDescent="0.25">
      <c r="A74" s="2"/>
      <c r="B74" s="125">
        <v>10.9</v>
      </c>
      <c r="C74" s="16"/>
      <c r="D74" s="323">
        <f t="shared" si="8"/>
        <v>0</v>
      </c>
      <c r="E74" s="126"/>
      <c r="F74" s="89">
        <f t="shared" si="9"/>
        <v>0</v>
      </c>
      <c r="G74" s="90"/>
      <c r="H74" s="91"/>
      <c r="I74" s="493">
        <f t="shared" ref="I74:I91" si="12">I73-F74</f>
        <v>-2.2737367544323206E-12</v>
      </c>
      <c r="J74" s="494">
        <f t="shared" ref="J74:J91" si="13">J73-C74</f>
        <v>0</v>
      </c>
      <c r="L74" s="2"/>
      <c r="M74" s="125">
        <v>10.9</v>
      </c>
      <c r="N74" s="16"/>
      <c r="O74" s="323">
        <f t="shared" si="10"/>
        <v>0</v>
      </c>
      <c r="P74" s="126"/>
      <c r="Q74" s="89">
        <f t="shared" si="11"/>
        <v>0</v>
      </c>
      <c r="R74" s="90"/>
      <c r="S74" s="91"/>
      <c r="T74" s="493">
        <f t="shared" ref="T74:T91" si="14">T73-Q74</f>
        <v>10801.900000000001</v>
      </c>
      <c r="U74" s="494">
        <f t="shared" ref="U74:U91" si="15">U73-N74</f>
        <v>991</v>
      </c>
    </row>
    <row r="75" spans="1:21" x14ac:dyDescent="0.25">
      <c r="A75" s="2"/>
      <c r="B75" s="125">
        <v>10.9</v>
      </c>
      <c r="C75" s="16"/>
      <c r="D75" s="323">
        <f t="shared" si="8"/>
        <v>0</v>
      </c>
      <c r="E75" s="126"/>
      <c r="F75" s="89">
        <f t="shared" si="9"/>
        <v>0</v>
      </c>
      <c r="G75" s="90"/>
      <c r="H75" s="91"/>
      <c r="I75" s="493">
        <f t="shared" si="12"/>
        <v>-2.2737367544323206E-12</v>
      </c>
      <c r="J75" s="494">
        <f t="shared" si="13"/>
        <v>0</v>
      </c>
      <c r="L75" s="2"/>
      <c r="M75" s="125">
        <v>10.9</v>
      </c>
      <c r="N75" s="16"/>
      <c r="O75" s="323">
        <f t="shared" si="10"/>
        <v>0</v>
      </c>
      <c r="P75" s="126"/>
      <c r="Q75" s="89">
        <f t="shared" si="11"/>
        <v>0</v>
      </c>
      <c r="R75" s="90"/>
      <c r="S75" s="91"/>
      <c r="T75" s="493">
        <f t="shared" si="14"/>
        <v>10801.900000000001</v>
      </c>
      <c r="U75" s="494">
        <f t="shared" si="15"/>
        <v>991</v>
      </c>
    </row>
    <row r="76" spans="1:21" x14ac:dyDescent="0.25">
      <c r="A76" s="2"/>
      <c r="B76" s="125">
        <v>10.9</v>
      </c>
      <c r="C76" s="16"/>
      <c r="D76" s="323">
        <f t="shared" si="8"/>
        <v>0</v>
      </c>
      <c r="E76" s="126"/>
      <c r="F76" s="89">
        <f t="shared" si="9"/>
        <v>0</v>
      </c>
      <c r="G76" s="90"/>
      <c r="H76" s="91"/>
      <c r="I76" s="493">
        <f t="shared" si="12"/>
        <v>-2.2737367544323206E-12</v>
      </c>
      <c r="J76" s="494">
        <f t="shared" si="13"/>
        <v>0</v>
      </c>
      <c r="L76" s="2"/>
      <c r="M76" s="125">
        <v>10.9</v>
      </c>
      <c r="N76" s="16"/>
      <c r="O76" s="323">
        <f t="shared" si="10"/>
        <v>0</v>
      </c>
      <c r="P76" s="126"/>
      <c r="Q76" s="89">
        <f t="shared" si="11"/>
        <v>0</v>
      </c>
      <c r="R76" s="90"/>
      <c r="S76" s="91"/>
      <c r="T76" s="493">
        <f t="shared" si="14"/>
        <v>10801.900000000001</v>
      </c>
      <c r="U76" s="494">
        <f t="shared" si="15"/>
        <v>991</v>
      </c>
    </row>
    <row r="77" spans="1:21" x14ac:dyDescent="0.25">
      <c r="A77" s="2"/>
      <c r="B77" s="125">
        <v>10.9</v>
      </c>
      <c r="C77" s="16"/>
      <c r="D77" s="323">
        <f t="shared" si="8"/>
        <v>0</v>
      </c>
      <c r="E77" s="126"/>
      <c r="F77" s="89">
        <f t="shared" si="9"/>
        <v>0</v>
      </c>
      <c r="G77" s="90"/>
      <c r="H77" s="91"/>
      <c r="I77" s="493">
        <f t="shared" si="12"/>
        <v>-2.2737367544323206E-12</v>
      </c>
      <c r="J77" s="494">
        <f t="shared" si="13"/>
        <v>0</v>
      </c>
      <c r="L77" s="2"/>
      <c r="M77" s="125">
        <v>10.9</v>
      </c>
      <c r="N77" s="16"/>
      <c r="O77" s="323">
        <f t="shared" si="10"/>
        <v>0</v>
      </c>
      <c r="P77" s="126"/>
      <c r="Q77" s="89">
        <f t="shared" si="11"/>
        <v>0</v>
      </c>
      <c r="R77" s="90"/>
      <c r="S77" s="91"/>
      <c r="T77" s="493">
        <f t="shared" si="14"/>
        <v>10801.900000000001</v>
      </c>
      <c r="U77" s="494">
        <f t="shared" si="15"/>
        <v>991</v>
      </c>
    </row>
    <row r="78" spans="1:21" x14ac:dyDescent="0.25">
      <c r="A78" s="2"/>
      <c r="B78" s="125">
        <v>10.9</v>
      </c>
      <c r="C78" s="16"/>
      <c r="D78" s="323">
        <f t="shared" si="8"/>
        <v>0</v>
      </c>
      <c r="E78" s="126"/>
      <c r="F78" s="89">
        <f t="shared" si="9"/>
        <v>0</v>
      </c>
      <c r="G78" s="90"/>
      <c r="H78" s="91"/>
      <c r="I78" s="493">
        <f t="shared" si="12"/>
        <v>-2.2737367544323206E-12</v>
      </c>
      <c r="J78" s="494">
        <f t="shared" si="13"/>
        <v>0</v>
      </c>
      <c r="L78" s="2"/>
      <c r="M78" s="125">
        <v>10.9</v>
      </c>
      <c r="N78" s="16"/>
      <c r="O78" s="323">
        <f t="shared" si="10"/>
        <v>0</v>
      </c>
      <c r="P78" s="126"/>
      <c r="Q78" s="89">
        <f t="shared" si="11"/>
        <v>0</v>
      </c>
      <c r="R78" s="90"/>
      <c r="S78" s="91"/>
      <c r="T78" s="493">
        <f t="shared" si="14"/>
        <v>10801.900000000001</v>
      </c>
      <c r="U78" s="494">
        <f t="shared" si="15"/>
        <v>991</v>
      </c>
    </row>
    <row r="79" spans="1:21" x14ac:dyDescent="0.25">
      <c r="A79" s="2"/>
      <c r="B79" s="125">
        <v>10.9</v>
      </c>
      <c r="C79" s="16"/>
      <c r="D79" s="323">
        <f t="shared" si="8"/>
        <v>0</v>
      </c>
      <c r="E79" s="126"/>
      <c r="F79" s="89">
        <f t="shared" si="9"/>
        <v>0</v>
      </c>
      <c r="G79" s="90"/>
      <c r="H79" s="91"/>
      <c r="I79" s="493">
        <f t="shared" si="12"/>
        <v>-2.2737367544323206E-12</v>
      </c>
      <c r="J79" s="494">
        <f t="shared" si="13"/>
        <v>0</v>
      </c>
      <c r="L79" s="2"/>
      <c r="M79" s="125">
        <v>10.9</v>
      </c>
      <c r="N79" s="16"/>
      <c r="O79" s="323">
        <f t="shared" si="10"/>
        <v>0</v>
      </c>
      <c r="P79" s="126"/>
      <c r="Q79" s="89">
        <f t="shared" si="11"/>
        <v>0</v>
      </c>
      <c r="R79" s="90"/>
      <c r="S79" s="91"/>
      <c r="T79" s="493">
        <f t="shared" si="14"/>
        <v>10801.900000000001</v>
      </c>
      <c r="U79" s="494">
        <f t="shared" si="15"/>
        <v>991</v>
      </c>
    </row>
    <row r="80" spans="1:21" x14ac:dyDescent="0.25">
      <c r="A80" s="2"/>
      <c r="B80" s="125">
        <v>10.9</v>
      </c>
      <c r="C80" s="16"/>
      <c r="D80" s="323">
        <f t="shared" si="8"/>
        <v>0</v>
      </c>
      <c r="E80" s="126"/>
      <c r="F80" s="89">
        <f t="shared" si="9"/>
        <v>0</v>
      </c>
      <c r="G80" s="90"/>
      <c r="H80" s="91"/>
      <c r="I80" s="493">
        <f t="shared" si="12"/>
        <v>-2.2737367544323206E-12</v>
      </c>
      <c r="J80" s="494">
        <f t="shared" si="13"/>
        <v>0</v>
      </c>
      <c r="L80" s="2"/>
      <c r="M80" s="125">
        <v>10.9</v>
      </c>
      <c r="N80" s="16"/>
      <c r="O80" s="323">
        <f t="shared" si="10"/>
        <v>0</v>
      </c>
      <c r="P80" s="126"/>
      <c r="Q80" s="89">
        <f t="shared" si="11"/>
        <v>0</v>
      </c>
      <c r="R80" s="90"/>
      <c r="S80" s="91"/>
      <c r="T80" s="493">
        <f t="shared" si="14"/>
        <v>10801.900000000001</v>
      </c>
      <c r="U80" s="494">
        <f t="shared" si="15"/>
        <v>991</v>
      </c>
    </row>
    <row r="81" spans="1:21" x14ac:dyDescent="0.25">
      <c r="A81" s="2"/>
      <c r="B81" s="125">
        <v>10.9</v>
      </c>
      <c r="C81" s="16"/>
      <c r="D81" s="323">
        <f t="shared" si="8"/>
        <v>0</v>
      </c>
      <c r="E81" s="126"/>
      <c r="F81" s="89">
        <f t="shared" si="9"/>
        <v>0</v>
      </c>
      <c r="G81" s="90"/>
      <c r="H81" s="91"/>
      <c r="I81" s="493">
        <f t="shared" si="12"/>
        <v>-2.2737367544323206E-12</v>
      </c>
      <c r="J81" s="494">
        <f t="shared" si="13"/>
        <v>0</v>
      </c>
      <c r="L81" s="2"/>
      <c r="M81" s="125">
        <v>10.9</v>
      </c>
      <c r="N81" s="16"/>
      <c r="O81" s="323">
        <f t="shared" si="10"/>
        <v>0</v>
      </c>
      <c r="P81" s="126"/>
      <c r="Q81" s="89">
        <f t="shared" si="11"/>
        <v>0</v>
      </c>
      <c r="R81" s="90"/>
      <c r="S81" s="91"/>
      <c r="T81" s="493">
        <f t="shared" si="14"/>
        <v>10801.900000000001</v>
      </c>
      <c r="U81" s="494">
        <f t="shared" si="15"/>
        <v>991</v>
      </c>
    </row>
    <row r="82" spans="1:21" x14ac:dyDescent="0.25">
      <c r="A82" s="2"/>
      <c r="B82" s="125">
        <v>10.9</v>
      </c>
      <c r="C82" s="16"/>
      <c r="D82" s="323">
        <f t="shared" si="8"/>
        <v>0</v>
      </c>
      <c r="E82" s="126"/>
      <c r="F82" s="89">
        <f t="shared" si="9"/>
        <v>0</v>
      </c>
      <c r="G82" s="90"/>
      <c r="H82" s="91"/>
      <c r="I82" s="493">
        <f t="shared" si="12"/>
        <v>-2.2737367544323206E-12</v>
      </c>
      <c r="J82" s="494">
        <f t="shared" si="13"/>
        <v>0</v>
      </c>
      <c r="L82" s="2"/>
      <c r="M82" s="125">
        <v>10.9</v>
      </c>
      <c r="N82" s="16"/>
      <c r="O82" s="323">
        <f t="shared" si="10"/>
        <v>0</v>
      </c>
      <c r="P82" s="126"/>
      <c r="Q82" s="89">
        <f t="shared" si="11"/>
        <v>0</v>
      </c>
      <c r="R82" s="90"/>
      <c r="S82" s="91"/>
      <c r="T82" s="493">
        <f t="shared" si="14"/>
        <v>10801.900000000001</v>
      </c>
      <c r="U82" s="494">
        <f t="shared" si="15"/>
        <v>991</v>
      </c>
    </row>
    <row r="83" spans="1:21" x14ac:dyDescent="0.25">
      <c r="A83" s="2"/>
      <c r="B83" s="125">
        <v>10.9</v>
      </c>
      <c r="C83" s="16"/>
      <c r="D83" s="323">
        <f t="shared" si="8"/>
        <v>0</v>
      </c>
      <c r="E83" s="126"/>
      <c r="F83" s="89">
        <f t="shared" si="9"/>
        <v>0</v>
      </c>
      <c r="G83" s="90"/>
      <c r="H83" s="91"/>
      <c r="I83" s="493">
        <f t="shared" si="12"/>
        <v>-2.2737367544323206E-12</v>
      </c>
      <c r="J83" s="494">
        <f t="shared" si="13"/>
        <v>0</v>
      </c>
      <c r="L83" s="2"/>
      <c r="M83" s="125">
        <v>10.9</v>
      </c>
      <c r="N83" s="16"/>
      <c r="O83" s="323">
        <f t="shared" si="10"/>
        <v>0</v>
      </c>
      <c r="P83" s="126"/>
      <c r="Q83" s="89">
        <f t="shared" si="11"/>
        <v>0</v>
      </c>
      <c r="R83" s="90"/>
      <c r="S83" s="91"/>
      <c r="T83" s="493">
        <f t="shared" si="14"/>
        <v>10801.900000000001</v>
      </c>
      <c r="U83" s="494">
        <f t="shared" si="15"/>
        <v>991</v>
      </c>
    </row>
    <row r="84" spans="1:21" x14ac:dyDescent="0.25">
      <c r="A84" s="2"/>
      <c r="B84" s="125">
        <v>10.9</v>
      </c>
      <c r="C84" s="16"/>
      <c r="D84" s="323">
        <f t="shared" si="8"/>
        <v>0</v>
      </c>
      <c r="E84" s="126"/>
      <c r="F84" s="89">
        <f t="shared" si="9"/>
        <v>0</v>
      </c>
      <c r="G84" s="90"/>
      <c r="H84" s="91"/>
      <c r="I84" s="493">
        <f t="shared" si="12"/>
        <v>-2.2737367544323206E-12</v>
      </c>
      <c r="J84" s="494">
        <f t="shared" si="13"/>
        <v>0</v>
      </c>
      <c r="L84" s="2"/>
      <c r="M84" s="125">
        <v>10.9</v>
      </c>
      <c r="N84" s="16"/>
      <c r="O84" s="323">
        <f t="shared" si="10"/>
        <v>0</v>
      </c>
      <c r="P84" s="126"/>
      <c r="Q84" s="89">
        <f t="shared" si="11"/>
        <v>0</v>
      </c>
      <c r="R84" s="90"/>
      <c r="S84" s="91"/>
      <c r="T84" s="493">
        <f t="shared" si="14"/>
        <v>10801.900000000001</v>
      </c>
      <c r="U84" s="494">
        <f t="shared" si="15"/>
        <v>991</v>
      </c>
    </row>
    <row r="85" spans="1:21" x14ac:dyDescent="0.25">
      <c r="A85" s="2"/>
      <c r="B85" s="125">
        <v>10.9</v>
      </c>
      <c r="C85" s="16"/>
      <c r="D85" s="323">
        <f t="shared" si="8"/>
        <v>0</v>
      </c>
      <c r="E85" s="126"/>
      <c r="F85" s="89">
        <f t="shared" si="9"/>
        <v>0</v>
      </c>
      <c r="G85" s="90"/>
      <c r="H85" s="91"/>
      <c r="I85" s="493">
        <f t="shared" si="12"/>
        <v>-2.2737367544323206E-12</v>
      </c>
      <c r="J85" s="494">
        <f t="shared" si="13"/>
        <v>0</v>
      </c>
      <c r="L85" s="2"/>
      <c r="M85" s="125">
        <v>10.9</v>
      </c>
      <c r="N85" s="16"/>
      <c r="O85" s="323">
        <f t="shared" si="10"/>
        <v>0</v>
      </c>
      <c r="P85" s="126"/>
      <c r="Q85" s="89">
        <f t="shared" si="11"/>
        <v>0</v>
      </c>
      <c r="R85" s="90"/>
      <c r="S85" s="91"/>
      <c r="T85" s="493">
        <f t="shared" si="14"/>
        <v>10801.900000000001</v>
      </c>
      <c r="U85" s="494">
        <f t="shared" si="15"/>
        <v>991</v>
      </c>
    </row>
    <row r="86" spans="1:21" x14ac:dyDescent="0.25">
      <c r="A86" s="2"/>
      <c r="B86" s="125">
        <v>10.9</v>
      </c>
      <c r="C86" s="16"/>
      <c r="D86" s="323">
        <f t="shared" si="8"/>
        <v>0</v>
      </c>
      <c r="E86" s="126"/>
      <c r="F86" s="89">
        <f t="shared" si="9"/>
        <v>0</v>
      </c>
      <c r="G86" s="90"/>
      <c r="H86" s="91"/>
      <c r="I86" s="493">
        <f t="shared" si="12"/>
        <v>-2.2737367544323206E-12</v>
      </c>
      <c r="J86" s="494">
        <f t="shared" si="13"/>
        <v>0</v>
      </c>
      <c r="L86" s="2"/>
      <c r="M86" s="125">
        <v>10.9</v>
      </c>
      <c r="N86" s="16"/>
      <c r="O86" s="323">
        <f t="shared" si="10"/>
        <v>0</v>
      </c>
      <c r="P86" s="126"/>
      <c r="Q86" s="89">
        <f t="shared" si="11"/>
        <v>0</v>
      </c>
      <c r="R86" s="90"/>
      <c r="S86" s="91"/>
      <c r="T86" s="493">
        <f t="shared" si="14"/>
        <v>10801.900000000001</v>
      </c>
      <c r="U86" s="494">
        <f t="shared" si="15"/>
        <v>991</v>
      </c>
    </row>
    <row r="87" spans="1:21" x14ac:dyDescent="0.25">
      <c r="A87" s="155"/>
      <c r="B87" s="125">
        <v>10.9</v>
      </c>
      <c r="C87" s="16"/>
      <c r="D87" s="323">
        <f t="shared" si="8"/>
        <v>0</v>
      </c>
      <c r="E87" s="126"/>
      <c r="F87" s="89">
        <f t="shared" si="9"/>
        <v>0</v>
      </c>
      <c r="G87" s="90"/>
      <c r="H87" s="91"/>
      <c r="I87" s="493">
        <f t="shared" si="12"/>
        <v>-2.2737367544323206E-12</v>
      </c>
      <c r="J87" s="494">
        <f t="shared" si="13"/>
        <v>0</v>
      </c>
      <c r="L87" s="155"/>
      <c r="M87" s="125">
        <v>10.9</v>
      </c>
      <c r="N87" s="16"/>
      <c r="O87" s="323">
        <f t="shared" si="10"/>
        <v>0</v>
      </c>
      <c r="P87" s="126"/>
      <c r="Q87" s="89">
        <f t="shared" si="11"/>
        <v>0</v>
      </c>
      <c r="R87" s="90"/>
      <c r="S87" s="91"/>
      <c r="T87" s="493">
        <f t="shared" si="14"/>
        <v>10801.900000000001</v>
      </c>
      <c r="U87" s="494">
        <f t="shared" si="15"/>
        <v>991</v>
      </c>
    </row>
    <row r="88" spans="1:21" x14ac:dyDescent="0.25">
      <c r="A88" s="2"/>
      <c r="B88" s="125">
        <v>10.9</v>
      </c>
      <c r="C88" s="16"/>
      <c r="D88" s="323">
        <f t="shared" si="8"/>
        <v>0</v>
      </c>
      <c r="E88" s="126"/>
      <c r="F88" s="89">
        <f t="shared" si="9"/>
        <v>0</v>
      </c>
      <c r="G88" s="90"/>
      <c r="H88" s="91"/>
      <c r="I88" s="493">
        <f t="shared" si="12"/>
        <v>-2.2737367544323206E-12</v>
      </c>
      <c r="J88" s="494">
        <f t="shared" si="13"/>
        <v>0</v>
      </c>
      <c r="L88" s="2"/>
      <c r="M88" s="125">
        <v>10.9</v>
      </c>
      <c r="N88" s="16"/>
      <c r="O88" s="323">
        <f t="shared" si="10"/>
        <v>0</v>
      </c>
      <c r="P88" s="126"/>
      <c r="Q88" s="89">
        <f t="shared" si="11"/>
        <v>0</v>
      </c>
      <c r="R88" s="90"/>
      <c r="S88" s="91"/>
      <c r="T88" s="493">
        <f t="shared" si="14"/>
        <v>10801.900000000001</v>
      </c>
      <c r="U88" s="494">
        <f t="shared" si="15"/>
        <v>991</v>
      </c>
    </row>
    <row r="89" spans="1:21" x14ac:dyDescent="0.25">
      <c r="A89" s="2"/>
      <c r="B89" s="125">
        <v>10.9</v>
      </c>
      <c r="C89" s="16"/>
      <c r="D89" s="323">
        <f t="shared" si="8"/>
        <v>0</v>
      </c>
      <c r="E89" s="126"/>
      <c r="F89" s="89">
        <f t="shared" si="9"/>
        <v>0</v>
      </c>
      <c r="G89" s="90"/>
      <c r="H89" s="91"/>
      <c r="I89" s="493">
        <f t="shared" si="12"/>
        <v>-2.2737367544323206E-12</v>
      </c>
      <c r="J89" s="494">
        <f t="shared" si="13"/>
        <v>0</v>
      </c>
      <c r="L89" s="2"/>
      <c r="M89" s="125">
        <v>10.9</v>
      </c>
      <c r="N89" s="16"/>
      <c r="O89" s="323">
        <f t="shared" si="10"/>
        <v>0</v>
      </c>
      <c r="P89" s="126"/>
      <c r="Q89" s="89">
        <f t="shared" si="11"/>
        <v>0</v>
      </c>
      <c r="R89" s="90"/>
      <c r="S89" s="91"/>
      <c r="T89" s="493">
        <f t="shared" si="14"/>
        <v>10801.900000000001</v>
      </c>
      <c r="U89" s="494">
        <f t="shared" si="15"/>
        <v>991</v>
      </c>
    </row>
    <row r="90" spans="1:21" x14ac:dyDescent="0.25">
      <c r="A90" s="2"/>
      <c r="B90" s="125">
        <v>10.9</v>
      </c>
      <c r="C90" s="16"/>
      <c r="D90" s="323">
        <f t="shared" si="8"/>
        <v>0</v>
      </c>
      <c r="E90" s="126"/>
      <c r="F90" s="89">
        <f t="shared" si="9"/>
        <v>0</v>
      </c>
      <c r="G90" s="90"/>
      <c r="H90" s="91"/>
      <c r="I90" s="493">
        <f t="shared" si="12"/>
        <v>-2.2737367544323206E-12</v>
      </c>
      <c r="J90" s="494">
        <f t="shared" si="13"/>
        <v>0</v>
      </c>
      <c r="L90" s="2"/>
      <c r="M90" s="125">
        <v>10.9</v>
      </c>
      <c r="N90" s="16"/>
      <c r="O90" s="323">
        <f t="shared" si="10"/>
        <v>0</v>
      </c>
      <c r="P90" s="126"/>
      <c r="Q90" s="89">
        <f t="shared" si="11"/>
        <v>0</v>
      </c>
      <c r="R90" s="90"/>
      <c r="S90" s="91"/>
      <c r="T90" s="493">
        <f t="shared" si="14"/>
        <v>10801.900000000001</v>
      </c>
      <c r="U90" s="494">
        <f t="shared" si="15"/>
        <v>991</v>
      </c>
    </row>
    <row r="91" spans="1:21" x14ac:dyDescent="0.25">
      <c r="A91" s="2"/>
      <c r="B91" s="125">
        <v>10.9</v>
      </c>
      <c r="C91" s="16"/>
      <c r="D91" s="323">
        <f t="shared" si="8"/>
        <v>0</v>
      </c>
      <c r="E91" s="126"/>
      <c r="F91" s="89">
        <f t="shared" si="9"/>
        <v>0</v>
      </c>
      <c r="G91" s="90"/>
      <c r="H91" s="91"/>
      <c r="I91" s="493">
        <f t="shared" si="12"/>
        <v>-2.2737367544323206E-12</v>
      </c>
      <c r="J91" s="494">
        <f t="shared" si="13"/>
        <v>0</v>
      </c>
      <c r="L91" s="2"/>
      <c r="M91" s="125">
        <v>10.9</v>
      </c>
      <c r="N91" s="16"/>
      <c r="O91" s="323">
        <f t="shared" si="10"/>
        <v>0</v>
      </c>
      <c r="P91" s="126"/>
      <c r="Q91" s="89">
        <f t="shared" si="11"/>
        <v>0</v>
      </c>
      <c r="R91" s="90"/>
      <c r="S91" s="91"/>
      <c r="T91" s="493">
        <f t="shared" si="14"/>
        <v>10801.900000000001</v>
      </c>
      <c r="U91" s="494">
        <f t="shared" si="15"/>
        <v>991</v>
      </c>
    </row>
    <row r="92" spans="1:21" ht="15.75" thickBot="1" x14ac:dyDescent="0.3">
      <c r="A92" s="4"/>
      <c r="B92" s="125">
        <v>10.9</v>
      </c>
      <c r="C92" s="40"/>
      <c r="D92" s="397">
        <f>C92*B33</f>
        <v>0</v>
      </c>
      <c r="E92" s="398"/>
      <c r="F92" s="399">
        <f t="shared" si="9"/>
        <v>0</v>
      </c>
      <c r="G92" s="400"/>
      <c r="H92" s="368"/>
      <c r="L92" s="4"/>
      <c r="M92" s="125">
        <v>10.9</v>
      </c>
      <c r="N92" s="40"/>
      <c r="O92" s="397">
        <f>N92*M33</f>
        <v>0</v>
      </c>
      <c r="P92" s="398"/>
      <c r="Q92" s="399">
        <f t="shared" si="11"/>
        <v>0</v>
      </c>
      <c r="R92" s="400"/>
      <c r="S92" s="368"/>
    </row>
    <row r="93" spans="1:21" ht="16.5" thickTop="1" thickBot="1" x14ac:dyDescent="0.3">
      <c r="C93" s="132">
        <f>SUM(C8:C92)</f>
        <v>1694</v>
      </c>
      <c r="D93" s="52">
        <f>SUM(D10:D92)</f>
        <v>9635.5999999999985</v>
      </c>
      <c r="E93" s="41"/>
      <c r="F93" s="6">
        <f>SUM(F8:F92)</f>
        <v>18464.599999999999</v>
      </c>
      <c r="N93" s="132">
        <f>SUM(N8:N92)</f>
        <v>92</v>
      </c>
      <c r="O93" s="52">
        <f>SUM(O10:O92)</f>
        <v>0</v>
      </c>
      <c r="P93" s="41"/>
      <c r="Q93" s="6">
        <f>SUM(Q8:Q92)</f>
        <v>1002.8000000000001</v>
      </c>
    </row>
    <row r="94" spans="1:21" ht="15.75" thickBot="1" x14ac:dyDescent="0.3">
      <c r="A94" s="58"/>
      <c r="D94" s="163" t="s">
        <v>4</v>
      </c>
      <c r="E94" s="88">
        <f>F4+F5+F6-+C93</f>
        <v>0</v>
      </c>
      <c r="L94" s="58"/>
      <c r="O94" s="163" t="s">
        <v>4</v>
      </c>
      <c r="P94" s="88">
        <f>Q4+Q5+Q6-+N93</f>
        <v>991</v>
      </c>
    </row>
    <row r="95" spans="1:21" ht="15.75" thickBot="1" x14ac:dyDescent="0.3">
      <c r="A95" s="174"/>
      <c r="L95" s="174"/>
    </row>
    <row r="96" spans="1:21" ht="16.5" thickTop="1" thickBot="1" x14ac:dyDescent="0.3">
      <c r="A96" s="51"/>
      <c r="C96" s="760" t="s">
        <v>11</v>
      </c>
      <c r="D96" s="761"/>
      <c r="E96" s="217">
        <f>E5+E4+E6+-F93</f>
        <v>0</v>
      </c>
      <c r="L96" s="51"/>
      <c r="N96" s="760" t="s">
        <v>11</v>
      </c>
      <c r="O96" s="761"/>
      <c r="P96" s="217">
        <f>P5+P4+P6+-Q93</f>
        <v>10801.900000000001</v>
      </c>
    </row>
  </sheetData>
  <mergeCells count="8">
    <mergeCell ref="A1:G1"/>
    <mergeCell ref="A5:A6"/>
    <mergeCell ref="B5:B6"/>
    <mergeCell ref="C96:D96"/>
    <mergeCell ref="L1:R1"/>
    <mergeCell ref="L5:L6"/>
    <mergeCell ref="M5:M6"/>
    <mergeCell ref="N96:O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51"/>
  </cols>
  <sheetData>
    <row r="1" spans="1:10" ht="45.75" x14ac:dyDescent="0.65">
      <c r="A1" s="762"/>
      <c r="B1" s="762"/>
      <c r="C1" s="762"/>
      <c r="D1" s="762"/>
      <c r="E1" s="762"/>
      <c r="F1" s="762"/>
      <c r="G1" s="762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71"/>
      <c r="E4" s="338"/>
      <c r="F4" s="215"/>
    </row>
    <row r="5" spans="1:10" ht="15" customHeight="1" x14ac:dyDescent="0.25">
      <c r="A5" s="756"/>
      <c r="B5" s="763" t="s">
        <v>94</v>
      </c>
      <c r="C5" s="167"/>
      <c r="D5" s="171"/>
      <c r="E5" s="286"/>
      <c r="F5" s="215"/>
      <c r="G5" s="219">
        <f>F93</f>
        <v>0</v>
      </c>
      <c r="H5" s="76">
        <f>E4+E5+E6-G5</f>
        <v>0</v>
      </c>
    </row>
    <row r="6" spans="1:10" ht="16.5" thickBot="1" x14ac:dyDescent="0.3">
      <c r="A6" s="757"/>
      <c r="B6" s="764"/>
      <c r="C6" s="402"/>
      <c r="D6" s="171"/>
      <c r="E6" s="216"/>
      <c r="F6" s="287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</row>
    <row r="8" spans="1:10" ht="15.75" thickTop="1" x14ac:dyDescent="0.25">
      <c r="A8" s="120" t="s">
        <v>32</v>
      </c>
      <c r="B8" s="125">
        <v>13.61</v>
      </c>
      <c r="C8" s="16"/>
      <c r="D8" s="323">
        <f t="shared" ref="D8" si="0">C8*B8</f>
        <v>0</v>
      </c>
      <c r="E8" s="119"/>
      <c r="F8" s="89">
        <f t="shared" ref="F8" si="1">D8</f>
        <v>0</v>
      </c>
      <c r="G8" s="90"/>
      <c r="H8" s="91"/>
      <c r="I8" s="422">
        <f>E5+E4-F8+E6</f>
        <v>0</v>
      </c>
    </row>
    <row r="9" spans="1:10" x14ac:dyDescent="0.25">
      <c r="A9" s="379"/>
      <c r="B9" s="125">
        <v>13.61</v>
      </c>
      <c r="C9" s="16"/>
      <c r="D9" s="323">
        <f t="shared" ref="D9:D72" si="2">C9*B9</f>
        <v>0</v>
      </c>
      <c r="E9" s="126"/>
      <c r="F9" s="89">
        <f t="shared" ref="F9:F71" si="3">D9</f>
        <v>0</v>
      </c>
      <c r="G9" s="90"/>
      <c r="H9" s="91"/>
      <c r="I9" s="422">
        <f>I8-F9</f>
        <v>0</v>
      </c>
    </row>
    <row r="10" spans="1:10" x14ac:dyDescent="0.25">
      <c r="A10" s="348"/>
      <c r="B10" s="125">
        <v>13.61</v>
      </c>
      <c r="C10" s="16"/>
      <c r="D10" s="323">
        <f t="shared" si="2"/>
        <v>0</v>
      </c>
      <c r="E10" s="126"/>
      <c r="F10" s="89">
        <f t="shared" si="3"/>
        <v>0</v>
      </c>
      <c r="G10" s="90"/>
      <c r="H10" s="91"/>
      <c r="I10" s="422">
        <f t="shared" ref="I10:I73" si="4">I9-F10</f>
        <v>0</v>
      </c>
    </row>
    <row r="11" spans="1:10" x14ac:dyDescent="0.25">
      <c r="A11" s="122" t="s">
        <v>33</v>
      </c>
      <c r="B11" s="125">
        <v>13.61</v>
      </c>
      <c r="C11" s="16"/>
      <c r="D11" s="323">
        <f t="shared" si="2"/>
        <v>0</v>
      </c>
      <c r="E11" s="126"/>
      <c r="F11" s="89">
        <f t="shared" si="3"/>
        <v>0</v>
      </c>
      <c r="G11" s="90"/>
      <c r="H11" s="91"/>
      <c r="I11" s="422">
        <f t="shared" si="4"/>
        <v>0</v>
      </c>
    </row>
    <row r="12" spans="1:10" x14ac:dyDescent="0.25">
      <c r="A12" s="97"/>
      <c r="B12" s="125">
        <v>13.61</v>
      </c>
      <c r="C12" s="16"/>
      <c r="D12" s="323">
        <f t="shared" si="2"/>
        <v>0</v>
      </c>
      <c r="E12" s="126"/>
      <c r="F12" s="89">
        <f t="shared" si="3"/>
        <v>0</v>
      </c>
      <c r="G12" s="90"/>
      <c r="H12" s="91"/>
      <c r="I12" s="422">
        <f t="shared" si="4"/>
        <v>0</v>
      </c>
    </row>
    <row r="13" spans="1:10" x14ac:dyDescent="0.25">
      <c r="A13" s="97"/>
      <c r="B13" s="125">
        <v>13.61</v>
      </c>
      <c r="C13" s="16"/>
      <c r="D13" s="323">
        <f t="shared" si="2"/>
        <v>0</v>
      </c>
      <c r="E13" s="119"/>
      <c r="F13" s="89">
        <f t="shared" si="3"/>
        <v>0</v>
      </c>
      <c r="G13" s="90"/>
      <c r="H13" s="91"/>
      <c r="I13" s="422">
        <f t="shared" si="4"/>
        <v>0</v>
      </c>
    </row>
    <row r="14" spans="1:10" x14ac:dyDescent="0.25">
      <c r="B14" s="125">
        <v>13.61</v>
      </c>
      <c r="C14" s="16"/>
      <c r="D14" s="323">
        <f t="shared" si="2"/>
        <v>0</v>
      </c>
      <c r="E14" s="119"/>
      <c r="F14" s="89">
        <f t="shared" si="3"/>
        <v>0</v>
      </c>
      <c r="G14" s="90"/>
      <c r="H14" s="91"/>
      <c r="I14" s="422">
        <f t="shared" si="4"/>
        <v>0</v>
      </c>
      <c r="J14" t="s">
        <v>89</v>
      </c>
    </row>
    <row r="15" spans="1:10" x14ac:dyDescent="0.25">
      <c r="B15" s="125">
        <v>13.61</v>
      </c>
      <c r="C15" s="16"/>
      <c r="D15" s="323">
        <f t="shared" si="2"/>
        <v>0</v>
      </c>
      <c r="E15" s="119"/>
      <c r="F15" s="89">
        <f t="shared" si="3"/>
        <v>0</v>
      </c>
      <c r="G15" s="90"/>
      <c r="H15" s="91"/>
      <c r="I15" s="422">
        <f t="shared" si="4"/>
        <v>0</v>
      </c>
    </row>
    <row r="16" spans="1:10" x14ac:dyDescent="0.25">
      <c r="A16" s="121"/>
      <c r="B16" s="125">
        <v>13.61</v>
      </c>
      <c r="C16" s="16"/>
      <c r="D16" s="323">
        <f t="shared" si="2"/>
        <v>0</v>
      </c>
      <c r="E16" s="135"/>
      <c r="F16" s="89">
        <f t="shared" si="3"/>
        <v>0</v>
      </c>
      <c r="G16" s="90"/>
      <c r="H16" s="91"/>
      <c r="I16" s="422">
        <f t="shared" si="4"/>
        <v>0</v>
      </c>
    </row>
    <row r="17" spans="1:9" x14ac:dyDescent="0.25">
      <c r="A17" s="125"/>
      <c r="B17" s="125">
        <v>13.61</v>
      </c>
      <c r="C17" s="16"/>
      <c r="D17" s="323">
        <f t="shared" si="2"/>
        <v>0</v>
      </c>
      <c r="E17" s="135"/>
      <c r="F17" s="89">
        <f t="shared" si="3"/>
        <v>0</v>
      </c>
      <c r="G17" s="375"/>
      <c r="H17" s="91"/>
      <c r="I17" s="422">
        <f t="shared" si="4"/>
        <v>0</v>
      </c>
    </row>
    <row r="18" spans="1:9" x14ac:dyDescent="0.25">
      <c r="A18" s="2"/>
      <c r="B18" s="125">
        <v>13.61</v>
      </c>
      <c r="C18" s="16"/>
      <c r="D18" s="323">
        <f t="shared" si="2"/>
        <v>0</v>
      </c>
      <c r="E18" s="135"/>
      <c r="F18" s="89">
        <f t="shared" si="3"/>
        <v>0</v>
      </c>
      <c r="G18" s="90"/>
      <c r="H18" s="91"/>
      <c r="I18" s="422">
        <f t="shared" si="4"/>
        <v>0</v>
      </c>
    </row>
    <row r="19" spans="1:9" x14ac:dyDescent="0.25">
      <c r="A19" s="2"/>
      <c r="B19" s="125">
        <v>13.61</v>
      </c>
      <c r="C19" s="16"/>
      <c r="D19" s="323">
        <f t="shared" si="2"/>
        <v>0</v>
      </c>
      <c r="E19" s="135"/>
      <c r="F19" s="89">
        <f t="shared" si="3"/>
        <v>0</v>
      </c>
      <c r="G19" s="90"/>
      <c r="H19" s="91"/>
      <c r="I19" s="422">
        <f t="shared" si="4"/>
        <v>0</v>
      </c>
    </row>
    <row r="20" spans="1:9" x14ac:dyDescent="0.25">
      <c r="A20" s="2"/>
      <c r="B20" s="125">
        <v>13.61</v>
      </c>
      <c r="C20" s="16"/>
      <c r="D20" s="323">
        <f t="shared" si="2"/>
        <v>0</v>
      </c>
      <c r="E20" s="119"/>
      <c r="F20" s="89">
        <f t="shared" si="3"/>
        <v>0</v>
      </c>
      <c r="G20" s="90"/>
      <c r="H20" s="91"/>
      <c r="I20" s="422">
        <f t="shared" si="4"/>
        <v>0</v>
      </c>
    </row>
    <row r="21" spans="1:9" x14ac:dyDescent="0.25">
      <c r="A21" s="2"/>
      <c r="B21" s="125">
        <v>13.61</v>
      </c>
      <c r="C21" s="16"/>
      <c r="D21" s="323">
        <f t="shared" si="2"/>
        <v>0</v>
      </c>
      <c r="E21" s="119"/>
      <c r="F21" s="89">
        <f t="shared" si="3"/>
        <v>0</v>
      </c>
      <c r="G21" s="90"/>
      <c r="H21" s="91"/>
      <c r="I21" s="422">
        <f t="shared" si="4"/>
        <v>0</v>
      </c>
    </row>
    <row r="22" spans="1:9" x14ac:dyDescent="0.25">
      <c r="A22" s="2"/>
      <c r="B22" s="125">
        <v>13.61</v>
      </c>
      <c r="C22" s="16"/>
      <c r="D22" s="323">
        <f t="shared" si="2"/>
        <v>0</v>
      </c>
      <c r="E22" s="119"/>
      <c r="F22" s="89">
        <f t="shared" si="3"/>
        <v>0</v>
      </c>
      <c r="G22" s="90"/>
      <c r="H22" s="91"/>
      <c r="I22" s="422">
        <f t="shared" si="4"/>
        <v>0</v>
      </c>
    </row>
    <row r="23" spans="1:9" x14ac:dyDescent="0.25">
      <c r="A23" s="2"/>
      <c r="B23" s="125">
        <v>13.61</v>
      </c>
      <c r="C23" s="16"/>
      <c r="D23" s="323">
        <f t="shared" si="2"/>
        <v>0</v>
      </c>
      <c r="E23" s="119"/>
      <c r="F23" s="89">
        <f t="shared" si="3"/>
        <v>0</v>
      </c>
      <c r="G23" s="90"/>
      <c r="H23" s="91"/>
      <c r="I23" s="422">
        <f t="shared" si="4"/>
        <v>0</v>
      </c>
    </row>
    <row r="24" spans="1:9" x14ac:dyDescent="0.25">
      <c r="A24" s="2"/>
      <c r="B24" s="125">
        <v>13.61</v>
      </c>
      <c r="C24" s="16"/>
      <c r="D24" s="323">
        <f t="shared" si="2"/>
        <v>0</v>
      </c>
      <c r="E24" s="135"/>
      <c r="F24" s="89">
        <f t="shared" si="3"/>
        <v>0</v>
      </c>
      <c r="G24" s="90"/>
      <c r="H24" s="91"/>
      <c r="I24" s="422">
        <f t="shared" si="4"/>
        <v>0</v>
      </c>
    </row>
    <row r="25" spans="1:9" x14ac:dyDescent="0.25">
      <c r="A25" s="2"/>
      <c r="B25" s="125">
        <v>13.61</v>
      </c>
      <c r="C25" s="16"/>
      <c r="D25" s="323">
        <f t="shared" si="2"/>
        <v>0</v>
      </c>
      <c r="E25" s="135"/>
      <c r="F25" s="89">
        <f t="shared" si="3"/>
        <v>0</v>
      </c>
      <c r="G25" s="90"/>
      <c r="H25" s="91"/>
      <c r="I25" s="422">
        <f t="shared" si="4"/>
        <v>0</v>
      </c>
    </row>
    <row r="26" spans="1:9" x14ac:dyDescent="0.25">
      <c r="A26" s="2"/>
      <c r="B26" s="125">
        <v>13.61</v>
      </c>
      <c r="C26" s="16"/>
      <c r="D26" s="323">
        <f t="shared" si="2"/>
        <v>0</v>
      </c>
      <c r="E26" s="135"/>
      <c r="F26" s="89">
        <f t="shared" si="3"/>
        <v>0</v>
      </c>
      <c r="G26" s="90"/>
      <c r="H26" s="91"/>
      <c r="I26" s="422">
        <f t="shared" si="4"/>
        <v>0</v>
      </c>
    </row>
    <row r="27" spans="1:9" x14ac:dyDescent="0.25">
      <c r="A27" s="324"/>
      <c r="B27" s="125">
        <v>13.61</v>
      </c>
      <c r="C27" s="16"/>
      <c r="D27" s="323">
        <f t="shared" si="2"/>
        <v>0</v>
      </c>
      <c r="E27" s="135"/>
      <c r="F27" s="89">
        <f t="shared" si="3"/>
        <v>0</v>
      </c>
      <c r="G27" s="90"/>
      <c r="H27" s="91"/>
      <c r="I27" s="422">
        <f t="shared" si="4"/>
        <v>0</v>
      </c>
    </row>
    <row r="28" spans="1:9" x14ac:dyDescent="0.25">
      <c r="A28" s="324"/>
      <c r="B28" s="125">
        <v>13.61</v>
      </c>
      <c r="C28" s="16"/>
      <c r="D28" s="323">
        <f t="shared" si="2"/>
        <v>0</v>
      </c>
      <c r="E28" s="119"/>
      <c r="F28" s="89">
        <f t="shared" si="3"/>
        <v>0</v>
      </c>
      <c r="G28" s="90"/>
      <c r="H28" s="91"/>
      <c r="I28" s="422">
        <f t="shared" si="4"/>
        <v>0</v>
      </c>
    </row>
    <row r="29" spans="1:9" x14ac:dyDescent="0.25">
      <c r="A29" s="324"/>
      <c r="B29" s="125">
        <v>13.61</v>
      </c>
      <c r="C29" s="16"/>
      <c r="D29" s="323">
        <f t="shared" si="2"/>
        <v>0</v>
      </c>
      <c r="E29" s="119"/>
      <c r="F29" s="89">
        <f t="shared" si="3"/>
        <v>0</v>
      </c>
      <c r="G29" s="90"/>
      <c r="H29" s="91"/>
      <c r="I29" s="422">
        <f t="shared" si="4"/>
        <v>0</v>
      </c>
    </row>
    <row r="30" spans="1:9" x14ac:dyDescent="0.25">
      <c r="A30" s="324"/>
      <c r="B30" s="125">
        <v>13.61</v>
      </c>
      <c r="C30" s="16"/>
      <c r="D30" s="323">
        <f t="shared" si="2"/>
        <v>0</v>
      </c>
      <c r="E30" s="119"/>
      <c r="F30" s="89">
        <f t="shared" si="3"/>
        <v>0</v>
      </c>
      <c r="G30" s="90"/>
      <c r="H30" s="91"/>
      <c r="I30" s="422">
        <f t="shared" si="4"/>
        <v>0</v>
      </c>
    </row>
    <row r="31" spans="1:9" x14ac:dyDescent="0.25">
      <c r="A31" s="324"/>
      <c r="B31" s="125">
        <v>13.61</v>
      </c>
      <c r="C31" s="16"/>
      <c r="D31" s="323">
        <f t="shared" si="2"/>
        <v>0</v>
      </c>
      <c r="E31" s="119"/>
      <c r="F31" s="89">
        <f t="shared" si="3"/>
        <v>0</v>
      </c>
      <c r="G31" s="90"/>
      <c r="H31" s="91"/>
      <c r="I31" s="422">
        <f t="shared" si="4"/>
        <v>0</v>
      </c>
    </row>
    <row r="32" spans="1:9" x14ac:dyDescent="0.25">
      <c r="A32" s="2"/>
      <c r="B32" s="125">
        <v>13.61</v>
      </c>
      <c r="C32" s="16"/>
      <c r="D32" s="323">
        <f t="shared" si="2"/>
        <v>0</v>
      </c>
      <c r="E32" s="119"/>
      <c r="F32" s="89">
        <f t="shared" si="3"/>
        <v>0</v>
      </c>
      <c r="G32" s="90"/>
      <c r="H32" s="91"/>
      <c r="I32" s="422">
        <f t="shared" si="4"/>
        <v>0</v>
      </c>
    </row>
    <row r="33" spans="1:9" x14ac:dyDescent="0.25">
      <c r="A33" s="2"/>
      <c r="B33" s="125">
        <v>13.61</v>
      </c>
      <c r="C33" s="16"/>
      <c r="D33" s="323">
        <f t="shared" si="2"/>
        <v>0</v>
      </c>
      <c r="E33" s="119"/>
      <c r="F33" s="89">
        <f t="shared" si="3"/>
        <v>0</v>
      </c>
      <c r="G33" s="90"/>
      <c r="H33" s="91"/>
      <c r="I33" s="422">
        <f t="shared" si="4"/>
        <v>0</v>
      </c>
    </row>
    <row r="34" spans="1:9" x14ac:dyDescent="0.25">
      <c r="A34" s="2"/>
      <c r="B34" s="125">
        <v>13.61</v>
      </c>
      <c r="C34" s="16"/>
      <c r="D34" s="323">
        <f t="shared" si="2"/>
        <v>0</v>
      </c>
      <c r="E34" s="119"/>
      <c r="F34" s="89">
        <f t="shared" si="3"/>
        <v>0</v>
      </c>
      <c r="G34" s="90"/>
      <c r="H34" s="91"/>
      <c r="I34" s="422">
        <f t="shared" si="4"/>
        <v>0</v>
      </c>
    </row>
    <row r="35" spans="1:9" x14ac:dyDescent="0.25">
      <c r="A35" s="2"/>
      <c r="B35" s="125">
        <v>13.61</v>
      </c>
      <c r="C35" s="16"/>
      <c r="D35" s="323">
        <f t="shared" si="2"/>
        <v>0</v>
      </c>
      <c r="E35" s="126"/>
      <c r="F35" s="89">
        <f t="shared" si="3"/>
        <v>0</v>
      </c>
      <c r="G35" s="90"/>
      <c r="H35" s="91"/>
      <c r="I35" s="422">
        <f t="shared" si="4"/>
        <v>0</v>
      </c>
    </row>
    <row r="36" spans="1:9" x14ac:dyDescent="0.25">
      <c r="A36" s="2"/>
      <c r="B36" s="125">
        <v>13.61</v>
      </c>
      <c r="C36" s="16"/>
      <c r="D36" s="323">
        <f t="shared" si="2"/>
        <v>0</v>
      </c>
      <c r="E36" s="126"/>
      <c r="F36" s="89">
        <f t="shared" si="3"/>
        <v>0</v>
      </c>
      <c r="G36" s="90"/>
      <c r="H36" s="91"/>
      <c r="I36" s="422">
        <f t="shared" si="4"/>
        <v>0</v>
      </c>
    </row>
    <row r="37" spans="1:9" x14ac:dyDescent="0.25">
      <c r="A37" s="2"/>
      <c r="B37" s="125">
        <v>13.61</v>
      </c>
      <c r="C37" s="16"/>
      <c r="D37" s="323">
        <f t="shared" si="2"/>
        <v>0</v>
      </c>
      <c r="E37" s="126"/>
      <c r="F37" s="89">
        <f t="shared" si="3"/>
        <v>0</v>
      </c>
      <c r="G37" s="90"/>
      <c r="H37" s="91"/>
      <c r="I37" s="422">
        <f t="shared" si="4"/>
        <v>0</v>
      </c>
    </row>
    <row r="38" spans="1:9" x14ac:dyDescent="0.25">
      <c r="A38" s="2"/>
      <c r="B38" s="125">
        <v>13.61</v>
      </c>
      <c r="C38" s="16"/>
      <c r="D38" s="323">
        <f t="shared" si="2"/>
        <v>0</v>
      </c>
      <c r="E38" s="126"/>
      <c r="F38" s="89">
        <f t="shared" si="3"/>
        <v>0</v>
      </c>
      <c r="G38" s="90"/>
      <c r="H38" s="91"/>
      <c r="I38" s="422">
        <f t="shared" si="4"/>
        <v>0</v>
      </c>
    </row>
    <row r="39" spans="1:9" x14ac:dyDescent="0.25">
      <c r="A39" s="2"/>
      <c r="B39" s="125">
        <v>13.61</v>
      </c>
      <c r="C39" s="16"/>
      <c r="D39" s="323">
        <f t="shared" si="2"/>
        <v>0</v>
      </c>
      <c r="E39" s="126"/>
      <c r="F39" s="89">
        <f t="shared" si="3"/>
        <v>0</v>
      </c>
      <c r="G39" s="90"/>
      <c r="H39" s="91"/>
      <c r="I39" s="422">
        <f t="shared" si="4"/>
        <v>0</v>
      </c>
    </row>
    <row r="40" spans="1:9" x14ac:dyDescent="0.25">
      <c r="A40" s="2"/>
      <c r="B40" s="125">
        <v>13.61</v>
      </c>
      <c r="C40" s="16"/>
      <c r="D40" s="323">
        <f t="shared" si="2"/>
        <v>0</v>
      </c>
      <c r="E40" s="126"/>
      <c r="F40" s="89">
        <f t="shared" si="3"/>
        <v>0</v>
      </c>
      <c r="G40" s="90"/>
      <c r="H40" s="91"/>
      <c r="I40" s="422">
        <f t="shared" si="4"/>
        <v>0</v>
      </c>
    </row>
    <row r="41" spans="1:9" x14ac:dyDescent="0.25">
      <c r="A41" s="2"/>
      <c r="B41" s="125">
        <v>13.61</v>
      </c>
      <c r="C41" s="16"/>
      <c r="D41" s="323">
        <f t="shared" si="2"/>
        <v>0</v>
      </c>
      <c r="E41" s="126"/>
      <c r="F41" s="89">
        <f t="shared" si="3"/>
        <v>0</v>
      </c>
      <c r="G41" s="90"/>
      <c r="H41" s="91"/>
      <c r="I41" s="422">
        <f t="shared" si="4"/>
        <v>0</v>
      </c>
    </row>
    <row r="42" spans="1:9" x14ac:dyDescent="0.25">
      <c r="A42" s="2"/>
      <c r="B42" s="125">
        <v>13.61</v>
      </c>
      <c r="C42" s="16"/>
      <c r="D42" s="323">
        <f t="shared" si="2"/>
        <v>0</v>
      </c>
      <c r="E42" s="126"/>
      <c r="F42" s="89">
        <f t="shared" si="3"/>
        <v>0</v>
      </c>
      <c r="G42" s="90"/>
      <c r="H42" s="91"/>
      <c r="I42" s="422">
        <f t="shared" si="4"/>
        <v>0</v>
      </c>
    </row>
    <row r="43" spans="1:9" x14ac:dyDescent="0.25">
      <c r="A43" s="2"/>
      <c r="B43" s="125">
        <v>13.61</v>
      </c>
      <c r="C43" s="16"/>
      <c r="D43" s="323">
        <f t="shared" si="2"/>
        <v>0</v>
      </c>
      <c r="E43" s="126"/>
      <c r="F43" s="89">
        <f t="shared" si="3"/>
        <v>0</v>
      </c>
      <c r="G43" s="90"/>
      <c r="H43" s="91"/>
      <c r="I43" s="422">
        <f t="shared" si="4"/>
        <v>0</v>
      </c>
    </row>
    <row r="44" spans="1:9" x14ac:dyDescent="0.25">
      <c r="A44" s="2"/>
      <c r="B44" s="125">
        <v>13.61</v>
      </c>
      <c r="C44" s="16"/>
      <c r="D44" s="323">
        <f t="shared" si="2"/>
        <v>0</v>
      </c>
      <c r="E44" s="126"/>
      <c r="F44" s="89">
        <f t="shared" si="3"/>
        <v>0</v>
      </c>
      <c r="G44" s="90"/>
      <c r="H44" s="91"/>
      <c r="I44" s="422">
        <f t="shared" si="4"/>
        <v>0</v>
      </c>
    </row>
    <row r="45" spans="1:9" x14ac:dyDescent="0.25">
      <c r="A45" s="2"/>
      <c r="B45" s="125">
        <v>13.61</v>
      </c>
      <c r="C45" s="16"/>
      <c r="D45" s="323">
        <f t="shared" si="2"/>
        <v>0</v>
      </c>
      <c r="E45" s="126"/>
      <c r="F45" s="89">
        <f t="shared" si="3"/>
        <v>0</v>
      </c>
      <c r="G45" s="90"/>
      <c r="H45" s="91"/>
      <c r="I45" s="422">
        <f t="shared" si="4"/>
        <v>0</v>
      </c>
    </row>
    <row r="46" spans="1:9" x14ac:dyDescent="0.25">
      <c r="A46" s="2"/>
      <c r="B46" s="125">
        <v>13.61</v>
      </c>
      <c r="C46" s="16"/>
      <c r="D46" s="323">
        <f t="shared" si="2"/>
        <v>0</v>
      </c>
      <c r="E46" s="126"/>
      <c r="F46" s="89">
        <f t="shared" si="3"/>
        <v>0</v>
      </c>
      <c r="G46" s="90"/>
      <c r="H46" s="91"/>
      <c r="I46" s="422">
        <f t="shared" si="4"/>
        <v>0</v>
      </c>
    </row>
    <row r="47" spans="1:9" x14ac:dyDescent="0.25">
      <c r="A47" s="2"/>
      <c r="B47" s="125">
        <v>13.61</v>
      </c>
      <c r="C47" s="16"/>
      <c r="D47" s="323">
        <f t="shared" si="2"/>
        <v>0</v>
      </c>
      <c r="E47" s="126"/>
      <c r="F47" s="89">
        <f t="shared" si="3"/>
        <v>0</v>
      </c>
      <c r="G47" s="90"/>
      <c r="H47" s="91"/>
      <c r="I47" s="422">
        <f t="shared" si="4"/>
        <v>0</v>
      </c>
    </row>
    <row r="48" spans="1:9" x14ac:dyDescent="0.25">
      <c r="A48" s="2"/>
      <c r="B48" s="125">
        <v>13.61</v>
      </c>
      <c r="C48" s="16"/>
      <c r="D48" s="323">
        <f t="shared" si="2"/>
        <v>0</v>
      </c>
      <c r="E48" s="126"/>
      <c r="F48" s="89">
        <f t="shared" si="3"/>
        <v>0</v>
      </c>
      <c r="G48" s="90"/>
      <c r="H48" s="91"/>
      <c r="I48" s="422">
        <f t="shared" si="4"/>
        <v>0</v>
      </c>
    </row>
    <row r="49" spans="1:9" x14ac:dyDescent="0.25">
      <c r="A49" s="2"/>
      <c r="B49" s="125">
        <v>13.61</v>
      </c>
      <c r="C49" s="16"/>
      <c r="D49" s="323">
        <f t="shared" si="2"/>
        <v>0</v>
      </c>
      <c r="E49" s="126"/>
      <c r="F49" s="89">
        <f t="shared" si="3"/>
        <v>0</v>
      </c>
      <c r="G49" s="90"/>
      <c r="H49" s="91"/>
      <c r="I49" s="422">
        <f t="shared" si="4"/>
        <v>0</v>
      </c>
    </row>
    <row r="50" spans="1:9" x14ac:dyDescent="0.25">
      <c r="A50" s="2"/>
      <c r="B50" s="125">
        <v>13.61</v>
      </c>
      <c r="C50" s="16"/>
      <c r="D50" s="323">
        <f t="shared" si="2"/>
        <v>0</v>
      </c>
      <c r="E50" s="126"/>
      <c r="F50" s="89">
        <f t="shared" si="3"/>
        <v>0</v>
      </c>
      <c r="G50" s="90"/>
      <c r="H50" s="91"/>
      <c r="I50" s="422">
        <f t="shared" si="4"/>
        <v>0</v>
      </c>
    </row>
    <row r="51" spans="1:9" x14ac:dyDescent="0.25">
      <c r="A51" s="2"/>
      <c r="B51" s="125">
        <v>13.61</v>
      </c>
      <c r="C51" s="16"/>
      <c r="D51" s="323">
        <f t="shared" si="2"/>
        <v>0</v>
      </c>
      <c r="E51" s="126"/>
      <c r="F51" s="89">
        <f t="shared" si="3"/>
        <v>0</v>
      </c>
      <c r="G51" s="90"/>
      <c r="H51" s="91"/>
      <c r="I51" s="422">
        <f t="shared" si="4"/>
        <v>0</v>
      </c>
    </row>
    <row r="52" spans="1:9" x14ac:dyDescent="0.25">
      <c r="A52" s="2"/>
      <c r="B52" s="125">
        <v>13.61</v>
      </c>
      <c r="C52" s="16"/>
      <c r="D52" s="323">
        <f t="shared" si="2"/>
        <v>0</v>
      </c>
      <c r="E52" s="126"/>
      <c r="F52" s="89">
        <f t="shared" si="3"/>
        <v>0</v>
      </c>
      <c r="G52" s="90"/>
      <c r="H52" s="91"/>
      <c r="I52" s="422">
        <f t="shared" si="4"/>
        <v>0</v>
      </c>
    </row>
    <row r="53" spans="1:9" x14ac:dyDescent="0.25">
      <c r="A53" s="2"/>
      <c r="B53" s="125">
        <v>13.61</v>
      </c>
      <c r="C53" s="16"/>
      <c r="D53" s="323">
        <f t="shared" si="2"/>
        <v>0</v>
      </c>
      <c r="E53" s="126"/>
      <c r="F53" s="89">
        <f t="shared" si="3"/>
        <v>0</v>
      </c>
      <c r="G53" s="90"/>
      <c r="H53" s="91"/>
      <c r="I53" s="422">
        <f t="shared" si="4"/>
        <v>0</v>
      </c>
    </row>
    <row r="54" spans="1:9" x14ac:dyDescent="0.25">
      <c r="A54" s="2"/>
      <c r="B54" s="125">
        <v>13.61</v>
      </c>
      <c r="C54" s="16"/>
      <c r="D54" s="323">
        <f t="shared" si="2"/>
        <v>0</v>
      </c>
      <c r="E54" s="126"/>
      <c r="F54" s="89">
        <f t="shared" si="3"/>
        <v>0</v>
      </c>
      <c r="G54" s="90"/>
      <c r="H54" s="91"/>
      <c r="I54" s="422">
        <f t="shared" si="4"/>
        <v>0</v>
      </c>
    </row>
    <row r="55" spans="1:9" x14ac:dyDescent="0.25">
      <c r="A55" s="2"/>
      <c r="B55" s="125">
        <v>13.61</v>
      </c>
      <c r="C55" s="16"/>
      <c r="D55" s="323">
        <f t="shared" si="2"/>
        <v>0</v>
      </c>
      <c r="E55" s="126"/>
      <c r="F55" s="89">
        <f t="shared" si="3"/>
        <v>0</v>
      </c>
      <c r="G55" s="90"/>
      <c r="H55" s="91"/>
      <c r="I55" s="422">
        <f t="shared" si="4"/>
        <v>0</v>
      </c>
    </row>
    <row r="56" spans="1:9" x14ac:dyDescent="0.25">
      <c r="A56" s="2"/>
      <c r="B56" s="125">
        <v>13.61</v>
      </c>
      <c r="C56" s="16"/>
      <c r="D56" s="323">
        <f t="shared" si="2"/>
        <v>0</v>
      </c>
      <c r="E56" s="126"/>
      <c r="F56" s="89">
        <f t="shared" si="3"/>
        <v>0</v>
      </c>
      <c r="G56" s="90"/>
      <c r="H56" s="91"/>
      <c r="I56" s="422">
        <f t="shared" si="4"/>
        <v>0</v>
      </c>
    </row>
    <row r="57" spans="1:9" x14ac:dyDescent="0.25">
      <c r="A57" s="2"/>
      <c r="B57" s="125">
        <v>13.61</v>
      </c>
      <c r="C57" s="16"/>
      <c r="D57" s="323">
        <f t="shared" si="2"/>
        <v>0</v>
      </c>
      <c r="E57" s="126"/>
      <c r="F57" s="89">
        <f t="shared" si="3"/>
        <v>0</v>
      </c>
      <c r="G57" s="90"/>
      <c r="H57" s="91"/>
      <c r="I57" s="422">
        <f t="shared" si="4"/>
        <v>0</v>
      </c>
    </row>
    <row r="58" spans="1:9" x14ac:dyDescent="0.25">
      <c r="A58" s="2"/>
      <c r="B58" s="125">
        <v>13.61</v>
      </c>
      <c r="C58" s="16"/>
      <c r="D58" s="323">
        <f t="shared" si="2"/>
        <v>0</v>
      </c>
      <c r="E58" s="126"/>
      <c r="F58" s="89">
        <f t="shared" si="3"/>
        <v>0</v>
      </c>
      <c r="G58" s="90"/>
      <c r="H58" s="91"/>
      <c r="I58" s="422">
        <f t="shared" si="4"/>
        <v>0</v>
      </c>
    </row>
    <row r="59" spans="1:9" x14ac:dyDescent="0.25">
      <c r="A59" s="2"/>
      <c r="B59" s="125">
        <v>13.61</v>
      </c>
      <c r="C59" s="16"/>
      <c r="D59" s="323">
        <f t="shared" si="2"/>
        <v>0</v>
      </c>
      <c r="E59" s="126"/>
      <c r="F59" s="89">
        <f t="shared" si="3"/>
        <v>0</v>
      </c>
      <c r="G59" s="90"/>
      <c r="H59" s="91"/>
      <c r="I59" s="422">
        <f t="shared" si="4"/>
        <v>0</v>
      </c>
    </row>
    <row r="60" spans="1:9" x14ac:dyDescent="0.25">
      <c r="A60" s="2"/>
      <c r="B60" s="125">
        <v>13.61</v>
      </c>
      <c r="C60" s="16"/>
      <c r="D60" s="323">
        <f t="shared" si="2"/>
        <v>0</v>
      </c>
      <c r="E60" s="126"/>
      <c r="F60" s="89">
        <f t="shared" si="3"/>
        <v>0</v>
      </c>
      <c r="G60" s="90"/>
      <c r="H60" s="91"/>
      <c r="I60" s="422">
        <f t="shared" si="4"/>
        <v>0</v>
      </c>
    </row>
    <row r="61" spans="1:9" x14ac:dyDescent="0.25">
      <c r="A61" s="2"/>
      <c r="B61" s="125">
        <v>13.61</v>
      </c>
      <c r="C61" s="16"/>
      <c r="D61" s="323">
        <f t="shared" si="2"/>
        <v>0</v>
      </c>
      <c r="E61" s="126"/>
      <c r="F61" s="89">
        <f t="shared" si="3"/>
        <v>0</v>
      </c>
      <c r="G61" s="90"/>
      <c r="H61" s="91"/>
      <c r="I61" s="422">
        <f t="shared" si="4"/>
        <v>0</v>
      </c>
    </row>
    <row r="62" spans="1:9" x14ac:dyDescent="0.25">
      <c r="A62" s="2"/>
      <c r="B62" s="125">
        <v>13.61</v>
      </c>
      <c r="C62" s="16"/>
      <c r="D62" s="323">
        <f t="shared" si="2"/>
        <v>0</v>
      </c>
      <c r="E62" s="126"/>
      <c r="F62" s="89">
        <f t="shared" si="3"/>
        <v>0</v>
      </c>
      <c r="G62" s="90"/>
      <c r="H62" s="91"/>
      <c r="I62" s="422">
        <f t="shared" si="4"/>
        <v>0</v>
      </c>
    </row>
    <row r="63" spans="1:9" x14ac:dyDescent="0.25">
      <c r="A63" s="2"/>
      <c r="B63" s="125">
        <v>13.61</v>
      </c>
      <c r="C63" s="16"/>
      <c r="D63" s="323">
        <f t="shared" si="2"/>
        <v>0</v>
      </c>
      <c r="E63" s="126"/>
      <c r="F63" s="89">
        <f t="shared" si="3"/>
        <v>0</v>
      </c>
      <c r="G63" s="90"/>
      <c r="H63" s="91"/>
      <c r="I63" s="422">
        <f t="shared" si="4"/>
        <v>0</v>
      </c>
    </row>
    <row r="64" spans="1:9" x14ac:dyDescent="0.25">
      <c r="A64" s="2"/>
      <c r="B64" s="125">
        <v>13.61</v>
      </c>
      <c r="C64" s="16"/>
      <c r="D64" s="323">
        <f t="shared" si="2"/>
        <v>0</v>
      </c>
      <c r="E64" s="126"/>
      <c r="F64" s="89">
        <f t="shared" si="3"/>
        <v>0</v>
      </c>
      <c r="G64" s="90"/>
      <c r="H64" s="91"/>
      <c r="I64" s="422">
        <f t="shared" si="4"/>
        <v>0</v>
      </c>
    </row>
    <row r="65" spans="1:9" x14ac:dyDescent="0.25">
      <c r="A65" s="2"/>
      <c r="B65" s="125">
        <v>13.61</v>
      </c>
      <c r="C65" s="16"/>
      <c r="D65" s="323">
        <f t="shared" si="2"/>
        <v>0</v>
      </c>
      <c r="E65" s="126"/>
      <c r="F65" s="89">
        <f t="shared" si="3"/>
        <v>0</v>
      </c>
      <c r="G65" s="90"/>
      <c r="H65" s="91"/>
      <c r="I65" s="422">
        <f t="shared" si="4"/>
        <v>0</v>
      </c>
    </row>
    <row r="66" spans="1:9" x14ac:dyDescent="0.25">
      <c r="A66" s="2"/>
      <c r="B66" s="125">
        <v>13.61</v>
      </c>
      <c r="C66" s="16"/>
      <c r="D66" s="323">
        <f t="shared" si="2"/>
        <v>0</v>
      </c>
      <c r="E66" s="126"/>
      <c r="F66" s="89">
        <f t="shared" si="3"/>
        <v>0</v>
      </c>
      <c r="G66" s="90"/>
      <c r="H66" s="91"/>
      <c r="I66" s="422">
        <f t="shared" si="4"/>
        <v>0</v>
      </c>
    </row>
    <row r="67" spans="1:9" x14ac:dyDescent="0.25">
      <c r="A67" s="2"/>
      <c r="B67" s="125">
        <v>13.61</v>
      </c>
      <c r="C67" s="16"/>
      <c r="D67" s="323">
        <f t="shared" si="2"/>
        <v>0</v>
      </c>
      <c r="E67" s="126"/>
      <c r="F67" s="89">
        <f t="shared" si="3"/>
        <v>0</v>
      </c>
      <c r="G67" s="90"/>
      <c r="H67" s="91"/>
      <c r="I67" s="422">
        <f t="shared" si="4"/>
        <v>0</v>
      </c>
    </row>
    <row r="68" spans="1:9" x14ac:dyDescent="0.25">
      <c r="A68" s="2"/>
      <c r="B68" s="125">
        <v>13.61</v>
      </c>
      <c r="C68" s="16"/>
      <c r="D68" s="323">
        <f t="shared" si="2"/>
        <v>0</v>
      </c>
      <c r="E68" s="126"/>
      <c r="F68" s="89">
        <f t="shared" si="3"/>
        <v>0</v>
      </c>
      <c r="G68" s="90"/>
      <c r="H68" s="91"/>
      <c r="I68" s="422">
        <f t="shared" si="4"/>
        <v>0</v>
      </c>
    </row>
    <row r="69" spans="1:9" x14ac:dyDescent="0.25">
      <c r="A69" s="2"/>
      <c r="B69" s="125">
        <v>13.61</v>
      </c>
      <c r="C69" s="16"/>
      <c r="D69" s="323">
        <f t="shared" si="2"/>
        <v>0</v>
      </c>
      <c r="E69" s="126"/>
      <c r="F69" s="89">
        <f t="shared" si="3"/>
        <v>0</v>
      </c>
      <c r="G69" s="90"/>
      <c r="H69" s="91"/>
      <c r="I69" s="422">
        <f t="shared" si="4"/>
        <v>0</v>
      </c>
    </row>
    <row r="70" spans="1:9" x14ac:dyDescent="0.25">
      <c r="A70" s="2"/>
      <c r="B70" s="125">
        <v>13.61</v>
      </c>
      <c r="C70" s="16"/>
      <c r="D70" s="323">
        <f t="shared" si="2"/>
        <v>0</v>
      </c>
      <c r="E70" s="126"/>
      <c r="F70" s="89">
        <f t="shared" si="3"/>
        <v>0</v>
      </c>
      <c r="G70" s="90"/>
      <c r="H70" s="91"/>
      <c r="I70" s="422">
        <f t="shared" si="4"/>
        <v>0</v>
      </c>
    </row>
    <row r="71" spans="1:9" x14ac:dyDescent="0.25">
      <c r="A71" s="2"/>
      <c r="B71" s="125">
        <v>13.61</v>
      </c>
      <c r="C71" s="16"/>
      <c r="D71" s="323">
        <f t="shared" si="2"/>
        <v>0</v>
      </c>
      <c r="E71" s="126"/>
      <c r="F71" s="89">
        <f t="shared" si="3"/>
        <v>0</v>
      </c>
      <c r="G71" s="90"/>
      <c r="H71" s="91"/>
      <c r="I71" s="422">
        <f t="shared" si="4"/>
        <v>0</v>
      </c>
    </row>
    <row r="72" spans="1:9" x14ac:dyDescent="0.25">
      <c r="A72" s="2"/>
      <c r="B72" s="125">
        <v>13.61</v>
      </c>
      <c r="C72" s="16"/>
      <c r="D72" s="323">
        <f t="shared" si="2"/>
        <v>0</v>
      </c>
      <c r="E72" s="126"/>
      <c r="F72" s="89">
        <f t="shared" ref="F72:F92" si="5">D72</f>
        <v>0</v>
      </c>
      <c r="G72" s="90"/>
      <c r="H72" s="91"/>
      <c r="I72" s="422">
        <f t="shared" si="4"/>
        <v>0</v>
      </c>
    </row>
    <row r="73" spans="1:9" x14ac:dyDescent="0.25">
      <c r="A73" s="2"/>
      <c r="B73" s="125">
        <v>13.61</v>
      </c>
      <c r="C73" s="16"/>
      <c r="D73" s="323">
        <f t="shared" ref="D73:D91" si="6">C73*B73</f>
        <v>0</v>
      </c>
      <c r="E73" s="126"/>
      <c r="F73" s="89">
        <f t="shared" si="5"/>
        <v>0</v>
      </c>
      <c r="G73" s="90"/>
      <c r="H73" s="91"/>
      <c r="I73" s="422">
        <f t="shared" si="4"/>
        <v>0</v>
      </c>
    </row>
    <row r="74" spans="1:9" x14ac:dyDescent="0.25">
      <c r="A74" s="2"/>
      <c r="B74" s="125">
        <v>13.61</v>
      </c>
      <c r="C74" s="16"/>
      <c r="D74" s="323">
        <f t="shared" si="6"/>
        <v>0</v>
      </c>
      <c r="E74" s="126"/>
      <c r="F74" s="89">
        <f t="shared" si="5"/>
        <v>0</v>
      </c>
      <c r="G74" s="90"/>
      <c r="H74" s="91"/>
      <c r="I74" s="422">
        <f t="shared" ref="I74:I91" si="7">I73-F74</f>
        <v>0</v>
      </c>
    </row>
    <row r="75" spans="1:9" x14ac:dyDescent="0.25">
      <c r="A75" s="2"/>
      <c r="B75" s="125">
        <v>13.61</v>
      </c>
      <c r="C75" s="16"/>
      <c r="D75" s="323">
        <f t="shared" si="6"/>
        <v>0</v>
      </c>
      <c r="E75" s="126"/>
      <c r="F75" s="89">
        <f t="shared" si="5"/>
        <v>0</v>
      </c>
      <c r="G75" s="90"/>
      <c r="H75" s="91"/>
      <c r="I75" s="422">
        <f t="shared" si="7"/>
        <v>0</v>
      </c>
    </row>
    <row r="76" spans="1:9" x14ac:dyDescent="0.25">
      <c r="A76" s="2"/>
      <c r="B76" s="125">
        <v>13.61</v>
      </c>
      <c r="C76" s="16"/>
      <c r="D76" s="323">
        <f t="shared" si="6"/>
        <v>0</v>
      </c>
      <c r="E76" s="126"/>
      <c r="F76" s="89">
        <f t="shared" si="5"/>
        <v>0</v>
      </c>
      <c r="G76" s="90"/>
      <c r="H76" s="91"/>
      <c r="I76" s="422">
        <f t="shared" si="7"/>
        <v>0</v>
      </c>
    </row>
    <row r="77" spans="1:9" x14ac:dyDescent="0.25">
      <c r="A77" s="2"/>
      <c r="B77" s="125">
        <v>13.61</v>
      </c>
      <c r="C77" s="16"/>
      <c r="D77" s="323">
        <f t="shared" si="6"/>
        <v>0</v>
      </c>
      <c r="E77" s="126"/>
      <c r="F77" s="89">
        <f t="shared" si="5"/>
        <v>0</v>
      </c>
      <c r="G77" s="90"/>
      <c r="H77" s="91"/>
      <c r="I77" s="422">
        <f t="shared" si="7"/>
        <v>0</v>
      </c>
    </row>
    <row r="78" spans="1:9" x14ac:dyDescent="0.25">
      <c r="A78" s="2"/>
      <c r="B78" s="125">
        <v>13.61</v>
      </c>
      <c r="C78" s="16"/>
      <c r="D78" s="323">
        <f t="shared" si="6"/>
        <v>0</v>
      </c>
      <c r="E78" s="126"/>
      <c r="F78" s="89">
        <f t="shared" si="5"/>
        <v>0</v>
      </c>
      <c r="G78" s="90"/>
      <c r="H78" s="91"/>
      <c r="I78" s="422">
        <f t="shared" si="7"/>
        <v>0</v>
      </c>
    </row>
    <row r="79" spans="1:9" x14ac:dyDescent="0.25">
      <c r="A79" s="2"/>
      <c r="B79" s="125">
        <v>13.61</v>
      </c>
      <c r="C79" s="16"/>
      <c r="D79" s="323">
        <f t="shared" si="6"/>
        <v>0</v>
      </c>
      <c r="E79" s="126"/>
      <c r="F79" s="89">
        <f t="shared" si="5"/>
        <v>0</v>
      </c>
      <c r="G79" s="90"/>
      <c r="H79" s="91"/>
      <c r="I79" s="422">
        <f t="shared" si="7"/>
        <v>0</v>
      </c>
    </row>
    <row r="80" spans="1:9" x14ac:dyDescent="0.25">
      <c r="A80" s="2"/>
      <c r="B80" s="125">
        <v>13.61</v>
      </c>
      <c r="C80" s="16"/>
      <c r="D80" s="323">
        <f t="shared" si="6"/>
        <v>0</v>
      </c>
      <c r="E80" s="126"/>
      <c r="F80" s="89">
        <f t="shared" si="5"/>
        <v>0</v>
      </c>
      <c r="G80" s="90"/>
      <c r="H80" s="91"/>
      <c r="I80" s="422">
        <f t="shared" si="7"/>
        <v>0</v>
      </c>
    </row>
    <row r="81" spans="1:9" x14ac:dyDescent="0.25">
      <c r="A81" s="2"/>
      <c r="B81" s="125">
        <v>13.61</v>
      </c>
      <c r="C81" s="16"/>
      <c r="D81" s="323">
        <f t="shared" si="6"/>
        <v>0</v>
      </c>
      <c r="E81" s="126"/>
      <c r="F81" s="89">
        <f t="shared" si="5"/>
        <v>0</v>
      </c>
      <c r="G81" s="90"/>
      <c r="H81" s="91"/>
      <c r="I81" s="422">
        <f t="shared" si="7"/>
        <v>0</v>
      </c>
    </row>
    <row r="82" spans="1:9" x14ac:dyDescent="0.25">
      <c r="A82" s="2"/>
      <c r="B82" s="125">
        <v>13.61</v>
      </c>
      <c r="C82" s="16"/>
      <c r="D82" s="323">
        <f t="shared" si="6"/>
        <v>0</v>
      </c>
      <c r="E82" s="126"/>
      <c r="F82" s="89">
        <f t="shared" si="5"/>
        <v>0</v>
      </c>
      <c r="G82" s="90"/>
      <c r="H82" s="91"/>
      <c r="I82" s="422">
        <f t="shared" si="7"/>
        <v>0</v>
      </c>
    </row>
    <row r="83" spans="1:9" x14ac:dyDescent="0.25">
      <c r="A83" s="2"/>
      <c r="B83" s="125">
        <v>13.61</v>
      </c>
      <c r="C83" s="16"/>
      <c r="D83" s="323">
        <f t="shared" si="6"/>
        <v>0</v>
      </c>
      <c r="E83" s="126"/>
      <c r="F83" s="89">
        <f t="shared" si="5"/>
        <v>0</v>
      </c>
      <c r="G83" s="90"/>
      <c r="H83" s="91"/>
      <c r="I83" s="422">
        <f t="shared" si="7"/>
        <v>0</v>
      </c>
    </row>
    <row r="84" spans="1:9" x14ac:dyDescent="0.25">
      <c r="A84" s="2"/>
      <c r="B84" s="125">
        <v>13.61</v>
      </c>
      <c r="C84" s="16"/>
      <c r="D84" s="414">
        <f t="shared" si="6"/>
        <v>0</v>
      </c>
      <c r="E84" s="415"/>
      <c r="F84" s="412">
        <f t="shared" si="5"/>
        <v>0</v>
      </c>
      <c r="G84" s="413"/>
      <c r="H84" s="285"/>
      <c r="I84" s="422">
        <f t="shared" si="7"/>
        <v>0</v>
      </c>
    </row>
    <row r="85" spans="1:9" x14ac:dyDescent="0.25">
      <c r="A85" s="2"/>
      <c r="B85" s="125">
        <v>13.61</v>
      </c>
      <c r="C85" s="16"/>
      <c r="D85" s="414">
        <f t="shared" si="6"/>
        <v>0</v>
      </c>
      <c r="E85" s="415"/>
      <c r="F85" s="412">
        <f t="shared" si="5"/>
        <v>0</v>
      </c>
      <c r="G85" s="413"/>
      <c r="H85" s="285"/>
      <c r="I85" s="422">
        <f t="shared" si="7"/>
        <v>0</v>
      </c>
    </row>
    <row r="86" spans="1:9" x14ac:dyDescent="0.25">
      <c r="A86" s="2"/>
      <c r="B86" s="125">
        <v>13.61</v>
      </c>
      <c r="C86" s="16"/>
      <c r="D86" s="414">
        <f t="shared" si="6"/>
        <v>0</v>
      </c>
      <c r="E86" s="415"/>
      <c r="F86" s="412">
        <f t="shared" si="5"/>
        <v>0</v>
      </c>
      <c r="G86" s="413"/>
      <c r="H86" s="285"/>
      <c r="I86" s="422">
        <f t="shared" si="7"/>
        <v>0</v>
      </c>
    </row>
    <row r="87" spans="1:9" x14ac:dyDescent="0.25">
      <c r="A87" s="155"/>
      <c r="B87" s="125">
        <v>13.61</v>
      </c>
      <c r="C87" s="16"/>
      <c r="D87" s="323">
        <f t="shared" si="6"/>
        <v>0</v>
      </c>
      <c r="E87" s="126"/>
      <c r="F87" s="89">
        <f t="shared" si="5"/>
        <v>0</v>
      </c>
      <c r="G87" s="90"/>
      <c r="H87" s="91"/>
      <c r="I87" s="422">
        <f t="shared" si="7"/>
        <v>0</v>
      </c>
    </row>
    <row r="88" spans="1:9" x14ac:dyDescent="0.25">
      <c r="A88" s="2"/>
      <c r="B88" s="125">
        <v>13.61</v>
      </c>
      <c r="C88" s="16"/>
      <c r="D88" s="323">
        <f t="shared" si="6"/>
        <v>0</v>
      </c>
      <c r="E88" s="126"/>
      <c r="F88" s="89">
        <f t="shared" si="5"/>
        <v>0</v>
      </c>
      <c r="G88" s="90"/>
      <c r="H88" s="91"/>
      <c r="I88" s="422">
        <f t="shared" si="7"/>
        <v>0</v>
      </c>
    </row>
    <row r="89" spans="1:9" x14ac:dyDescent="0.25">
      <c r="A89" s="2"/>
      <c r="B89" s="125">
        <v>13.61</v>
      </c>
      <c r="C89" s="16"/>
      <c r="D89" s="323">
        <f t="shared" si="6"/>
        <v>0</v>
      </c>
      <c r="E89" s="126"/>
      <c r="F89" s="89">
        <f t="shared" si="5"/>
        <v>0</v>
      </c>
      <c r="G89" s="90"/>
      <c r="H89" s="91"/>
      <c r="I89" s="422">
        <f t="shared" si="7"/>
        <v>0</v>
      </c>
    </row>
    <row r="90" spans="1:9" x14ac:dyDescent="0.25">
      <c r="A90" s="2"/>
      <c r="B90" s="125">
        <v>13.61</v>
      </c>
      <c r="C90" s="16"/>
      <c r="D90" s="323">
        <f t="shared" si="6"/>
        <v>0</v>
      </c>
      <c r="E90" s="126"/>
      <c r="F90" s="89">
        <f t="shared" si="5"/>
        <v>0</v>
      </c>
      <c r="G90" s="90"/>
      <c r="H90" s="91"/>
      <c r="I90" s="422">
        <f t="shared" si="7"/>
        <v>0</v>
      </c>
    </row>
    <row r="91" spans="1:9" x14ac:dyDescent="0.25">
      <c r="A91" s="2"/>
      <c r="B91" s="125">
        <v>13.61</v>
      </c>
      <c r="C91" s="16"/>
      <c r="D91" s="323">
        <f t="shared" si="6"/>
        <v>0</v>
      </c>
      <c r="E91" s="126"/>
      <c r="F91" s="89">
        <f t="shared" si="5"/>
        <v>0</v>
      </c>
      <c r="G91" s="90"/>
      <c r="H91" s="91"/>
      <c r="I91" s="422">
        <f t="shared" si="7"/>
        <v>0</v>
      </c>
    </row>
    <row r="92" spans="1:9" ht="15.75" thickBot="1" x14ac:dyDescent="0.3">
      <c r="A92" s="4"/>
      <c r="B92" s="125">
        <v>13.61</v>
      </c>
      <c r="C92" s="40"/>
      <c r="D92" s="397">
        <f>C92*B33</f>
        <v>0</v>
      </c>
      <c r="E92" s="398"/>
      <c r="F92" s="399">
        <f t="shared" si="5"/>
        <v>0</v>
      </c>
      <c r="G92" s="400"/>
      <c r="H92" s="368"/>
    </row>
    <row r="93" spans="1:9" ht="16.5" thickTop="1" thickBot="1" x14ac:dyDescent="0.3">
      <c r="C93" s="132">
        <f>SUM(C8:C92)</f>
        <v>0</v>
      </c>
      <c r="D93" s="52">
        <f>SUM(D10:D92)</f>
        <v>0</v>
      </c>
      <c r="E93" s="41"/>
      <c r="F93" s="6">
        <f>SUM(F8:F92)</f>
        <v>0</v>
      </c>
    </row>
    <row r="94" spans="1:9" ht="15.75" thickBot="1" x14ac:dyDescent="0.3">
      <c r="A94" s="58"/>
      <c r="D94" s="163" t="s">
        <v>4</v>
      </c>
      <c r="E94" s="88">
        <f>F4+F5+F6-+C93</f>
        <v>0</v>
      </c>
    </row>
    <row r="95" spans="1:9" ht="15.75" thickBot="1" x14ac:dyDescent="0.3">
      <c r="A95" s="174"/>
    </row>
    <row r="96" spans="1:9" ht="16.5" thickTop="1" thickBot="1" x14ac:dyDescent="0.3">
      <c r="A96" s="51"/>
      <c r="C96" s="760" t="s">
        <v>11</v>
      </c>
      <c r="D96" s="761"/>
      <c r="E96" s="217">
        <f>E5+E4+E6+-F93</f>
        <v>0</v>
      </c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J57"/>
  <sheetViews>
    <sheetView workbookViewId="0">
      <selection activeCell="C24" sqref="C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97"/>
  </cols>
  <sheetData>
    <row r="1" spans="1:10" ht="40.5" x14ac:dyDescent="0.55000000000000004">
      <c r="A1" s="745" t="s">
        <v>259</v>
      </c>
      <c r="B1" s="745"/>
      <c r="C1" s="745"/>
      <c r="D1" s="745"/>
      <c r="E1" s="745"/>
      <c r="F1" s="745"/>
      <c r="G1" s="745"/>
      <c r="H1" s="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3"/>
    </row>
    <row r="4" spans="1:10" ht="15.75" thickTop="1" x14ac:dyDescent="0.25">
      <c r="B4" s="13"/>
      <c r="C4" s="190"/>
      <c r="D4" s="234"/>
      <c r="E4" s="154"/>
      <c r="F4" s="97"/>
      <c r="G4" s="97"/>
      <c r="I4" s="364"/>
    </row>
    <row r="5" spans="1:10" x14ac:dyDescent="0.25">
      <c r="A5" s="97" t="s">
        <v>92</v>
      </c>
      <c r="B5" s="401" t="s">
        <v>83</v>
      </c>
      <c r="C5" s="395">
        <v>52</v>
      </c>
      <c r="D5" s="234">
        <v>43544</v>
      </c>
      <c r="E5" s="154">
        <v>2006.68</v>
      </c>
      <c r="F5" s="97">
        <v>442</v>
      </c>
      <c r="G5" s="6">
        <f>F52</f>
        <v>1679.7999999999997</v>
      </c>
      <c r="H5" s="8">
        <f>E4+E5-G5+E6+E7</f>
        <v>394.98000000000036</v>
      </c>
      <c r="I5" s="364"/>
    </row>
    <row r="6" spans="1:10" x14ac:dyDescent="0.25">
      <c r="B6" s="13"/>
      <c r="C6" s="395"/>
      <c r="D6" s="234"/>
      <c r="E6" s="154">
        <v>68.099999999999994</v>
      </c>
      <c r="F6" s="97">
        <v>15</v>
      </c>
      <c r="I6" s="365"/>
    </row>
    <row r="7" spans="1:10" ht="15.75" thickBot="1" x14ac:dyDescent="0.3">
      <c r="B7" s="13"/>
      <c r="C7" s="395"/>
      <c r="D7" s="234"/>
      <c r="E7" s="154"/>
      <c r="F7" s="97"/>
      <c r="I7" s="365"/>
    </row>
    <row r="8" spans="1:10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66" t="s">
        <v>11</v>
      </c>
    </row>
    <row r="9" spans="1:10" ht="15.75" thickTop="1" x14ac:dyDescent="0.25">
      <c r="A9" s="97"/>
      <c r="B9" s="202">
        <v>4.54</v>
      </c>
      <c r="C9" s="16">
        <v>40</v>
      </c>
      <c r="D9" s="134">
        <f>C9*B9</f>
        <v>181.6</v>
      </c>
      <c r="E9" s="386">
        <v>43550</v>
      </c>
      <c r="F9" s="89">
        <f t="shared" ref="F9:F51" si="0">D9</f>
        <v>181.6</v>
      </c>
      <c r="G9" s="90" t="s">
        <v>234</v>
      </c>
      <c r="H9" s="91">
        <v>60</v>
      </c>
      <c r="I9" s="364">
        <f>E5+E4+E6+E7-F9</f>
        <v>1893.1800000000003</v>
      </c>
      <c r="J9" s="97">
        <f>F5-C9+F6</f>
        <v>417</v>
      </c>
    </row>
    <row r="10" spans="1:10" x14ac:dyDescent="0.25">
      <c r="B10" s="202">
        <v>4.54</v>
      </c>
      <c r="C10" s="16">
        <v>2</v>
      </c>
      <c r="D10" s="134">
        <f t="shared" ref="D10:D51" si="1">C10*B10</f>
        <v>9.08</v>
      </c>
      <c r="E10" s="386">
        <v>43554</v>
      </c>
      <c r="F10" s="89">
        <f t="shared" si="0"/>
        <v>9.08</v>
      </c>
      <c r="G10" s="90" t="s">
        <v>239</v>
      </c>
      <c r="H10" s="91">
        <v>69</v>
      </c>
      <c r="I10" s="364">
        <f>I9-F10</f>
        <v>1884.1000000000004</v>
      </c>
      <c r="J10" s="97">
        <f>J9-C10</f>
        <v>415</v>
      </c>
    </row>
    <row r="11" spans="1:10" x14ac:dyDescent="0.25">
      <c r="A11" s="71" t="s">
        <v>32</v>
      </c>
      <c r="B11" s="202">
        <v>4.54</v>
      </c>
      <c r="C11" s="481">
        <v>20</v>
      </c>
      <c r="D11" s="498">
        <f t="shared" si="1"/>
        <v>90.8</v>
      </c>
      <c r="E11" s="614">
        <v>43556</v>
      </c>
      <c r="F11" s="482">
        <f t="shared" si="0"/>
        <v>90.8</v>
      </c>
      <c r="G11" s="483" t="s">
        <v>241</v>
      </c>
      <c r="H11" s="484">
        <v>60</v>
      </c>
      <c r="I11" s="499">
        <f t="shared" ref="I11:I50" si="2">I10-F11</f>
        <v>1793.3000000000004</v>
      </c>
      <c r="J11" s="615">
        <f t="shared" ref="J11:J50" si="3">J10-C11</f>
        <v>395</v>
      </c>
    </row>
    <row r="12" spans="1:10" x14ac:dyDescent="0.25">
      <c r="A12" s="127"/>
      <c r="B12" s="202">
        <v>4.54</v>
      </c>
      <c r="C12" s="16">
        <v>20</v>
      </c>
      <c r="D12" s="640">
        <f t="shared" si="1"/>
        <v>90.8</v>
      </c>
      <c r="E12" s="641">
        <v>43558</v>
      </c>
      <c r="F12" s="632">
        <f t="shared" si="0"/>
        <v>90.8</v>
      </c>
      <c r="G12" s="634" t="s">
        <v>371</v>
      </c>
      <c r="H12" s="635">
        <v>60</v>
      </c>
      <c r="I12" s="364">
        <f t="shared" si="2"/>
        <v>1702.5000000000005</v>
      </c>
      <c r="J12" s="97">
        <f t="shared" si="3"/>
        <v>375</v>
      </c>
    </row>
    <row r="13" spans="1:10" x14ac:dyDescent="0.25">
      <c r="B13" s="202">
        <v>4.54</v>
      </c>
      <c r="C13" s="16">
        <v>20</v>
      </c>
      <c r="D13" s="640">
        <f t="shared" si="1"/>
        <v>90.8</v>
      </c>
      <c r="E13" s="641">
        <v>43559</v>
      </c>
      <c r="F13" s="632">
        <f t="shared" si="0"/>
        <v>90.8</v>
      </c>
      <c r="G13" s="634" t="s">
        <v>382</v>
      </c>
      <c r="H13" s="635">
        <v>60</v>
      </c>
      <c r="I13" s="364">
        <f t="shared" si="2"/>
        <v>1611.7000000000005</v>
      </c>
      <c r="J13" s="97">
        <f t="shared" si="3"/>
        <v>355</v>
      </c>
    </row>
    <row r="14" spans="1:10" x14ac:dyDescent="0.25">
      <c r="A14" s="71" t="s">
        <v>33</v>
      </c>
      <c r="B14" s="202">
        <v>4.54</v>
      </c>
      <c r="C14" s="16">
        <v>3</v>
      </c>
      <c r="D14" s="640">
        <f t="shared" si="1"/>
        <v>13.620000000000001</v>
      </c>
      <c r="E14" s="642">
        <v>43559</v>
      </c>
      <c r="F14" s="632">
        <f t="shared" si="0"/>
        <v>13.620000000000001</v>
      </c>
      <c r="G14" s="634" t="s">
        <v>382</v>
      </c>
      <c r="H14" s="635">
        <v>60</v>
      </c>
      <c r="I14" s="364">
        <f t="shared" si="2"/>
        <v>1598.0800000000006</v>
      </c>
      <c r="J14" s="97">
        <f t="shared" si="3"/>
        <v>352</v>
      </c>
    </row>
    <row r="15" spans="1:10" x14ac:dyDescent="0.25">
      <c r="B15" s="202">
        <v>4.54</v>
      </c>
      <c r="C15" s="16">
        <v>20</v>
      </c>
      <c r="D15" s="640">
        <f t="shared" si="1"/>
        <v>90.8</v>
      </c>
      <c r="E15" s="642">
        <v>43561</v>
      </c>
      <c r="F15" s="632">
        <f t="shared" si="0"/>
        <v>90.8</v>
      </c>
      <c r="G15" s="634" t="s">
        <v>390</v>
      </c>
      <c r="H15" s="635">
        <v>60</v>
      </c>
      <c r="I15" s="364">
        <f t="shared" si="2"/>
        <v>1507.2800000000007</v>
      </c>
      <c r="J15" s="97">
        <f t="shared" si="3"/>
        <v>332</v>
      </c>
    </row>
    <row r="16" spans="1:10" x14ac:dyDescent="0.25">
      <c r="B16" s="202">
        <v>4.54</v>
      </c>
      <c r="C16" s="16">
        <v>3</v>
      </c>
      <c r="D16" s="640">
        <f t="shared" si="1"/>
        <v>13.620000000000001</v>
      </c>
      <c r="E16" s="641">
        <v>43564</v>
      </c>
      <c r="F16" s="632">
        <f t="shared" si="0"/>
        <v>13.620000000000001</v>
      </c>
      <c r="G16" s="634" t="s">
        <v>397</v>
      </c>
      <c r="H16" s="635">
        <v>60</v>
      </c>
      <c r="I16" s="364">
        <f t="shared" si="2"/>
        <v>1493.6600000000008</v>
      </c>
      <c r="J16" s="97">
        <f t="shared" si="3"/>
        <v>329</v>
      </c>
    </row>
    <row r="17" spans="2:10" x14ac:dyDescent="0.25">
      <c r="B17" s="202">
        <v>4.54</v>
      </c>
      <c r="C17" s="16">
        <v>20</v>
      </c>
      <c r="D17" s="640">
        <f t="shared" si="1"/>
        <v>90.8</v>
      </c>
      <c r="E17" s="641">
        <v>43565</v>
      </c>
      <c r="F17" s="632">
        <f t="shared" si="0"/>
        <v>90.8</v>
      </c>
      <c r="G17" s="634" t="s">
        <v>400</v>
      </c>
      <c r="H17" s="635">
        <v>60</v>
      </c>
      <c r="I17" s="364">
        <f t="shared" si="2"/>
        <v>1402.8600000000008</v>
      </c>
      <c r="J17" s="97">
        <f t="shared" si="3"/>
        <v>309</v>
      </c>
    </row>
    <row r="18" spans="2:10" x14ac:dyDescent="0.25">
      <c r="B18" s="202">
        <v>4.54</v>
      </c>
      <c r="C18" s="16">
        <v>20</v>
      </c>
      <c r="D18" s="640">
        <f t="shared" si="1"/>
        <v>90.8</v>
      </c>
      <c r="E18" s="641">
        <v>43565</v>
      </c>
      <c r="F18" s="632">
        <f t="shared" si="0"/>
        <v>90.8</v>
      </c>
      <c r="G18" s="634" t="s">
        <v>402</v>
      </c>
      <c r="H18" s="635">
        <v>60</v>
      </c>
      <c r="I18" s="364">
        <f t="shared" si="2"/>
        <v>1312.0600000000009</v>
      </c>
      <c r="J18" s="97">
        <f t="shared" si="3"/>
        <v>289</v>
      </c>
    </row>
    <row r="19" spans="2:10" x14ac:dyDescent="0.25">
      <c r="B19" s="202">
        <v>4.54</v>
      </c>
      <c r="C19" s="16">
        <v>20</v>
      </c>
      <c r="D19" s="640">
        <f t="shared" si="1"/>
        <v>90.8</v>
      </c>
      <c r="E19" s="641">
        <v>43568</v>
      </c>
      <c r="F19" s="632">
        <f t="shared" si="0"/>
        <v>90.8</v>
      </c>
      <c r="G19" s="634" t="s">
        <v>424</v>
      </c>
      <c r="H19" s="635">
        <v>60</v>
      </c>
      <c r="I19" s="364">
        <f t="shared" si="2"/>
        <v>1221.2600000000009</v>
      </c>
      <c r="J19" s="97">
        <f t="shared" si="3"/>
        <v>269</v>
      </c>
    </row>
    <row r="20" spans="2:10" x14ac:dyDescent="0.25">
      <c r="B20" s="202">
        <v>4.54</v>
      </c>
      <c r="C20" s="16">
        <v>132</v>
      </c>
      <c r="D20" s="640">
        <f t="shared" si="1"/>
        <v>599.28</v>
      </c>
      <c r="E20" s="641">
        <v>43570</v>
      </c>
      <c r="F20" s="632">
        <f t="shared" si="0"/>
        <v>599.28</v>
      </c>
      <c r="G20" s="634" t="s">
        <v>427</v>
      </c>
      <c r="H20" s="635">
        <v>60</v>
      </c>
      <c r="I20" s="364">
        <f t="shared" si="2"/>
        <v>621.98000000000093</v>
      </c>
      <c r="J20" s="97">
        <f t="shared" si="3"/>
        <v>137</v>
      </c>
    </row>
    <row r="21" spans="2:10" x14ac:dyDescent="0.25">
      <c r="B21" s="202">
        <v>4.54</v>
      </c>
      <c r="C21" s="16">
        <v>30</v>
      </c>
      <c r="D21" s="640">
        <f t="shared" si="1"/>
        <v>136.19999999999999</v>
      </c>
      <c r="E21" s="641">
        <v>43587</v>
      </c>
      <c r="F21" s="632">
        <f t="shared" si="0"/>
        <v>136.19999999999999</v>
      </c>
      <c r="G21" s="634" t="s">
        <v>542</v>
      </c>
      <c r="H21" s="635">
        <v>60</v>
      </c>
      <c r="I21" s="364">
        <f t="shared" si="2"/>
        <v>485.78000000000094</v>
      </c>
      <c r="J21" s="97">
        <f t="shared" si="3"/>
        <v>107</v>
      </c>
    </row>
    <row r="22" spans="2:10" x14ac:dyDescent="0.25">
      <c r="B22" s="202">
        <v>4.54</v>
      </c>
      <c r="C22" s="16">
        <v>20</v>
      </c>
      <c r="D22" s="640">
        <f t="shared" si="1"/>
        <v>90.8</v>
      </c>
      <c r="E22" s="641">
        <v>43589</v>
      </c>
      <c r="F22" s="632">
        <f t="shared" si="0"/>
        <v>90.8</v>
      </c>
      <c r="G22" s="634" t="s">
        <v>549</v>
      </c>
      <c r="H22" s="635">
        <v>60</v>
      </c>
      <c r="I22" s="364">
        <f t="shared" si="2"/>
        <v>394.98000000000093</v>
      </c>
      <c r="J22" s="97">
        <f t="shared" si="3"/>
        <v>87</v>
      </c>
    </row>
    <row r="23" spans="2:10" x14ac:dyDescent="0.25">
      <c r="B23" s="202">
        <v>4.54</v>
      </c>
      <c r="C23" s="16"/>
      <c r="D23" s="640">
        <f t="shared" si="1"/>
        <v>0</v>
      </c>
      <c r="E23" s="641"/>
      <c r="F23" s="632">
        <f t="shared" si="0"/>
        <v>0</v>
      </c>
      <c r="G23" s="634"/>
      <c r="H23" s="635"/>
      <c r="I23" s="364">
        <f t="shared" si="2"/>
        <v>394.98000000000093</v>
      </c>
      <c r="J23" s="97">
        <f t="shared" si="3"/>
        <v>87</v>
      </c>
    </row>
    <row r="24" spans="2:10" x14ac:dyDescent="0.25">
      <c r="B24" s="202">
        <v>4.54</v>
      </c>
      <c r="C24" s="16"/>
      <c r="D24" s="640">
        <f t="shared" si="1"/>
        <v>0</v>
      </c>
      <c r="E24" s="641"/>
      <c r="F24" s="632">
        <f t="shared" si="0"/>
        <v>0</v>
      </c>
      <c r="G24" s="634"/>
      <c r="H24" s="635"/>
      <c r="I24" s="364">
        <f t="shared" si="2"/>
        <v>394.98000000000093</v>
      </c>
      <c r="J24" s="97">
        <f t="shared" si="3"/>
        <v>87</v>
      </c>
    </row>
    <row r="25" spans="2:10" x14ac:dyDescent="0.25">
      <c r="B25" s="202">
        <v>4.54</v>
      </c>
      <c r="C25" s="16"/>
      <c r="D25" s="640">
        <f t="shared" si="1"/>
        <v>0</v>
      </c>
      <c r="E25" s="641"/>
      <c r="F25" s="632">
        <f t="shared" si="0"/>
        <v>0</v>
      </c>
      <c r="G25" s="634"/>
      <c r="H25" s="635"/>
      <c r="I25" s="364">
        <f t="shared" si="2"/>
        <v>394.98000000000093</v>
      </c>
      <c r="J25" s="97">
        <f t="shared" si="3"/>
        <v>87</v>
      </c>
    </row>
    <row r="26" spans="2:10" x14ac:dyDescent="0.25">
      <c r="B26" s="202">
        <v>4.54</v>
      </c>
      <c r="C26" s="16"/>
      <c r="D26" s="640">
        <f t="shared" si="1"/>
        <v>0</v>
      </c>
      <c r="E26" s="641"/>
      <c r="F26" s="632">
        <f t="shared" si="0"/>
        <v>0</v>
      </c>
      <c r="G26" s="634"/>
      <c r="H26" s="635"/>
      <c r="I26" s="364">
        <f t="shared" si="2"/>
        <v>394.98000000000093</v>
      </c>
      <c r="J26" s="97">
        <f t="shared" si="3"/>
        <v>87</v>
      </c>
    </row>
    <row r="27" spans="2:10" x14ac:dyDescent="0.25">
      <c r="B27" s="202">
        <v>4.54</v>
      </c>
      <c r="C27" s="16"/>
      <c r="D27" s="640">
        <f t="shared" si="1"/>
        <v>0</v>
      </c>
      <c r="E27" s="641"/>
      <c r="F27" s="632">
        <f t="shared" si="0"/>
        <v>0</v>
      </c>
      <c r="G27" s="634"/>
      <c r="H27" s="635"/>
      <c r="I27" s="364">
        <f t="shared" si="2"/>
        <v>394.98000000000093</v>
      </c>
      <c r="J27" s="97">
        <f t="shared" si="3"/>
        <v>87</v>
      </c>
    </row>
    <row r="28" spans="2:10" x14ac:dyDescent="0.25">
      <c r="B28" s="202">
        <v>4.54</v>
      </c>
      <c r="C28" s="16"/>
      <c r="D28" s="640">
        <f t="shared" si="1"/>
        <v>0</v>
      </c>
      <c r="E28" s="641"/>
      <c r="F28" s="632">
        <f t="shared" si="0"/>
        <v>0</v>
      </c>
      <c r="G28" s="634"/>
      <c r="H28" s="635"/>
      <c r="I28" s="364">
        <f t="shared" si="2"/>
        <v>394.98000000000093</v>
      </c>
      <c r="J28" s="97">
        <f t="shared" si="3"/>
        <v>87</v>
      </c>
    </row>
    <row r="29" spans="2:10" x14ac:dyDescent="0.25">
      <c r="B29" s="202">
        <v>4.54</v>
      </c>
      <c r="C29" s="16"/>
      <c r="D29" s="640">
        <f t="shared" si="1"/>
        <v>0</v>
      </c>
      <c r="E29" s="641"/>
      <c r="F29" s="632">
        <f t="shared" si="0"/>
        <v>0</v>
      </c>
      <c r="G29" s="634"/>
      <c r="H29" s="635"/>
      <c r="I29" s="364">
        <f t="shared" si="2"/>
        <v>394.98000000000093</v>
      </c>
      <c r="J29" s="97">
        <f t="shared" si="3"/>
        <v>87</v>
      </c>
    </row>
    <row r="30" spans="2:10" x14ac:dyDescent="0.25">
      <c r="B30" s="202">
        <v>4.54</v>
      </c>
      <c r="C30" s="16"/>
      <c r="D30" s="640">
        <f t="shared" si="1"/>
        <v>0</v>
      </c>
      <c r="E30" s="641"/>
      <c r="F30" s="632">
        <f t="shared" si="0"/>
        <v>0</v>
      </c>
      <c r="G30" s="634"/>
      <c r="H30" s="635"/>
      <c r="I30" s="364">
        <f t="shared" si="2"/>
        <v>394.98000000000093</v>
      </c>
      <c r="J30" s="97">
        <f t="shared" si="3"/>
        <v>87</v>
      </c>
    </row>
    <row r="31" spans="2:10" x14ac:dyDescent="0.25">
      <c r="B31" s="202">
        <v>4.54</v>
      </c>
      <c r="C31" s="16"/>
      <c r="D31" s="134">
        <f t="shared" si="1"/>
        <v>0</v>
      </c>
      <c r="E31" s="386"/>
      <c r="F31" s="89">
        <f t="shared" si="0"/>
        <v>0</v>
      </c>
      <c r="G31" s="90"/>
      <c r="H31" s="91"/>
      <c r="I31" s="364">
        <f t="shared" si="2"/>
        <v>394.98000000000093</v>
      </c>
      <c r="J31" s="97">
        <f t="shared" si="3"/>
        <v>87</v>
      </c>
    </row>
    <row r="32" spans="2:10" x14ac:dyDescent="0.25">
      <c r="B32" s="202">
        <v>4.54</v>
      </c>
      <c r="C32" s="16"/>
      <c r="D32" s="134">
        <f t="shared" si="1"/>
        <v>0</v>
      </c>
      <c r="E32" s="386"/>
      <c r="F32" s="89">
        <f t="shared" si="0"/>
        <v>0</v>
      </c>
      <c r="G32" s="90"/>
      <c r="H32" s="91"/>
      <c r="I32" s="364">
        <f t="shared" si="2"/>
        <v>394.98000000000093</v>
      </c>
      <c r="J32" s="97">
        <f t="shared" si="3"/>
        <v>87</v>
      </c>
    </row>
    <row r="33" spans="1:10" x14ac:dyDescent="0.25">
      <c r="B33" s="202">
        <v>4.54</v>
      </c>
      <c r="C33" s="16"/>
      <c r="D33" s="134">
        <f t="shared" si="1"/>
        <v>0</v>
      </c>
      <c r="E33" s="203"/>
      <c r="F33" s="89">
        <f t="shared" si="0"/>
        <v>0</v>
      </c>
      <c r="G33" s="90"/>
      <c r="H33" s="91"/>
      <c r="I33" s="364">
        <f t="shared" si="2"/>
        <v>394.98000000000093</v>
      </c>
      <c r="J33" s="97">
        <f t="shared" si="3"/>
        <v>87</v>
      </c>
    </row>
    <row r="34" spans="1:10" x14ac:dyDescent="0.25">
      <c r="B34" s="202">
        <v>4.54</v>
      </c>
      <c r="C34" s="16"/>
      <c r="D34" s="134">
        <f t="shared" si="1"/>
        <v>0</v>
      </c>
      <c r="E34" s="203"/>
      <c r="F34" s="89">
        <f t="shared" si="0"/>
        <v>0</v>
      </c>
      <c r="G34" s="90"/>
      <c r="H34" s="91"/>
      <c r="I34" s="364">
        <f t="shared" si="2"/>
        <v>394.98000000000093</v>
      </c>
      <c r="J34" s="97">
        <f t="shared" si="3"/>
        <v>87</v>
      </c>
    </row>
    <row r="35" spans="1:10" x14ac:dyDescent="0.25">
      <c r="B35" s="202">
        <v>4.54</v>
      </c>
      <c r="C35" s="16"/>
      <c r="D35" s="134">
        <f t="shared" si="1"/>
        <v>0</v>
      </c>
      <c r="E35" s="203"/>
      <c r="F35" s="89">
        <f t="shared" si="0"/>
        <v>0</v>
      </c>
      <c r="G35" s="90"/>
      <c r="H35" s="91"/>
      <c r="I35" s="364">
        <f t="shared" si="2"/>
        <v>394.98000000000093</v>
      </c>
      <c r="J35" s="97">
        <f t="shared" si="3"/>
        <v>87</v>
      </c>
    </row>
    <row r="36" spans="1:10" x14ac:dyDescent="0.25">
      <c r="A36" s="102"/>
      <c r="B36" s="202">
        <v>4.54</v>
      </c>
      <c r="C36" s="16"/>
      <c r="D36" s="134">
        <f t="shared" si="1"/>
        <v>0</v>
      </c>
      <c r="E36" s="203"/>
      <c r="F36" s="89">
        <f t="shared" si="0"/>
        <v>0</v>
      </c>
      <c r="G36" s="90"/>
      <c r="H36" s="91"/>
      <c r="I36" s="364">
        <f t="shared" si="2"/>
        <v>394.98000000000093</v>
      </c>
      <c r="J36" s="97">
        <f t="shared" si="3"/>
        <v>87</v>
      </c>
    </row>
    <row r="37" spans="1:10" x14ac:dyDescent="0.25">
      <c r="B37" s="202">
        <v>4.54</v>
      </c>
      <c r="C37" s="16"/>
      <c r="D37" s="134">
        <f t="shared" si="1"/>
        <v>0</v>
      </c>
      <c r="E37" s="203">
        <v>4</v>
      </c>
      <c r="F37" s="89">
        <f t="shared" si="0"/>
        <v>0</v>
      </c>
      <c r="G37" s="90"/>
      <c r="H37" s="91"/>
      <c r="I37" s="364">
        <f t="shared" si="2"/>
        <v>394.98000000000093</v>
      </c>
      <c r="J37" s="97">
        <f t="shared" si="3"/>
        <v>87</v>
      </c>
    </row>
    <row r="38" spans="1:10" x14ac:dyDescent="0.25">
      <c r="B38" s="202">
        <v>4.54</v>
      </c>
      <c r="C38" s="16"/>
      <c r="D38" s="89">
        <f t="shared" si="1"/>
        <v>0</v>
      </c>
      <c r="E38" s="386"/>
      <c r="F38" s="89">
        <f t="shared" si="0"/>
        <v>0</v>
      </c>
      <c r="G38" s="90"/>
      <c r="H38" s="91"/>
      <c r="I38" s="364">
        <f t="shared" si="2"/>
        <v>394.98000000000093</v>
      </c>
      <c r="J38" s="97">
        <f t="shared" si="3"/>
        <v>87</v>
      </c>
    </row>
    <row r="39" spans="1:10" x14ac:dyDescent="0.25">
      <c r="B39" s="202">
        <v>4.54</v>
      </c>
      <c r="C39" s="16"/>
      <c r="D39" s="89">
        <f t="shared" si="1"/>
        <v>0</v>
      </c>
      <c r="E39" s="386"/>
      <c r="F39" s="89">
        <f t="shared" si="0"/>
        <v>0</v>
      </c>
      <c r="G39" s="90"/>
      <c r="H39" s="91"/>
      <c r="I39" s="364">
        <f t="shared" si="2"/>
        <v>394.98000000000093</v>
      </c>
      <c r="J39" s="97">
        <f t="shared" si="3"/>
        <v>87</v>
      </c>
    </row>
    <row r="40" spans="1:10" x14ac:dyDescent="0.25">
      <c r="B40" s="202">
        <v>4.54</v>
      </c>
      <c r="C40" s="16"/>
      <c r="D40" s="89">
        <f t="shared" si="1"/>
        <v>0</v>
      </c>
      <c r="E40" s="386"/>
      <c r="F40" s="89">
        <f t="shared" si="0"/>
        <v>0</v>
      </c>
      <c r="G40" s="90"/>
      <c r="H40" s="91"/>
      <c r="I40" s="364">
        <f t="shared" si="2"/>
        <v>394.98000000000093</v>
      </c>
      <c r="J40" s="97">
        <f t="shared" si="3"/>
        <v>87</v>
      </c>
    </row>
    <row r="41" spans="1:10" x14ac:dyDescent="0.25">
      <c r="B41" s="202">
        <v>4.54</v>
      </c>
      <c r="C41" s="16"/>
      <c r="D41" s="89">
        <f t="shared" si="1"/>
        <v>0</v>
      </c>
      <c r="E41" s="386"/>
      <c r="F41" s="89">
        <f t="shared" si="0"/>
        <v>0</v>
      </c>
      <c r="G41" s="90"/>
      <c r="H41" s="91"/>
      <c r="I41" s="364">
        <f t="shared" si="2"/>
        <v>394.98000000000093</v>
      </c>
      <c r="J41" s="97">
        <f t="shared" si="3"/>
        <v>87</v>
      </c>
    </row>
    <row r="42" spans="1:10" x14ac:dyDescent="0.25">
      <c r="B42" s="202">
        <v>4.54</v>
      </c>
      <c r="C42" s="16"/>
      <c r="D42" s="89">
        <f t="shared" si="1"/>
        <v>0</v>
      </c>
      <c r="E42" s="386"/>
      <c r="F42" s="89">
        <f t="shared" si="0"/>
        <v>0</v>
      </c>
      <c r="G42" s="90"/>
      <c r="H42" s="91"/>
      <c r="I42" s="364">
        <f t="shared" si="2"/>
        <v>394.98000000000093</v>
      </c>
      <c r="J42" s="97">
        <f t="shared" si="3"/>
        <v>87</v>
      </c>
    </row>
    <row r="43" spans="1:10" x14ac:dyDescent="0.25">
      <c r="B43" s="202">
        <v>4.54</v>
      </c>
      <c r="C43" s="16"/>
      <c r="D43" s="89">
        <f t="shared" si="1"/>
        <v>0</v>
      </c>
      <c r="E43" s="386"/>
      <c r="F43" s="89">
        <f t="shared" si="0"/>
        <v>0</v>
      </c>
      <c r="G43" s="90"/>
      <c r="H43" s="91"/>
      <c r="I43" s="364">
        <f t="shared" si="2"/>
        <v>394.98000000000093</v>
      </c>
      <c r="J43" s="97">
        <f t="shared" si="3"/>
        <v>87</v>
      </c>
    </row>
    <row r="44" spans="1:10" x14ac:dyDescent="0.25">
      <c r="B44" s="202">
        <v>4.54</v>
      </c>
      <c r="C44" s="16"/>
      <c r="D44" s="89">
        <f t="shared" si="1"/>
        <v>0</v>
      </c>
      <c r="E44" s="386"/>
      <c r="F44" s="89">
        <f t="shared" si="0"/>
        <v>0</v>
      </c>
      <c r="G44" s="90"/>
      <c r="H44" s="91"/>
      <c r="I44" s="364">
        <f t="shared" si="2"/>
        <v>394.98000000000093</v>
      </c>
      <c r="J44" s="97">
        <f t="shared" si="3"/>
        <v>87</v>
      </c>
    </row>
    <row r="45" spans="1:10" x14ac:dyDescent="0.25">
      <c r="B45" s="202">
        <v>4.54</v>
      </c>
      <c r="C45" s="16"/>
      <c r="D45" s="89">
        <f t="shared" si="1"/>
        <v>0</v>
      </c>
      <c r="E45" s="386"/>
      <c r="F45" s="89">
        <f t="shared" si="0"/>
        <v>0</v>
      </c>
      <c r="G45" s="90"/>
      <c r="H45" s="91"/>
      <c r="I45" s="364">
        <f t="shared" si="2"/>
        <v>394.98000000000093</v>
      </c>
      <c r="J45" s="97">
        <f t="shared" si="3"/>
        <v>87</v>
      </c>
    </row>
    <row r="46" spans="1:10" x14ac:dyDescent="0.25">
      <c r="B46" s="202">
        <v>4.54</v>
      </c>
      <c r="C46" s="16"/>
      <c r="D46" s="89">
        <f t="shared" si="1"/>
        <v>0</v>
      </c>
      <c r="E46" s="386"/>
      <c r="F46" s="89">
        <f t="shared" si="0"/>
        <v>0</v>
      </c>
      <c r="G46" s="90"/>
      <c r="H46" s="91"/>
      <c r="I46" s="364">
        <f t="shared" si="2"/>
        <v>394.98000000000093</v>
      </c>
      <c r="J46" s="97">
        <f t="shared" si="3"/>
        <v>87</v>
      </c>
    </row>
    <row r="47" spans="1:10" x14ac:dyDescent="0.25">
      <c r="B47" s="202">
        <v>4.54</v>
      </c>
      <c r="C47" s="16"/>
      <c r="D47" s="89">
        <f t="shared" si="1"/>
        <v>0</v>
      </c>
      <c r="E47" s="386"/>
      <c r="F47" s="89">
        <f t="shared" si="0"/>
        <v>0</v>
      </c>
      <c r="G47" s="90"/>
      <c r="H47" s="91"/>
      <c r="I47" s="364">
        <f t="shared" si="2"/>
        <v>394.98000000000093</v>
      </c>
      <c r="J47" s="97">
        <f t="shared" si="3"/>
        <v>87</v>
      </c>
    </row>
    <row r="48" spans="1:10" x14ac:dyDescent="0.25">
      <c r="B48" s="202">
        <v>4.54</v>
      </c>
      <c r="C48" s="16"/>
      <c r="D48" s="89">
        <f t="shared" si="1"/>
        <v>0</v>
      </c>
      <c r="E48" s="386"/>
      <c r="F48" s="89">
        <f t="shared" si="0"/>
        <v>0</v>
      </c>
      <c r="G48" s="90"/>
      <c r="H48" s="91"/>
      <c r="I48" s="364">
        <f t="shared" si="2"/>
        <v>394.98000000000093</v>
      </c>
      <c r="J48" s="97">
        <f t="shared" si="3"/>
        <v>87</v>
      </c>
    </row>
    <row r="49" spans="2:10" x14ac:dyDescent="0.25">
      <c r="B49" s="202">
        <v>4.54</v>
      </c>
      <c r="C49" s="16"/>
      <c r="D49" s="89">
        <f t="shared" si="1"/>
        <v>0</v>
      </c>
      <c r="E49" s="386"/>
      <c r="F49" s="89">
        <f t="shared" si="0"/>
        <v>0</v>
      </c>
      <c r="G49" s="90"/>
      <c r="H49" s="91"/>
      <c r="I49" s="364">
        <f t="shared" si="2"/>
        <v>394.98000000000093</v>
      </c>
      <c r="J49" s="97">
        <f t="shared" si="3"/>
        <v>87</v>
      </c>
    </row>
    <row r="50" spans="2:10" x14ac:dyDescent="0.25">
      <c r="B50" s="202">
        <v>4.54</v>
      </c>
      <c r="C50" s="16"/>
      <c r="D50" s="89">
        <f t="shared" si="1"/>
        <v>0</v>
      </c>
      <c r="E50" s="386"/>
      <c r="F50" s="89">
        <f t="shared" si="0"/>
        <v>0</v>
      </c>
      <c r="G50" s="90"/>
      <c r="H50" s="91"/>
      <c r="I50" s="364">
        <f t="shared" si="2"/>
        <v>394.98000000000093</v>
      </c>
      <c r="J50" s="97">
        <f t="shared" si="3"/>
        <v>87</v>
      </c>
    </row>
    <row r="51" spans="2:10" ht="15.75" thickBot="1" x14ac:dyDescent="0.3">
      <c r="B51" s="202">
        <v>4.54</v>
      </c>
      <c r="C51" s="40"/>
      <c r="D51" s="235">
        <f t="shared" si="1"/>
        <v>0</v>
      </c>
      <c r="E51" s="391"/>
      <c r="F51" s="235">
        <f t="shared" si="0"/>
        <v>0</v>
      </c>
      <c r="G51" s="209"/>
      <c r="H51" s="392"/>
    </row>
    <row r="52" spans="2:10" ht="15.75" thickTop="1" x14ac:dyDescent="0.25">
      <c r="C52" s="16">
        <f>SUM(C9:C51)</f>
        <v>370</v>
      </c>
      <c r="D52" s="7">
        <f>SUM(D9:D51)</f>
        <v>1679.7999999999997</v>
      </c>
      <c r="E52" s="14"/>
      <c r="F52" s="7">
        <f>SUM(F9:F51)</f>
        <v>1679.7999999999997</v>
      </c>
      <c r="G52" s="32"/>
      <c r="H52" s="18"/>
    </row>
    <row r="53" spans="2:10" ht="15.75" thickBot="1" x14ac:dyDescent="0.3">
      <c r="C53" s="16"/>
      <c r="D53" s="7"/>
      <c r="E53" s="14"/>
      <c r="F53" s="7"/>
      <c r="G53" s="32"/>
      <c r="H53" s="18"/>
    </row>
    <row r="54" spans="2:10" x14ac:dyDescent="0.25">
      <c r="C54" s="55" t="s">
        <v>4</v>
      </c>
      <c r="D54" s="421">
        <f>F4+F5-C52+F6+F7</f>
        <v>87</v>
      </c>
      <c r="E54" s="43"/>
      <c r="F54" s="7"/>
      <c r="G54" s="32"/>
      <c r="H54" s="18"/>
    </row>
    <row r="55" spans="2:10" x14ac:dyDescent="0.25">
      <c r="C55" s="765" t="s">
        <v>19</v>
      </c>
      <c r="D55" s="766"/>
      <c r="E55" s="42">
        <f>E4+E5-F52+E6+E7</f>
        <v>394.98000000000036</v>
      </c>
      <c r="F55" s="7"/>
      <c r="G55" s="7"/>
      <c r="H55" s="18"/>
    </row>
    <row r="56" spans="2:10" ht="15.75" thickBot="1" x14ac:dyDescent="0.3">
      <c r="C56" s="48"/>
      <c r="D56" s="46"/>
      <c r="E56" s="44"/>
      <c r="F56" s="7"/>
      <c r="G56" s="32"/>
      <c r="H56" s="18"/>
    </row>
    <row r="57" spans="2:10" x14ac:dyDescent="0.25">
      <c r="C57" s="16"/>
      <c r="D57" s="7"/>
      <c r="E57" s="14"/>
      <c r="F57" s="7"/>
      <c r="G57" s="32"/>
      <c r="H57" s="18"/>
    </row>
  </sheetData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pane ySplit="8" topLeftCell="A24" activePane="bottomLeft" state="frozen"/>
      <selection pane="bottomLeft" activeCell="H24" sqref="H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</cols>
  <sheetData>
    <row r="1" spans="1:10" ht="40.5" x14ac:dyDescent="0.55000000000000004">
      <c r="A1" s="744" t="s">
        <v>254</v>
      </c>
      <c r="B1" s="744"/>
      <c r="C1" s="744"/>
      <c r="D1" s="744"/>
      <c r="E1" s="744"/>
      <c r="F1" s="744"/>
      <c r="G1" s="744"/>
      <c r="H1" s="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3"/>
    </row>
    <row r="4" spans="1:10" ht="15.75" thickTop="1" x14ac:dyDescent="0.25">
      <c r="B4" s="13"/>
      <c r="C4" s="190"/>
      <c r="D4" s="234"/>
      <c r="E4" s="6">
        <v>60</v>
      </c>
      <c r="F4" s="97">
        <v>6</v>
      </c>
      <c r="G4" s="97"/>
      <c r="I4" s="364"/>
    </row>
    <row r="5" spans="1:10" x14ac:dyDescent="0.25">
      <c r="A5" s="97" t="s">
        <v>81</v>
      </c>
      <c r="B5" s="403" t="s">
        <v>84</v>
      </c>
      <c r="C5" s="395">
        <v>49</v>
      </c>
      <c r="D5" s="234">
        <v>43526</v>
      </c>
      <c r="E5" s="154">
        <v>1000</v>
      </c>
      <c r="F5" s="97">
        <v>100</v>
      </c>
      <c r="G5" s="6">
        <f>F61</f>
        <v>1990</v>
      </c>
      <c r="H5" s="8">
        <f>E4+E5-G5+E6+E7</f>
        <v>1070</v>
      </c>
      <c r="I5" s="364"/>
    </row>
    <row r="6" spans="1:10" ht="15.75" thickBot="1" x14ac:dyDescent="0.3">
      <c r="B6" s="13"/>
      <c r="C6" s="395">
        <v>49</v>
      </c>
      <c r="D6" s="234">
        <v>43532</v>
      </c>
      <c r="E6" s="154">
        <v>1000</v>
      </c>
      <c r="F6" s="97">
        <v>100</v>
      </c>
      <c r="I6" s="365"/>
    </row>
    <row r="7" spans="1:10" ht="15.75" thickBot="1" x14ac:dyDescent="0.3">
      <c r="B7" s="13"/>
      <c r="C7" s="395">
        <v>49</v>
      </c>
      <c r="D7" s="234">
        <v>43544</v>
      </c>
      <c r="E7" s="154">
        <v>1000</v>
      </c>
      <c r="F7" s="97">
        <v>100</v>
      </c>
      <c r="I7" s="767" t="s">
        <v>19</v>
      </c>
      <c r="J7" s="769" t="s">
        <v>4</v>
      </c>
    </row>
    <row r="8" spans="1:10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68"/>
      <c r="J8" s="770"/>
    </row>
    <row r="9" spans="1:10" ht="15.75" thickTop="1" x14ac:dyDescent="0.25">
      <c r="A9" s="97"/>
      <c r="B9" s="202">
        <v>10</v>
      </c>
      <c r="C9" s="16">
        <v>20</v>
      </c>
      <c r="D9" s="134">
        <f t="shared" ref="D9:D15" si="0">C9*B9</f>
        <v>200</v>
      </c>
      <c r="E9" s="386">
        <v>43529</v>
      </c>
      <c r="F9" s="89">
        <f t="shared" ref="F9:F15" si="1">D9</f>
        <v>200</v>
      </c>
      <c r="G9" s="90" t="s">
        <v>207</v>
      </c>
      <c r="H9" s="91">
        <v>53</v>
      </c>
      <c r="I9" s="364">
        <f>E5-F9+E6+E4+E7</f>
        <v>2860</v>
      </c>
      <c r="J9" s="188">
        <f>F4+F5+F6+F7-C9</f>
        <v>286</v>
      </c>
    </row>
    <row r="10" spans="1:10" x14ac:dyDescent="0.25">
      <c r="B10" s="202">
        <v>10</v>
      </c>
      <c r="C10" s="16">
        <v>20</v>
      </c>
      <c r="D10" s="134">
        <f t="shared" si="0"/>
        <v>200</v>
      </c>
      <c r="E10" s="386">
        <v>43531</v>
      </c>
      <c r="F10" s="89">
        <f t="shared" si="1"/>
        <v>200</v>
      </c>
      <c r="G10" s="90" t="s">
        <v>210</v>
      </c>
      <c r="H10" s="91">
        <v>53</v>
      </c>
      <c r="I10" s="364">
        <f>I9-D10</f>
        <v>2660</v>
      </c>
      <c r="J10" s="188">
        <f>J9-C10</f>
        <v>266</v>
      </c>
    </row>
    <row r="11" spans="1:10" x14ac:dyDescent="0.25">
      <c r="A11" s="71" t="s">
        <v>32</v>
      </c>
      <c r="B11" s="202">
        <f>B10</f>
        <v>10</v>
      </c>
      <c r="C11" s="16">
        <v>10</v>
      </c>
      <c r="D11" s="134">
        <f t="shared" si="0"/>
        <v>100</v>
      </c>
      <c r="E11" s="386">
        <v>43531</v>
      </c>
      <c r="F11" s="89">
        <f t="shared" si="1"/>
        <v>100</v>
      </c>
      <c r="G11" s="90" t="s">
        <v>211</v>
      </c>
      <c r="H11" s="91">
        <v>53</v>
      </c>
      <c r="I11" s="364">
        <f t="shared" ref="I11:I21" si="2">I10-D11</f>
        <v>2560</v>
      </c>
      <c r="J11" s="188">
        <f t="shared" ref="J11:J23" si="3">J10-C11</f>
        <v>256</v>
      </c>
    </row>
    <row r="12" spans="1:10" x14ac:dyDescent="0.25">
      <c r="A12" s="127"/>
      <c r="B12" s="202">
        <f t="shared" ref="B12:B60" si="4">B11</f>
        <v>10</v>
      </c>
      <c r="C12" s="16">
        <v>20</v>
      </c>
      <c r="D12" s="134">
        <f t="shared" si="0"/>
        <v>200</v>
      </c>
      <c r="E12" s="386">
        <v>43533</v>
      </c>
      <c r="F12" s="89">
        <f t="shared" si="1"/>
        <v>200</v>
      </c>
      <c r="G12" s="90" t="s">
        <v>212</v>
      </c>
      <c r="H12" s="91">
        <v>53</v>
      </c>
      <c r="I12" s="364">
        <f t="shared" si="2"/>
        <v>2360</v>
      </c>
      <c r="J12" s="188">
        <f t="shared" si="3"/>
        <v>236</v>
      </c>
    </row>
    <row r="13" spans="1:10" x14ac:dyDescent="0.25">
      <c r="B13" s="202">
        <f t="shared" si="4"/>
        <v>10</v>
      </c>
      <c r="C13" s="16">
        <v>10</v>
      </c>
      <c r="D13" s="134">
        <f t="shared" si="0"/>
        <v>100</v>
      </c>
      <c r="E13" s="386">
        <v>43535</v>
      </c>
      <c r="F13" s="89">
        <f t="shared" si="1"/>
        <v>100</v>
      </c>
      <c r="G13" s="90" t="s">
        <v>213</v>
      </c>
      <c r="H13" s="91">
        <v>53</v>
      </c>
      <c r="I13" s="364">
        <f t="shared" si="2"/>
        <v>2260</v>
      </c>
      <c r="J13" s="188">
        <f t="shared" si="3"/>
        <v>226</v>
      </c>
    </row>
    <row r="14" spans="1:10" x14ac:dyDescent="0.25">
      <c r="A14" s="71" t="s">
        <v>33</v>
      </c>
      <c r="B14" s="202">
        <f t="shared" si="4"/>
        <v>10</v>
      </c>
      <c r="C14" s="16">
        <v>20</v>
      </c>
      <c r="D14" s="134">
        <f t="shared" si="0"/>
        <v>200</v>
      </c>
      <c r="E14" s="386">
        <v>43536</v>
      </c>
      <c r="F14" s="89">
        <f t="shared" si="1"/>
        <v>200</v>
      </c>
      <c r="G14" s="90" t="s">
        <v>217</v>
      </c>
      <c r="H14" s="91">
        <v>53</v>
      </c>
      <c r="I14" s="364">
        <f t="shared" si="2"/>
        <v>2060</v>
      </c>
      <c r="J14" s="188">
        <f t="shared" si="3"/>
        <v>206</v>
      </c>
    </row>
    <row r="15" spans="1:10" x14ac:dyDescent="0.25">
      <c r="B15" s="202">
        <f t="shared" si="4"/>
        <v>10</v>
      </c>
      <c r="C15" s="481">
        <v>15</v>
      </c>
      <c r="D15" s="498">
        <f t="shared" si="0"/>
        <v>150</v>
      </c>
      <c r="E15" s="614">
        <v>43556</v>
      </c>
      <c r="F15" s="482">
        <f t="shared" si="1"/>
        <v>150</v>
      </c>
      <c r="G15" s="483" t="s">
        <v>241</v>
      </c>
      <c r="H15" s="484">
        <v>53</v>
      </c>
      <c r="I15" s="499">
        <f t="shared" si="2"/>
        <v>1910</v>
      </c>
      <c r="J15" s="616">
        <f t="shared" si="3"/>
        <v>191</v>
      </c>
    </row>
    <row r="16" spans="1:10" x14ac:dyDescent="0.25">
      <c r="B16" s="202">
        <f t="shared" si="4"/>
        <v>10</v>
      </c>
      <c r="C16" s="16">
        <v>20</v>
      </c>
      <c r="D16" s="640">
        <f t="shared" ref="D16:D60" si="5">C16*B16</f>
        <v>200</v>
      </c>
      <c r="E16" s="641">
        <v>43560</v>
      </c>
      <c r="F16" s="632">
        <f t="shared" ref="F16:F60" si="6">D16</f>
        <v>200</v>
      </c>
      <c r="G16" s="634" t="s">
        <v>388</v>
      </c>
      <c r="H16" s="635">
        <v>53</v>
      </c>
      <c r="I16" s="364">
        <f t="shared" si="2"/>
        <v>1710</v>
      </c>
      <c r="J16" s="188">
        <f t="shared" si="3"/>
        <v>171</v>
      </c>
    </row>
    <row r="17" spans="2:10" x14ac:dyDescent="0.25">
      <c r="B17" s="202">
        <f t="shared" si="4"/>
        <v>10</v>
      </c>
      <c r="C17" s="16">
        <v>1</v>
      </c>
      <c r="D17" s="640">
        <f t="shared" si="5"/>
        <v>10</v>
      </c>
      <c r="E17" s="641">
        <v>43564</v>
      </c>
      <c r="F17" s="632">
        <f t="shared" si="6"/>
        <v>10</v>
      </c>
      <c r="G17" s="634" t="s">
        <v>397</v>
      </c>
      <c r="H17" s="635">
        <v>53</v>
      </c>
      <c r="I17" s="364">
        <f t="shared" si="2"/>
        <v>1700</v>
      </c>
      <c r="J17" s="188">
        <f t="shared" si="3"/>
        <v>170</v>
      </c>
    </row>
    <row r="18" spans="2:10" x14ac:dyDescent="0.25">
      <c r="B18" s="202">
        <f t="shared" si="4"/>
        <v>10</v>
      </c>
      <c r="C18" s="16">
        <v>21</v>
      </c>
      <c r="D18" s="640">
        <f t="shared" si="5"/>
        <v>210</v>
      </c>
      <c r="E18" s="641">
        <v>43566</v>
      </c>
      <c r="F18" s="632">
        <f t="shared" si="6"/>
        <v>210</v>
      </c>
      <c r="G18" s="634" t="s">
        <v>409</v>
      </c>
      <c r="H18" s="635">
        <v>53</v>
      </c>
      <c r="I18" s="364">
        <f t="shared" si="2"/>
        <v>1490</v>
      </c>
      <c r="J18" s="188">
        <f t="shared" si="3"/>
        <v>149</v>
      </c>
    </row>
    <row r="19" spans="2:10" x14ac:dyDescent="0.25">
      <c r="B19" s="202">
        <f t="shared" si="4"/>
        <v>10</v>
      </c>
      <c r="C19" s="16">
        <v>10</v>
      </c>
      <c r="D19" s="640">
        <f t="shared" si="5"/>
        <v>100</v>
      </c>
      <c r="E19" s="641">
        <v>43573</v>
      </c>
      <c r="F19" s="632">
        <f t="shared" si="6"/>
        <v>100</v>
      </c>
      <c r="G19" s="634" t="s">
        <v>454</v>
      </c>
      <c r="H19" s="635">
        <v>53</v>
      </c>
      <c r="I19" s="364">
        <f t="shared" si="2"/>
        <v>1390</v>
      </c>
      <c r="J19" s="188">
        <f t="shared" si="3"/>
        <v>139</v>
      </c>
    </row>
    <row r="20" spans="2:10" x14ac:dyDescent="0.25">
      <c r="B20" s="202">
        <f t="shared" si="4"/>
        <v>10</v>
      </c>
      <c r="C20" s="16">
        <v>1</v>
      </c>
      <c r="D20" s="640">
        <f t="shared" si="5"/>
        <v>10</v>
      </c>
      <c r="E20" s="641">
        <v>43582</v>
      </c>
      <c r="F20" s="632">
        <f t="shared" si="6"/>
        <v>10</v>
      </c>
      <c r="G20" s="634" t="s">
        <v>510</v>
      </c>
      <c r="H20" s="635">
        <v>53</v>
      </c>
      <c r="I20" s="364">
        <f t="shared" si="2"/>
        <v>1380</v>
      </c>
      <c r="J20" s="188">
        <f t="shared" si="3"/>
        <v>138</v>
      </c>
    </row>
    <row r="21" spans="2:10" x14ac:dyDescent="0.25">
      <c r="B21" s="202">
        <f t="shared" si="4"/>
        <v>10</v>
      </c>
      <c r="C21" s="16">
        <v>1</v>
      </c>
      <c r="D21" s="640">
        <f t="shared" si="5"/>
        <v>10</v>
      </c>
      <c r="E21" s="641">
        <v>43585</v>
      </c>
      <c r="F21" s="632">
        <f t="shared" si="6"/>
        <v>10</v>
      </c>
      <c r="G21" s="634" t="s">
        <v>516</v>
      </c>
      <c r="H21" s="635">
        <v>53</v>
      </c>
      <c r="I21" s="364">
        <f t="shared" si="2"/>
        <v>1370</v>
      </c>
      <c r="J21" s="188">
        <f t="shared" si="3"/>
        <v>137</v>
      </c>
    </row>
    <row r="22" spans="2:10" x14ac:dyDescent="0.25">
      <c r="B22" s="202">
        <f t="shared" si="4"/>
        <v>10</v>
      </c>
      <c r="C22" s="16">
        <v>20</v>
      </c>
      <c r="D22" s="640">
        <f t="shared" si="5"/>
        <v>200</v>
      </c>
      <c r="E22" s="641">
        <v>43587</v>
      </c>
      <c r="F22" s="632">
        <f t="shared" si="6"/>
        <v>200</v>
      </c>
      <c r="G22" s="634" t="s">
        <v>542</v>
      </c>
      <c r="H22" s="635">
        <v>53</v>
      </c>
      <c r="I22" s="364">
        <f t="shared" ref="I22:I59" si="7">I21-F22</f>
        <v>1170</v>
      </c>
      <c r="J22" s="188">
        <f t="shared" si="3"/>
        <v>117</v>
      </c>
    </row>
    <row r="23" spans="2:10" x14ac:dyDescent="0.25">
      <c r="B23" s="202">
        <f t="shared" si="4"/>
        <v>10</v>
      </c>
      <c r="C23" s="16">
        <v>10</v>
      </c>
      <c r="D23" s="640">
        <f t="shared" si="5"/>
        <v>100</v>
      </c>
      <c r="E23" s="641">
        <v>43591</v>
      </c>
      <c r="F23" s="632">
        <f t="shared" si="6"/>
        <v>100</v>
      </c>
      <c r="G23" s="634" t="s">
        <v>557</v>
      </c>
      <c r="H23" s="635">
        <v>53</v>
      </c>
      <c r="I23" s="364">
        <f t="shared" si="7"/>
        <v>1070</v>
      </c>
      <c r="J23" s="188">
        <f t="shared" si="3"/>
        <v>107</v>
      </c>
    </row>
    <row r="24" spans="2:10" x14ac:dyDescent="0.25">
      <c r="B24" s="202">
        <f t="shared" si="4"/>
        <v>10</v>
      </c>
      <c r="C24" s="16"/>
      <c r="D24" s="290">
        <f t="shared" si="5"/>
        <v>0</v>
      </c>
      <c r="E24" s="521"/>
      <c r="F24" s="182">
        <f t="shared" si="6"/>
        <v>0</v>
      </c>
      <c r="G24" s="183"/>
      <c r="H24" s="184"/>
      <c r="I24" s="364">
        <f t="shared" si="7"/>
        <v>1070</v>
      </c>
      <c r="J24" s="188">
        <f t="shared" ref="J24:J59" si="8">J23-C24</f>
        <v>107</v>
      </c>
    </row>
    <row r="25" spans="2:10" x14ac:dyDescent="0.25">
      <c r="B25" s="202">
        <f t="shared" si="4"/>
        <v>10</v>
      </c>
      <c r="C25" s="16"/>
      <c r="D25" s="290">
        <f t="shared" si="5"/>
        <v>0</v>
      </c>
      <c r="E25" s="521"/>
      <c r="F25" s="182">
        <f t="shared" si="6"/>
        <v>0</v>
      </c>
      <c r="G25" s="183"/>
      <c r="H25" s="184"/>
      <c r="I25" s="364">
        <f t="shared" si="7"/>
        <v>1070</v>
      </c>
      <c r="J25" s="188">
        <f t="shared" si="8"/>
        <v>107</v>
      </c>
    </row>
    <row r="26" spans="2:10" x14ac:dyDescent="0.25">
      <c r="B26" s="202">
        <f t="shared" si="4"/>
        <v>10</v>
      </c>
      <c r="C26" s="16"/>
      <c r="D26" s="290">
        <f t="shared" si="5"/>
        <v>0</v>
      </c>
      <c r="E26" s="521"/>
      <c r="F26" s="182">
        <f t="shared" si="6"/>
        <v>0</v>
      </c>
      <c r="G26" s="183"/>
      <c r="H26" s="184"/>
      <c r="I26" s="364">
        <f t="shared" si="7"/>
        <v>1070</v>
      </c>
      <c r="J26" s="188">
        <f t="shared" si="8"/>
        <v>107</v>
      </c>
    </row>
    <row r="27" spans="2:10" x14ac:dyDescent="0.25">
      <c r="B27" s="202">
        <f t="shared" si="4"/>
        <v>10</v>
      </c>
      <c r="C27" s="16"/>
      <c r="D27" s="290">
        <f t="shared" si="5"/>
        <v>0</v>
      </c>
      <c r="E27" s="521"/>
      <c r="F27" s="182">
        <f t="shared" si="6"/>
        <v>0</v>
      </c>
      <c r="G27" s="183"/>
      <c r="H27" s="184"/>
      <c r="I27" s="364">
        <f t="shared" si="7"/>
        <v>1070</v>
      </c>
      <c r="J27" s="188">
        <f t="shared" si="8"/>
        <v>107</v>
      </c>
    </row>
    <row r="28" spans="2:10" x14ac:dyDescent="0.25">
      <c r="B28" s="202">
        <f t="shared" si="4"/>
        <v>10</v>
      </c>
      <c r="C28" s="16"/>
      <c r="D28" s="290">
        <f t="shared" si="5"/>
        <v>0</v>
      </c>
      <c r="E28" s="521"/>
      <c r="F28" s="182">
        <f t="shared" si="6"/>
        <v>0</v>
      </c>
      <c r="G28" s="183"/>
      <c r="H28" s="184"/>
      <c r="I28" s="364">
        <f t="shared" si="7"/>
        <v>1070</v>
      </c>
      <c r="J28" s="188">
        <f t="shared" si="8"/>
        <v>107</v>
      </c>
    </row>
    <row r="29" spans="2:10" x14ac:dyDescent="0.25">
      <c r="B29" s="202">
        <f t="shared" si="4"/>
        <v>10</v>
      </c>
      <c r="C29" s="16"/>
      <c r="D29" s="290">
        <f t="shared" si="5"/>
        <v>0</v>
      </c>
      <c r="E29" s="521"/>
      <c r="F29" s="182">
        <f t="shared" si="6"/>
        <v>0</v>
      </c>
      <c r="G29" s="183"/>
      <c r="H29" s="184"/>
      <c r="I29" s="364">
        <f t="shared" si="7"/>
        <v>1070</v>
      </c>
      <c r="J29" s="188">
        <f t="shared" si="8"/>
        <v>107</v>
      </c>
    </row>
    <row r="30" spans="2:10" x14ac:dyDescent="0.25">
      <c r="B30" s="202">
        <f t="shared" si="4"/>
        <v>10</v>
      </c>
      <c r="C30" s="16"/>
      <c r="D30" s="290">
        <f t="shared" si="5"/>
        <v>0</v>
      </c>
      <c r="E30" s="521"/>
      <c r="F30" s="182">
        <f t="shared" si="6"/>
        <v>0</v>
      </c>
      <c r="G30" s="183"/>
      <c r="H30" s="184"/>
      <c r="I30" s="364">
        <f t="shared" si="7"/>
        <v>1070</v>
      </c>
      <c r="J30" s="188">
        <f t="shared" si="8"/>
        <v>107</v>
      </c>
    </row>
    <row r="31" spans="2:10" x14ac:dyDescent="0.25">
      <c r="B31" s="202">
        <f t="shared" si="4"/>
        <v>10</v>
      </c>
      <c r="C31" s="16"/>
      <c r="D31" s="290">
        <f t="shared" si="5"/>
        <v>0</v>
      </c>
      <c r="E31" s="521"/>
      <c r="F31" s="182">
        <f t="shared" si="6"/>
        <v>0</v>
      </c>
      <c r="G31" s="183"/>
      <c r="H31" s="184"/>
      <c r="I31" s="364">
        <f t="shared" si="7"/>
        <v>1070</v>
      </c>
      <c r="J31" s="188">
        <f t="shared" si="8"/>
        <v>107</v>
      </c>
    </row>
    <row r="32" spans="2:10" x14ac:dyDescent="0.25">
      <c r="B32" s="202">
        <f t="shared" si="4"/>
        <v>10</v>
      </c>
      <c r="C32" s="16"/>
      <c r="D32" s="290">
        <f t="shared" si="5"/>
        <v>0</v>
      </c>
      <c r="E32" s="521"/>
      <c r="F32" s="182">
        <f t="shared" si="6"/>
        <v>0</v>
      </c>
      <c r="G32" s="183"/>
      <c r="H32" s="184"/>
      <c r="I32" s="364">
        <f t="shared" si="7"/>
        <v>1070</v>
      </c>
      <c r="J32" s="188">
        <f t="shared" si="8"/>
        <v>107</v>
      </c>
    </row>
    <row r="33" spans="1:10" x14ac:dyDescent="0.25">
      <c r="B33" s="202">
        <f t="shared" si="4"/>
        <v>10</v>
      </c>
      <c r="C33" s="16"/>
      <c r="D33" s="290">
        <f t="shared" si="5"/>
        <v>0</v>
      </c>
      <c r="E33" s="520"/>
      <c r="F33" s="182">
        <f t="shared" si="6"/>
        <v>0</v>
      </c>
      <c r="G33" s="183"/>
      <c r="H33" s="184"/>
      <c r="I33" s="364">
        <f t="shared" si="7"/>
        <v>1070</v>
      </c>
      <c r="J33" s="188">
        <f t="shared" si="8"/>
        <v>107</v>
      </c>
    </row>
    <row r="34" spans="1:10" x14ac:dyDescent="0.25">
      <c r="B34" s="202">
        <f t="shared" si="4"/>
        <v>10</v>
      </c>
      <c r="C34" s="16"/>
      <c r="D34" s="290">
        <f t="shared" si="5"/>
        <v>0</v>
      </c>
      <c r="E34" s="520"/>
      <c r="F34" s="182">
        <f t="shared" si="6"/>
        <v>0</v>
      </c>
      <c r="G34" s="183"/>
      <c r="H34" s="184"/>
      <c r="I34" s="364">
        <f t="shared" si="7"/>
        <v>1070</v>
      </c>
      <c r="J34" s="188">
        <f t="shared" si="8"/>
        <v>107</v>
      </c>
    </row>
    <row r="35" spans="1:10" x14ac:dyDescent="0.25">
      <c r="B35" s="202">
        <f t="shared" si="4"/>
        <v>10</v>
      </c>
      <c r="C35" s="16"/>
      <c r="D35" s="290">
        <f t="shared" si="5"/>
        <v>0</v>
      </c>
      <c r="E35" s="520"/>
      <c r="F35" s="182">
        <f t="shared" si="6"/>
        <v>0</v>
      </c>
      <c r="G35" s="183"/>
      <c r="H35" s="184"/>
      <c r="I35" s="364">
        <f t="shared" si="7"/>
        <v>1070</v>
      </c>
      <c r="J35" s="188">
        <f t="shared" si="8"/>
        <v>107</v>
      </c>
    </row>
    <row r="36" spans="1:10" x14ac:dyDescent="0.25">
      <c r="A36" s="102"/>
      <c r="B36" s="202">
        <f t="shared" si="4"/>
        <v>10</v>
      </c>
      <c r="C36" s="16"/>
      <c r="D36" s="290">
        <f t="shared" si="5"/>
        <v>0</v>
      </c>
      <c r="E36" s="520"/>
      <c r="F36" s="182">
        <f t="shared" si="6"/>
        <v>0</v>
      </c>
      <c r="G36" s="183"/>
      <c r="H36" s="184"/>
      <c r="I36" s="364">
        <f t="shared" si="7"/>
        <v>1070</v>
      </c>
      <c r="J36" s="188">
        <f t="shared" si="8"/>
        <v>107</v>
      </c>
    </row>
    <row r="37" spans="1:10" x14ac:dyDescent="0.25">
      <c r="B37" s="202">
        <f t="shared" si="4"/>
        <v>10</v>
      </c>
      <c r="C37" s="16"/>
      <c r="D37" s="290">
        <f t="shared" si="5"/>
        <v>0</v>
      </c>
      <c r="E37" s="520"/>
      <c r="F37" s="182">
        <f t="shared" si="6"/>
        <v>0</v>
      </c>
      <c r="G37" s="183"/>
      <c r="H37" s="184"/>
      <c r="I37" s="364">
        <f t="shared" si="7"/>
        <v>1070</v>
      </c>
      <c r="J37" s="188">
        <f t="shared" si="8"/>
        <v>107</v>
      </c>
    </row>
    <row r="38" spans="1:10" x14ac:dyDescent="0.25">
      <c r="B38" s="202">
        <f t="shared" si="4"/>
        <v>10</v>
      </c>
      <c r="C38" s="16"/>
      <c r="D38" s="290">
        <f t="shared" si="5"/>
        <v>0</v>
      </c>
      <c r="E38" s="521"/>
      <c r="F38" s="182">
        <f t="shared" si="6"/>
        <v>0</v>
      </c>
      <c r="G38" s="183"/>
      <c r="H38" s="184"/>
      <c r="I38" s="364">
        <f t="shared" si="7"/>
        <v>1070</v>
      </c>
      <c r="J38" s="188">
        <f t="shared" si="8"/>
        <v>107</v>
      </c>
    </row>
    <row r="39" spans="1:10" x14ac:dyDescent="0.25">
      <c r="B39" s="202">
        <f t="shared" si="4"/>
        <v>10</v>
      </c>
      <c r="C39" s="16"/>
      <c r="D39" s="290">
        <f t="shared" si="5"/>
        <v>0</v>
      </c>
      <c r="E39" s="521"/>
      <c r="F39" s="182">
        <f t="shared" si="6"/>
        <v>0</v>
      </c>
      <c r="G39" s="183"/>
      <c r="H39" s="184"/>
      <c r="I39" s="364">
        <f t="shared" si="7"/>
        <v>1070</v>
      </c>
      <c r="J39" s="188">
        <f t="shared" si="8"/>
        <v>107</v>
      </c>
    </row>
    <row r="40" spans="1:10" x14ac:dyDescent="0.25">
      <c r="B40" s="202">
        <f t="shared" si="4"/>
        <v>10</v>
      </c>
      <c r="C40" s="16"/>
      <c r="D40" s="290">
        <f t="shared" si="5"/>
        <v>0</v>
      </c>
      <c r="E40" s="521"/>
      <c r="F40" s="182">
        <f t="shared" si="6"/>
        <v>0</v>
      </c>
      <c r="G40" s="183"/>
      <c r="H40" s="184"/>
      <c r="I40" s="364">
        <f t="shared" si="7"/>
        <v>1070</v>
      </c>
      <c r="J40" s="188">
        <f t="shared" si="8"/>
        <v>107</v>
      </c>
    </row>
    <row r="41" spans="1:10" x14ac:dyDescent="0.25">
      <c r="B41" s="202">
        <f t="shared" si="4"/>
        <v>10</v>
      </c>
      <c r="C41" s="16"/>
      <c r="D41" s="290">
        <f t="shared" si="5"/>
        <v>0</v>
      </c>
      <c r="E41" s="521"/>
      <c r="F41" s="182">
        <f t="shared" si="6"/>
        <v>0</v>
      </c>
      <c r="G41" s="183"/>
      <c r="H41" s="184"/>
      <c r="I41" s="364">
        <f t="shared" si="7"/>
        <v>1070</v>
      </c>
      <c r="J41" s="188">
        <f t="shared" si="8"/>
        <v>107</v>
      </c>
    </row>
    <row r="42" spans="1:10" x14ac:dyDescent="0.25">
      <c r="B42" s="202">
        <f t="shared" si="4"/>
        <v>10</v>
      </c>
      <c r="C42" s="16"/>
      <c r="D42" s="290">
        <f t="shared" si="5"/>
        <v>0</v>
      </c>
      <c r="E42" s="521"/>
      <c r="F42" s="182">
        <f t="shared" si="6"/>
        <v>0</v>
      </c>
      <c r="G42" s="183"/>
      <c r="H42" s="184"/>
      <c r="I42" s="364">
        <f t="shared" si="7"/>
        <v>1070</v>
      </c>
      <c r="J42" s="188">
        <f t="shared" si="8"/>
        <v>107</v>
      </c>
    </row>
    <row r="43" spans="1:10" x14ac:dyDescent="0.25">
      <c r="B43" s="202">
        <f t="shared" si="4"/>
        <v>10</v>
      </c>
      <c r="C43" s="16"/>
      <c r="D43" s="290">
        <f t="shared" si="5"/>
        <v>0</v>
      </c>
      <c r="E43" s="521"/>
      <c r="F43" s="182">
        <f t="shared" si="6"/>
        <v>0</v>
      </c>
      <c r="G43" s="183"/>
      <c r="H43" s="184"/>
      <c r="I43" s="364">
        <f t="shared" si="7"/>
        <v>1070</v>
      </c>
      <c r="J43" s="188">
        <f t="shared" si="8"/>
        <v>107</v>
      </c>
    </row>
    <row r="44" spans="1:10" x14ac:dyDescent="0.25">
      <c r="B44" s="202">
        <f t="shared" si="4"/>
        <v>10</v>
      </c>
      <c r="C44" s="16"/>
      <c r="D44" s="290">
        <f t="shared" si="5"/>
        <v>0</v>
      </c>
      <c r="E44" s="521"/>
      <c r="F44" s="182">
        <f t="shared" si="6"/>
        <v>0</v>
      </c>
      <c r="G44" s="183"/>
      <c r="H44" s="184"/>
      <c r="I44" s="364">
        <f t="shared" si="7"/>
        <v>1070</v>
      </c>
      <c r="J44" s="188">
        <f t="shared" si="8"/>
        <v>107</v>
      </c>
    </row>
    <row r="45" spans="1:10" x14ac:dyDescent="0.25">
      <c r="B45" s="202">
        <f t="shared" si="4"/>
        <v>10</v>
      </c>
      <c r="C45" s="16"/>
      <c r="D45" s="290">
        <f t="shared" si="5"/>
        <v>0</v>
      </c>
      <c r="E45" s="521"/>
      <c r="F45" s="182">
        <f t="shared" si="6"/>
        <v>0</v>
      </c>
      <c r="G45" s="183"/>
      <c r="H45" s="184"/>
      <c r="I45" s="364">
        <f t="shared" si="7"/>
        <v>1070</v>
      </c>
      <c r="J45" s="188">
        <f t="shared" si="8"/>
        <v>107</v>
      </c>
    </row>
    <row r="46" spans="1:10" x14ac:dyDescent="0.25">
      <c r="B46" s="202">
        <f t="shared" si="4"/>
        <v>10</v>
      </c>
      <c r="C46" s="16"/>
      <c r="D46" s="290">
        <f t="shared" si="5"/>
        <v>0</v>
      </c>
      <c r="E46" s="521"/>
      <c r="F46" s="182">
        <f t="shared" si="6"/>
        <v>0</v>
      </c>
      <c r="G46" s="183"/>
      <c r="H46" s="184"/>
      <c r="I46" s="364">
        <f t="shared" si="7"/>
        <v>1070</v>
      </c>
      <c r="J46" s="188">
        <f t="shared" si="8"/>
        <v>107</v>
      </c>
    </row>
    <row r="47" spans="1:10" x14ac:dyDescent="0.25">
      <c r="B47" s="202">
        <f t="shared" si="4"/>
        <v>10</v>
      </c>
      <c r="C47" s="16"/>
      <c r="D47" s="290">
        <f t="shared" si="5"/>
        <v>0</v>
      </c>
      <c r="E47" s="521"/>
      <c r="F47" s="182">
        <f t="shared" si="6"/>
        <v>0</v>
      </c>
      <c r="G47" s="183"/>
      <c r="H47" s="184"/>
      <c r="I47" s="364">
        <f t="shared" si="7"/>
        <v>1070</v>
      </c>
      <c r="J47" s="188">
        <f t="shared" si="8"/>
        <v>107</v>
      </c>
    </row>
    <row r="48" spans="1:10" x14ac:dyDescent="0.25">
      <c r="B48" s="202">
        <f t="shared" si="4"/>
        <v>10</v>
      </c>
      <c r="C48" s="16"/>
      <c r="D48" s="290">
        <f t="shared" si="5"/>
        <v>0</v>
      </c>
      <c r="E48" s="521"/>
      <c r="F48" s="182">
        <f t="shared" si="6"/>
        <v>0</v>
      </c>
      <c r="G48" s="183"/>
      <c r="H48" s="184"/>
      <c r="I48" s="364">
        <f t="shared" si="7"/>
        <v>1070</v>
      </c>
      <c r="J48" s="188">
        <f t="shared" si="8"/>
        <v>107</v>
      </c>
    </row>
    <row r="49" spans="2:10" x14ac:dyDescent="0.25">
      <c r="B49" s="202">
        <f t="shared" si="4"/>
        <v>10</v>
      </c>
      <c r="C49" s="16"/>
      <c r="D49" s="290">
        <f t="shared" si="5"/>
        <v>0</v>
      </c>
      <c r="E49" s="521"/>
      <c r="F49" s="182">
        <f t="shared" si="6"/>
        <v>0</v>
      </c>
      <c r="G49" s="183"/>
      <c r="H49" s="184"/>
      <c r="I49" s="364">
        <f t="shared" si="7"/>
        <v>1070</v>
      </c>
      <c r="J49" s="188">
        <f t="shared" si="8"/>
        <v>107</v>
      </c>
    </row>
    <row r="50" spans="2:10" x14ac:dyDescent="0.25">
      <c r="B50" s="202">
        <f t="shared" si="4"/>
        <v>10</v>
      </c>
      <c r="C50" s="16"/>
      <c r="D50" s="290">
        <f t="shared" si="5"/>
        <v>0</v>
      </c>
      <c r="E50" s="521"/>
      <c r="F50" s="182">
        <f t="shared" si="6"/>
        <v>0</v>
      </c>
      <c r="G50" s="183"/>
      <c r="H50" s="184"/>
      <c r="I50" s="364">
        <f t="shared" si="7"/>
        <v>1070</v>
      </c>
      <c r="J50" s="188">
        <f t="shared" si="8"/>
        <v>107</v>
      </c>
    </row>
    <row r="51" spans="2:10" x14ac:dyDescent="0.25">
      <c r="B51" s="202">
        <f t="shared" si="4"/>
        <v>10</v>
      </c>
      <c r="C51" s="16"/>
      <c r="D51" s="290">
        <f t="shared" si="5"/>
        <v>0</v>
      </c>
      <c r="E51" s="521"/>
      <c r="F51" s="182">
        <f t="shared" si="6"/>
        <v>0</v>
      </c>
      <c r="G51" s="183"/>
      <c r="H51" s="184"/>
      <c r="I51" s="364">
        <f t="shared" si="7"/>
        <v>1070</v>
      </c>
      <c r="J51" s="188">
        <f t="shared" si="8"/>
        <v>107</v>
      </c>
    </row>
    <row r="52" spans="2:10" x14ac:dyDescent="0.25">
      <c r="B52" s="202">
        <f t="shared" si="4"/>
        <v>10</v>
      </c>
      <c r="C52" s="16"/>
      <c r="D52" s="134">
        <f t="shared" si="5"/>
        <v>0</v>
      </c>
      <c r="E52" s="386"/>
      <c r="F52" s="89">
        <f t="shared" si="6"/>
        <v>0</v>
      </c>
      <c r="G52" s="90"/>
      <c r="H52" s="91"/>
      <c r="I52" s="364">
        <f t="shared" si="7"/>
        <v>1070</v>
      </c>
      <c r="J52" s="188">
        <f t="shared" si="8"/>
        <v>107</v>
      </c>
    </row>
    <row r="53" spans="2:10" x14ac:dyDescent="0.25">
      <c r="B53" s="202">
        <f t="shared" si="4"/>
        <v>10</v>
      </c>
      <c r="C53" s="16"/>
      <c r="D53" s="134">
        <f t="shared" si="5"/>
        <v>0</v>
      </c>
      <c r="E53" s="386"/>
      <c r="F53" s="89">
        <f t="shared" si="6"/>
        <v>0</v>
      </c>
      <c r="G53" s="90"/>
      <c r="H53" s="91"/>
      <c r="I53" s="364">
        <f t="shared" si="7"/>
        <v>1070</v>
      </c>
      <c r="J53" s="188">
        <f t="shared" si="8"/>
        <v>107</v>
      </c>
    </row>
    <row r="54" spans="2:10" x14ac:dyDescent="0.25">
      <c r="B54" s="202">
        <f t="shared" si="4"/>
        <v>10</v>
      </c>
      <c r="C54" s="16"/>
      <c r="D54" s="134">
        <f t="shared" si="5"/>
        <v>0</v>
      </c>
      <c r="E54" s="386"/>
      <c r="F54" s="89">
        <f t="shared" si="6"/>
        <v>0</v>
      </c>
      <c r="G54" s="90"/>
      <c r="H54" s="91"/>
      <c r="I54" s="364">
        <f t="shared" si="7"/>
        <v>1070</v>
      </c>
      <c r="J54" s="188">
        <f t="shared" si="8"/>
        <v>107</v>
      </c>
    </row>
    <row r="55" spans="2:10" x14ac:dyDescent="0.25">
      <c r="B55" s="202">
        <f t="shared" si="4"/>
        <v>10</v>
      </c>
      <c r="C55" s="16"/>
      <c r="D55" s="134">
        <f t="shared" si="5"/>
        <v>0</v>
      </c>
      <c r="E55" s="386"/>
      <c r="F55" s="89">
        <f t="shared" si="6"/>
        <v>0</v>
      </c>
      <c r="G55" s="90"/>
      <c r="H55" s="91"/>
      <c r="I55" s="364">
        <f t="shared" si="7"/>
        <v>1070</v>
      </c>
      <c r="J55" s="188">
        <f t="shared" si="8"/>
        <v>107</v>
      </c>
    </row>
    <row r="56" spans="2:10" x14ac:dyDescent="0.25">
      <c r="B56" s="202">
        <f t="shared" si="4"/>
        <v>10</v>
      </c>
      <c r="C56" s="16"/>
      <c r="D56" s="134">
        <f t="shared" si="5"/>
        <v>0</v>
      </c>
      <c r="E56" s="386"/>
      <c r="F56" s="89">
        <f t="shared" si="6"/>
        <v>0</v>
      </c>
      <c r="G56" s="90"/>
      <c r="H56" s="91"/>
      <c r="I56" s="364">
        <f t="shared" si="7"/>
        <v>1070</v>
      </c>
      <c r="J56" s="188">
        <f t="shared" si="8"/>
        <v>107</v>
      </c>
    </row>
    <row r="57" spans="2:10" x14ac:dyDescent="0.25">
      <c r="B57" s="202">
        <f t="shared" si="4"/>
        <v>10</v>
      </c>
      <c r="C57" s="16"/>
      <c r="D57" s="134">
        <f t="shared" si="5"/>
        <v>0</v>
      </c>
      <c r="E57" s="386"/>
      <c r="F57" s="89">
        <f t="shared" si="6"/>
        <v>0</v>
      </c>
      <c r="G57" s="90"/>
      <c r="H57" s="91"/>
      <c r="I57" s="364">
        <f t="shared" si="7"/>
        <v>1070</v>
      </c>
      <c r="J57" s="188">
        <f t="shared" si="8"/>
        <v>107</v>
      </c>
    </row>
    <row r="58" spans="2:10" x14ac:dyDescent="0.25">
      <c r="B58" s="202">
        <f t="shared" si="4"/>
        <v>10</v>
      </c>
      <c r="C58" s="16"/>
      <c r="D58" s="134">
        <f t="shared" si="5"/>
        <v>0</v>
      </c>
      <c r="E58" s="386"/>
      <c r="F58" s="89">
        <f t="shared" si="6"/>
        <v>0</v>
      </c>
      <c r="G58" s="90"/>
      <c r="H58" s="91"/>
      <c r="I58" s="364">
        <f t="shared" si="7"/>
        <v>1070</v>
      </c>
      <c r="J58" s="188">
        <f t="shared" si="8"/>
        <v>107</v>
      </c>
    </row>
    <row r="59" spans="2:10" x14ac:dyDescent="0.25">
      <c r="B59" s="202">
        <f t="shared" si="4"/>
        <v>10</v>
      </c>
      <c r="C59" s="16"/>
      <c r="D59" s="134">
        <f t="shared" si="5"/>
        <v>0</v>
      </c>
      <c r="E59" s="386"/>
      <c r="F59" s="89">
        <f t="shared" si="6"/>
        <v>0</v>
      </c>
      <c r="G59" s="90"/>
      <c r="H59" s="91"/>
      <c r="I59" s="364">
        <f t="shared" si="7"/>
        <v>1070</v>
      </c>
      <c r="J59" s="188">
        <f t="shared" si="8"/>
        <v>107</v>
      </c>
    </row>
    <row r="60" spans="2:10" ht="15.75" thickBot="1" x14ac:dyDescent="0.3">
      <c r="B60" s="202">
        <f t="shared" si="4"/>
        <v>10</v>
      </c>
      <c r="C60" s="40"/>
      <c r="D60" s="235">
        <f t="shared" si="5"/>
        <v>0</v>
      </c>
      <c r="E60" s="391"/>
      <c r="F60" s="235">
        <f t="shared" si="6"/>
        <v>0</v>
      </c>
      <c r="G60" s="209"/>
      <c r="H60" s="392"/>
    </row>
    <row r="61" spans="2:10" ht="15.75" thickTop="1" x14ac:dyDescent="0.25">
      <c r="C61" s="16">
        <f>SUM(C9:C60)</f>
        <v>199</v>
      </c>
      <c r="D61" s="7">
        <f>SUM(D9:D60)</f>
        <v>1990</v>
      </c>
      <c r="E61" s="14"/>
      <c r="F61" s="7">
        <f>SUM(F9:F60)</f>
        <v>1990</v>
      </c>
      <c r="G61" s="32"/>
      <c r="H61" s="18"/>
    </row>
    <row r="62" spans="2:10" ht="15.75" thickBot="1" x14ac:dyDescent="0.3">
      <c r="C62" s="16"/>
      <c r="D62" s="7"/>
      <c r="E62" s="14"/>
      <c r="F62" s="7"/>
      <c r="G62" s="32"/>
      <c r="H62" s="18"/>
    </row>
    <row r="63" spans="2:10" x14ac:dyDescent="0.25">
      <c r="C63" s="55" t="s">
        <v>4</v>
      </c>
      <c r="D63" s="45">
        <f>F4+F5-C61+F6+F7</f>
        <v>107</v>
      </c>
      <c r="E63" s="43"/>
      <c r="F63" s="7"/>
      <c r="G63" s="32"/>
      <c r="H63" s="18"/>
    </row>
    <row r="64" spans="2:10" x14ac:dyDescent="0.25">
      <c r="C64" s="765" t="s">
        <v>19</v>
      </c>
      <c r="D64" s="766"/>
      <c r="E64" s="42">
        <f>E4+E5-F61+E6+E7</f>
        <v>1070</v>
      </c>
      <c r="F64" s="7"/>
      <c r="G64" s="7"/>
      <c r="H64" s="18"/>
    </row>
    <row r="65" spans="3:8" ht="15.75" thickBot="1" x14ac:dyDescent="0.3">
      <c r="C65" s="48"/>
      <c r="D65" s="46"/>
      <c r="E65" s="44"/>
      <c r="F65" s="7"/>
      <c r="G65" s="32"/>
      <c r="H65" s="18"/>
    </row>
    <row r="66" spans="3:8" x14ac:dyDescent="0.25">
      <c r="C66" s="16"/>
      <c r="D66" s="7"/>
      <c r="E66" s="14"/>
      <c r="F66" s="7"/>
      <c r="G66" s="32"/>
      <c r="H66" s="18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43A7-6075-4B51-8284-E3C753D3708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J65"/>
  <sheetViews>
    <sheetView workbookViewId="0">
      <selection activeCell="G20" sqref="G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762" t="s">
        <v>244</v>
      </c>
      <c r="B1" s="762"/>
      <c r="C1" s="762"/>
      <c r="D1" s="762"/>
      <c r="E1" s="762"/>
      <c r="F1" s="762"/>
      <c r="G1" s="762"/>
      <c r="H1" s="141">
        <v>1</v>
      </c>
    </row>
    <row r="2" spans="1:10" ht="15.75" thickBot="1" x14ac:dyDescent="0.3">
      <c r="D2" s="51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6.5" thickTop="1" thickBot="1" x14ac:dyDescent="0.3">
      <c r="B4" s="13"/>
      <c r="C4" s="91"/>
      <c r="D4" s="171"/>
      <c r="E4" s="80"/>
      <c r="F4" s="215"/>
      <c r="G4" s="97"/>
    </row>
    <row r="5" spans="1:10" ht="15.75" customHeight="1" thickBot="1" x14ac:dyDescent="0.3">
      <c r="A5" s="207" t="s">
        <v>87</v>
      </c>
      <c r="B5" s="763" t="s">
        <v>269</v>
      </c>
      <c r="C5" s="420">
        <v>29.5</v>
      </c>
      <c r="D5" s="171">
        <v>43558</v>
      </c>
      <c r="E5" s="73">
        <v>1000</v>
      </c>
      <c r="F5" s="114">
        <v>100</v>
      </c>
      <c r="G5" s="219">
        <f>F62</f>
        <v>1600</v>
      </c>
      <c r="H5" s="76">
        <f>E4+E5+E6-G5</f>
        <v>400</v>
      </c>
    </row>
    <row r="6" spans="1:10" ht="17.25" thickTop="1" thickBot="1" x14ac:dyDescent="0.3">
      <c r="B6" s="764"/>
      <c r="C6" s="420">
        <v>29.5</v>
      </c>
      <c r="D6" s="519">
        <v>43577</v>
      </c>
      <c r="E6" s="459">
        <v>1000</v>
      </c>
      <c r="F6" s="287">
        <v>100</v>
      </c>
      <c r="G6" s="97"/>
      <c r="I6" s="771" t="s">
        <v>151</v>
      </c>
      <c r="J6" s="773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72"/>
      <c r="J7" s="774"/>
    </row>
    <row r="8" spans="1:10" ht="15.75" thickTop="1" x14ac:dyDescent="0.25">
      <c r="A8" s="2"/>
      <c r="B8" s="125">
        <v>10</v>
      </c>
      <c r="C8" s="16">
        <v>10</v>
      </c>
      <c r="D8" s="236">
        <f t="shared" ref="D8:D13" si="0">C8*B8</f>
        <v>100</v>
      </c>
      <c r="E8" s="119">
        <v>43560</v>
      </c>
      <c r="F8" s="89">
        <f t="shared" ref="F8:F13" si="1">D8</f>
        <v>100</v>
      </c>
      <c r="G8" s="90" t="s">
        <v>388</v>
      </c>
      <c r="H8" s="91">
        <v>34</v>
      </c>
      <c r="I8" s="422">
        <f>E4+E5+E6-F8</f>
        <v>1900</v>
      </c>
      <c r="J8" s="188">
        <f>F4+F5+F6-C8</f>
        <v>190</v>
      </c>
    </row>
    <row r="9" spans="1:10" x14ac:dyDescent="0.25">
      <c r="A9" s="2"/>
      <c r="B9" s="125">
        <v>10</v>
      </c>
      <c r="C9" s="16">
        <v>5</v>
      </c>
      <c r="D9" s="236">
        <f t="shared" si="0"/>
        <v>50</v>
      </c>
      <c r="E9" s="119">
        <v>43563</v>
      </c>
      <c r="F9" s="89">
        <f t="shared" si="1"/>
        <v>50</v>
      </c>
      <c r="G9" s="90" t="s">
        <v>395</v>
      </c>
      <c r="H9" s="91">
        <v>34</v>
      </c>
      <c r="I9" s="422">
        <f>I8-F9</f>
        <v>1850</v>
      </c>
      <c r="J9" s="188">
        <f>J8-C9</f>
        <v>185</v>
      </c>
    </row>
    <row r="10" spans="1:10" x14ac:dyDescent="0.25">
      <c r="A10" s="120" t="s">
        <v>32</v>
      </c>
      <c r="B10" s="125">
        <v>10</v>
      </c>
      <c r="C10" s="16">
        <v>20</v>
      </c>
      <c r="D10" s="236">
        <f t="shared" si="0"/>
        <v>200</v>
      </c>
      <c r="E10" s="135">
        <v>43565</v>
      </c>
      <c r="F10" s="89">
        <f t="shared" si="1"/>
        <v>200</v>
      </c>
      <c r="G10" s="90" t="s">
        <v>400</v>
      </c>
      <c r="H10" s="91">
        <v>34</v>
      </c>
      <c r="I10" s="422">
        <f t="shared" ref="I10:I51" si="2">I9-F10</f>
        <v>1650</v>
      </c>
      <c r="J10" s="188">
        <f t="shared" ref="J10:J51" si="3">J9-C10</f>
        <v>165</v>
      </c>
    </row>
    <row r="11" spans="1:10" x14ac:dyDescent="0.25">
      <c r="A11" s="121"/>
      <c r="B11" s="125">
        <v>10</v>
      </c>
      <c r="C11" s="16">
        <v>30</v>
      </c>
      <c r="D11" s="236">
        <f t="shared" si="0"/>
        <v>300</v>
      </c>
      <c r="E11" s="135">
        <v>43566</v>
      </c>
      <c r="F11" s="89">
        <f t="shared" si="1"/>
        <v>300</v>
      </c>
      <c r="G11" s="90" t="s">
        <v>410</v>
      </c>
      <c r="H11" s="91">
        <v>34</v>
      </c>
      <c r="I11" s="422">
        <f t="shared" si="2"/>
        <v>1350</v>
      </c>
      <c r="J11" s="188">
        <f t="shared" si="3"/>
        <v>135</v>
      </c>
    </row>
    <row r="12" spans="1:10" x14ac:dyDescent="0.25">
      <c r="A12" s="125"/>
      <c r="B12" s="125">
        <v>10</v>
      </c>
      <c r="C12" s="16">
        <v>20</v>
      </c>
      <c r="D12" s="236">
        <f t="shared" si="0"/>
        <v>200</v>
      </c>
      <c r="E12" s="135">
        <v>43571</v>
      </c>
      <c r="F12" s="89">
        <f t="shared" si="1"/>
        <v>200</v>
      </c>
      <c r="G12" s="90" t="s">
        <v>431</v>
      </c>
      <c r="H12" s="91">
        <v>34</v>
      </c>
      <c r="I12" s="422">
        <f t="shared" si="2"/>
        <v>1150</v>
      </c>
      <c r="J12" s="188">
        <f t="shared" si="3"/>
        <v>115</v>
      </c>
    </row>
    <row r="13" spans="1:10" x14ac:dyDescent="0.25">
      <c r="A13" s="122" t="s">
        <v>33</v>
      </c>
      <c r="B13" s="125">
        <v>10</v>
      </c>
      <c r="C13" s="16">
        <v>10</v>
      </c>
      <c r="D13" s="236">
        <f t="shared" si="0"/>
        <v>100</v>
      </c>
      <c r="E13" s="135">
        <v>43573</v>
      </c>
      <c r="F13" s="89">
        <f t="shared" si="1"/>
        <v>100</v>
      </c>
      <c r="G13" s="90" t="s">
        <v>518</v>
      </c>
      <c r="H13" s="91">
        <v>34</v>
      </c>
      <c r="I13" s="422">
        <f t="shared" si="2"/>
        <v>1050</v>
      </c>
      <c r="J13" s="188">
        <f t="shared" si="3"/>
        <v>105</v>
      </c>
    </row>
    <row r="14" spans="1:10" x14ac:dyDescent="0.25">
      <c r="A14" s="121"/>
      <c r="B14" s="125">
        <v>10</v>
      </c>
      <c r="C14" s="16">
        <v>10</v>
      </c>
      <c r="D14" s="236">
        <f t="shared" ref="D14:D60" si="4">C14*B14</f>
        <v>100</v>
      </c>
      <c r="E14" s="119">
        <v>43579</v>
      </c>
      <c r="F14" s="89">
        <f t="shared" ref="F14:F61" si="5">D14</f>
        <v>100</v>
      </c>
      <c r="G14" s="90" t="s">
        <v>465</v>
      </c>
      <c r="H14" s="91">
        <v>34</v>
      </c>
      <c r="I14" s="422">
        <f t="shared" si="2"/>
        <v>950</v>
      </c>
      <c r="J14" s="188">
        <f t="shared" si="3"/>
        <v>95</v>
      </c>
    </row>
    <row r="15" spans="1:10" x14ac:dyDescent="0.25">
      <c r="A15" s="125"/>
      <c r="B15" s="125">
        <v>10</v>
      </c>
      <c r="C15" s="16">
        <v>15</v>
      </c>
      <c r="D15" s="236">
        <f t="shared" si="4"/>
        <v>150</v>
      </c>
      <c r="E15" s="135">
        <v>43582</v>
      </c>
      <c r="F15" s="89">
        <f t="shared" si="5"/>
        <v>150</v>
      </c>
      <c r="G15" s="90" t="s">
        <v>511</v>
      </c>
      <c r="H15" s="91">
        <v>34</v>
      </c>
      <c r="I15" s="422">
        <f t="shared" si="2"/>
        <v>800</v>
      </c>
      <c r="J15" s="188">
        <f t="shared" si="3"/>
        <v>80</v>
      </c>
    </row>
    <row r="16" spans="1:10" x14ac:dyDescent="0.25">
      <c r="A16" s="2"/>
      <c r="B16" s="125">
        <v>10</v>
      </c>
      <c r="C16" s="16">
        <v>15</v>
      </c>
      <c r="D16" s="236">
        <f t="shared" si="4"/>
        <v>150</v>
      </c>
      <c r="E16" s="135">
        <v>43585</v>
      </c>
      <c r="F16" s="89">
        <f t="shared" si="5"/>
        <v>150</v>
      </c>
      <c r="G16" s="375" t="s">
        <v>517</v>
      </c>
      <c r="H16" s="91">
        <v>34</v>
      </c>
      <c r="I16" s="422">
        <f t="shared" si="2"/>
        <v>650</v>
      </c>
      <c r="J16" s="188">
        <f t="shared" si="3"/>
        <v>65</v>
      </c>
    </row>
    <row r="17" spans="1:10" x14ac:dyDescent="0.25">
      <c r="A17" s="2"/>
      <c r="B17" s="125">
        <v>10</v>
      </c>
      <c r="C17" s="62">
        <v>20</v>
      </c>
      <c r="D17" s="236">
        <f t="shared" si="4"/>
        <v>200</v>
      </c>
      <c r="E17" s="135">
        <v>43588</v>
      </c>
      <c r="F17" s="89">
        <f t="shared" si="5"/>
        <v>200</v>
      </c>
      <c r="G17" s="90" t="s">
        <v>543</v>
      </c>
      <c r="H17" s="91">
        <v>34</v>
      </c>
      <c r="I17" s="422">
        <f t="shared" si="2"/>
        <v>450</v>
      </c>
      <c r="J17" s="188">
        <f t="shared" si="3"/>
        <v>45</v>
      </c>
    </row>
    <row r="18" spans="1:10" x14ac:dyDescent="0.25">
      <c r="A18" s="2"/>
      <c r="B18" s="125">
        <v>10</v>
      </c>
      <c r="C18" s="16">
        <v>5</v>
      </c>
      <c r="D18" s="236">
        <f t="shared" si="4"/>
        <v>50</v>
      </c>
      <c r="E18" s="119">
        <v>43589</v>
      </c>
      <c r="F18" s="89">
        <f t="shared" si="5"/>
        <v>50</v>
      </c>
      <c r="G18" s="90" t="s">
        <v>551</v>
      </c>
      <c r="H18" s="91">
        <v>34</v>
      </c>
      <c r="I18" s="422">
        <f t="shared" si="2"/>
        <v>400</v>
      </c>
      <c r="J18" s="188">
        <f t="shared" si="3"/>
        <v>40</v>
      </c>
    </row>
    <row r="19" spans="1:10" x14ac:dyDescent="0.25">
      <c r="A19" s="2"/>
      <c r="B19" s="125">
        <v>10</v>
      </c>
      <c r="C19" s="16"/>
      <c r="D19" s="236">
        <f t="shared" si="4"/>
        <v>0</v>
      </c>
      <c r="E19" s="119"/>
      <c r="F19" s="89">
        <f t="shared" si="5"/>
        <v>0</v>
      </c>
      <c r="G19" s="90"/>
      <c r="H19" s="91"/>
      <c r="I19" s="422">
        <f t="shared" si="2"/>
        <v>400</v>
      </c>
      <c r="J19" s="188">
        <f t="shared" si="3"/>
        <v>40</v>
      </c>
    </row>
    <row r="20" spans="1:10" x14ac:dyDescent="0.25">
      <c r="A20" s="2"/>
      <c r="B20" s="125">
        <v>10</v>
      </c>
      <c r="C20" s="16"/>
      <c r="D20" s="236">
        <f t="shared" si="4"/>
        <v>0</v>
      </c>
      <c r="E20" s="119"/>
      <c r="F20" s="89">
        <f t="shared" si="5"/>
        <v>0</v>
      </c>
      <c r="G20" s="90"/>
      <c r="H20" s="91"/>
      <c r="I20" s="422">
        <f t="shared" si="2"/>
        <v>400</v>
      </c>
      <c r="J20" s="188">
        <f t="shared" si="3"/>
        <v>40</v>
      </c>
    </row>
    <row r="21" spans="1:10" x14ac:dyDescent="0.25">
      <c r="A21" s="2"/>
      <c r="B21" s="125">
        <v>10</v>
      </c>
      <c r="C21" s="16"/>
      <c r="D21" s="236">
        <f t="shared" si="4"/>
        <v>0</v>
      </c>
      <c r="E21" s="135"/>
      <c r="F21" s="89">
        <f t="shared" si="5"/>
        <v>0</v>
      </c>
      <c r="G21" s="90"/>
      <c r="H21" s="91"/>
      <c r="I21" s="422">
        <f t="shared" si="2"/>
        <v>400</v>
      </c>
      <c r="J21" s="188">
        <f t="shared" si="3"/>
        <v>40</v>
      </c>
    </row>
    <row r="22" spans="1:10" x14ac:dyDescent="0.25">
      <c r="A22" s="2"/>
      <c r="B22" s="125">
        <v>10</v>
      </c>
      <c r="C22" s="16"/>
      <c r="D22" s="236">
        <f t="shared" si="4"/>
        <v>0</v>
      </c>
      <c r="E22" s="135"/>
      <c r="F22" s="89">
        <f t="shared" si="5"/>
        <v>0</v>
      </c>
      <c r="G22" s="90"/>
      <c r="H22" s="91"/>
      <c r="I22" s="422">
        <f t="shared" si="2"/>
        <v>400</v>
      </c>
      <c r="J22" s="188">
        <f t="shared" si="3"/>
        <v>40</v>
      </c>
    </row>
    <row r="23" spans="1:10" x14ac:dyDescent="0.25">
      <c r="A23" s="2"/>
      <c r="B23" s="125">
        <v>10</v>
      </c>
      <c r="C23" s="16"/>
      <c r="D23" s="236">
        <f t="shared" si="4"/>
        <v>0</v>
      </c>
      <c r="E23" s="135"/>
      <c r="F23" s="89">
        <f t="shared" si="5"/>
        <v>0</v>
      </c>
      <c r="G23" s="608"/>
      <c r="H23" s="609"/>
      <c r="I23" s="617">
        <f t="shared" si="2"/>
        <v>400</v>
      </c>
      <c r="J23" s="188">
        <f t="shared" si="3"/>
        <v>40</v>
      </c>
    </row>
    <row r="24" spans="1:10" x14ac:dyDescent="0.25">
      <c r="A24" s="2"/>
      <c r="B24" s="125">
        <v>10</v>
      </c>
      <c r="C24" s="16"/>
      <c r="D24" s="236">
        <f t="shared" si="4"/>
        <v>0</v>
      </c>
      <c r="E24" s="135"/>
      <c r="F24" s="89">
        <f t="shared" si="5"/>
        <v>0</v>
      </c>
      <c r="G24" s="608"/>
      <c r="H24" s="609"/>
      <c r="I24" s="617">
        <f t="shared" si="2"/>
        <v>400</v>
      </c>
      <c r="J24" s="188">
        <f t="shared" si="3"/>
        <v>40</v>
      </c>
    </row>
    <row r="25" spans="1:10" x14ac:dyDescent="0.25">
      <c r="A25" s="2"/>
      <c r="B25" s="125">
        <v>10</v>
      </c>
      <c r="C25" s="16"/>
      <c r="D25" s="236">
        <f t="shared" si="4"/>
        <v>0</v>
      </c>
      <c r="E25" s="119"/>
      <c r="F25" s="89">
        <f t="shared" si="5"/>
        <v>0</v>
      </c>
      <c r="G25" s="608"/>
      <c r="H25" s="609"/>
      <c r="I25" s="617">
        <f t="shared" si="2"/>
        <v>400</v>
      </c>
      <c r="J25" s="188">
        <f t="shared" si="3"/>
        <v>40</v>
      </c>
    </row>
    <row r="26" spans="1:10" x14ac:dyDescent="0.25">
      <c r="A26" s="2"/>
      <c r="B26" s="125">
        <v>10</v>
      </c>
      <c r="C26" s="16"/>
      <c r="D26" s="236">
        <f t="shared" si="4"/>
        <v>0</v>
      </c>
      <c r="E26" s="119"/>
      <c r="F26" s="89">
        <f t="shared" si="5"/>
        <v>0</v>
      </c>
      <c r="G26" s="608"/>
      <c r="H26" s="609"/>
      <c r="I26" s="617">
        <f t="shared" si="2"/>
        <v>400</v>
      </c>
      <c r="J26" s="618">
        <f t="shared" si="3"/>
        <v>40</v>
      </c>
    </row>
    <row r="27" spans="1:10" x14ac:dyDescent="0.25">
      <c r="A27" s="2"/>
      <c r="B27" s="125">
        <v>10</v>
      </c>
      <c r="C27" s="16"/>
      <c r="D27" s="236">
        <f t="shared" si="4"/>
        <v>0</v>
      </c>
      <c r="E27" s="119"/>
      <c r="F27" s="89">
        <f t="shared" si="5"/>
        <v>0</v>
      </c>
      <c r="G27" s="608"/>
      <c r="H27" s="609"/>
      <c r="I27" s="617">
        <f t="shared" si="2"/>
        <v>400</v>
      </c>
      <c r="J27" s="618">
        <f t="shared" si="3"/>
        <v>40</v>
      </c>
    </row>
    <row r="28" spans="1:10" x14ac:dyDescent="0.25">
      <c r="A28" s="2"/>
      <c r="B28" s="125">
        <v>10</v>
      </c>
      <c r="C28" s="16"/>
      <c r="D28" s="236">
        <f t="shared" si="4"/>
        <v>0</v>
      </c>
      <c r="E28" s="119"/>
      <c r="F28" s="89">
        <f t="shared" si="5"/>
        <v>0</v>
      </c>
      <c r="G28" s="608"/>
      <c r="H28" s="609"/>
      <c r="I28" s="617">
        <f t="shared" si="2"/>
        <v>400</v>
      </c>
      <c r="J28" s="618">
        <f t="shared" si="3"/>
        <v>40</v>
      </c>
    </row>
    <row r="29" spans="1:10" x14ac:dyDescent="0.25">
      <c r="A29" s="2"/>
      <c r="B29" s="125">
        <v>10</v>
      </c>
      <c r="C29" s="16"/>
      <c r="D29" s="236">
        <f t="shared" si="4"/>
        <v>0</v>
      </c>
      <c r="E29" s="119"/>
      <c r="F29" s="89">
        <f t="shared" si="5"/>
        <v>0</v>
      </c>
      <c r="G29" s="608"/>
      <c r="H29" s="609"/>
      <c r="I29" s="617">
        <f t="shared" si="2"/>
        <v>400</v>
      </c>
      <c r="J29" s="618">
        <f t="shared" si="3"/>
        <v>40</v>
      </c>
    </row>
    <row r="30" spans="1:10" x14ac:dyDescent="0.25">
      <c r="A30" s="2"/>
      <c r="B30" s="125">
        <v>10</v>
      </c>
      <c r="C30" s="16"/>
      <c r="D30" s="236">
        <f t="shared" si="4"/>
        <v>0</v>
      </c>
      <c r="E30" s="119"/>
      <c r="F30" s="89">
        <f t="shared" si="5"/>
        <v>0</v>
      </c>
      <c r="G30" s="608"/>
      <c r="H30" s="609"/>
      <c r="I30" s="617">
        <f t="shared" si="2"/>
        <v>400</v>
      </c>
      <c r="J30" s="618">
        <f t="shared" si="3"/>
        <v>40</v>
      </c>
    </row>
    <row r="31" spans="1:10" x14ac:dyDescent="0.25">
      <c r="A31" s="2"/>
      <c r="B31" s="125">
        <v>10</v>
      </c>
      <c r="C31" s="16"/>
      <c r="D31" s="236">
        <f t="shared" si="4"/>
        <v>0</v>
      </c>
      <c r="E31" s="119"/>
      <c r="F31" s="89">
        <f t="shared" si="5"/>
        <v>0</v>
      </c>
      <c r="G31" s="90"/>
      <c r="H31" s="91"/>
      <c r="I31" s="422">
        <f t="shared" si="2"/>
        <v>400</v>
      </c>
      <c r="J31" s="188">
        <f t="shared" si="3"/>
        <v>40</v>
      </c>
    </row>
    <row r="32" spans="1:10" x14ac:dyDescent="0.25">
      <c r="A32" s="2"/>
      <c r="B32" s="125">
        <v>10</v>
      </c>
      <c r="C32" s="16"/>
      <c r="D32" s="236">
        <f t="shared" si="4"/>
        <v>0</v>
      </c>
      <c r="E32" s="126"/>
      <c r="F32" s="89">
        <f t="shared" si="5"/>
        <v>0</v>
      </c>
      <c r="G32" s="90"/>
      <c r="H32" s="91"/>
      <c r="I32" s="422">
        <f t="shared" si="2"/>
        <v>400</v>
      </c>
      <c r="J32" s="188">
        <f t="shared" si="3"/>
        <v>40</v>
      </c>
    </row>
    <row r="33" spans="1:10" x14ac:dyDescent="0.25">
      <c r="A33" s="2"/>
      <c r="B33" s="125">
        <v>10</v>
      </c>
      <c r="C33" s="16"/>
      <c r="D33" s="236">
        <f t="shared" si="4"/>
        <v>0</v>
      </c>
      <c r="E33" s="126"/>
      <c r="F33" s="89">
        <f t="shared" si="5"/>
        <v>0</v>
      </c>
      <c r="G33" s="90"/>
      <c r="H33" s="91"/>
      <c r="I33" s="422">
        <f t="shared" si="2"/>
        <v>400</v>
      </c>
      <c r="J33" s="188">
        <f t="shared" si="3"/>
        <v>40</v>
      </c>
    </row>
    <row r="34" spans="1:10" x14ac:dyDescent="0.25">
      <c r="A34" s="2"/>
      <c r="B34" s="125">
        <v>10</v>
      </c>
      <c r="C34" s="16"/>
      <c r="D34" s="236">
        <f t="shared" si="4"/>
        <v>0</v>
      </c>
      <c r="E34" s="126"/>
      <c r="F34" s="89">
        <f t="shared" si="5"/>
        <v>0</v>
      </c>
      <c r="G34" s="90"/>
      <c r="H34" s="91"/>
      <c r="I34" s="422">
        <f t="shared" si="2"/>
        <v>400</v>
      </c>
      <c r="J34" s="188">
        <f t="shared" si="3"/>
        <v>40</v>
      </c>
    </row>
    <row r="35" spans="1:10" x14ac:dyDescent="0.25">
      <c r="A35" s="2"/>
      <c r="B35" s="125">
        <v>10</v>
      </c>
      <c r="C35" s="16"/>
      <c r="D35" s="236">
        <f t="shared" si="4"/>
        <v>0</v>
      </c>
      <c r="E35" s="126"/>
      <c r="F35" s="89">
        <f t="shared" si="5"/>
        <v>0</v>
      </c>
      <c r="G35" s="90"/>
      <c r="H35" s="91"/>
      <c r="I35" s="422">
        <f t="shared" si="2"/>
        <v>400</v>
      </c>
      <c r="J35" s="188">
        <f t="shared" si="3"/>
        <v>40</v>
      </c>
    </row>
    <row r="36" spans="1:10" x14ac:dyDescent="0.25">
      <c r="A36" s="2"/>
      <c r="B36" s="125">
        <v>10</v>
      </c>
      <c r="C36" s="16"/>
      <c r="D36" s="236">
        <f t="shared" si="4"/>
        <v>0</v>
      </c>
      <c r="E36" s="126"/>
      <c r="F36" s="89">
        <f t="shared" si="5"/>
        <v>0</v>
      </c>
      <c r="G36" s="90"/>
      <c r="H36" s="91"/>
      <c r="I36" s="422">
        <f t="shared" si="2"/>
        <v>400</v>
      </c>
      <c r="J36" s="188">
        <f t="shared" si="3"/>
        <v>40</v>
      </c>
    </row>
    <row r="37" spans="1:10" x14ac:dyDescent="0.25">
      <c r="A37" s="2"/>
      <c r="B37" s="125">
        <v>10</v>
      </c>
      <c r="C37" s="16"/>
      <c r="D37" s="236">
        <f t="shared" si="4"/>
        <v>0</v>
      </c>
      <c r="E37" s="126"/>
      <c r="F37" s="89">
        <f t="shared" si="5"/>
        <v>0</v>
      </c>
      <c r="G37" s="90"/>
      <c r="H37" s="91"/>
      <c r="I37" s="422">
        <f t="shared" si="2"/>
        <v>400</v>
      </c>
      <c r="J37" s="188">
        <f t="shared" si="3"/>
        <v>40</v>
      </c>
    </row>
    <row r="38" spans="1:10" x14ac:dyDescent="0.25">
      <c r="A38" s="2"/>
      <c r="B38" s="125">
        <v>10</v>
      </c>
      <c r="C38" s="16"/>
      <c r="D38" s="236">
        <f t="shared" si="4"/>
        <v>0</v>
      </c>
      <c r="E38" s="126"/>
      <c r="F38" s="89">
        <f t="shared" si="5"/>
        <v>0</v>
      </c>
      <c r="G38" s="90"/>
      <c r="H38" s="91"/>
      <c r="I38" s="422">
        <f t="shared" si="2"/>
        <v>400</v>
      </c>
      <c r="J38" s="188">
        <f t="shared" si="3"/>
        <v>40</v>
      </c>
    </row>
    <row r="39" spans="1:10" x14ac:dyDescent="0.25">
      <c r="A39" s="2"/>
      <c r="B39" s="125">
        <v>10</v>
      </c>
      <c r="C39" s="16"/>
      <c r="D39" s="236">
        <f t="shared" si="4"/>
        <v>0</v>
      </c>
      <c r="E39" s="126"/>
      <c r="F39" s="89">
        <f t="shared" si="5"/>
        <v>0</v>
      </c>
      <c r="G39" s="90"/>
      <c r="H39" s="91"/>
      <c r="I39" s="422">
        <f t="shared" si="2"/>
        <v>400</v>
      </c>
      <c r="J39" s="188">
        <f t="shared" si="3"/>
        <v>40</v>
      </c>
    </row>
    <row r="40" spans="1:10" x14ac:dyDescent="0.25">
      <c r="A40" s="2"/>
      <c r="B40" s="125">
        <v>10</v>
      </c>
      <c r="C40" s="16"/>
      <c r="D40" s="236">
        <f t="shared" si="4"/>
        <v>0</v>
      </c>
      <c r="E40" s="126"/>
      <c r="F40" s="89">
        <f t="shared" si="5"/>
        <v>0</v>
      </c>
      <c r="G40" s="90"/>
      <c r="H40" s="91"/>
      <c r="I40" s="422">
        <f t="shared" si="2"/>
        <v>400</v>
      </c>
      <c r="J40" s="188">
        <f t="shared" si="3"/>
        <v>40</v>
      </c>
    </row>
    <row r="41" spans="1:10" x14ac:dyDescent="0.25">
      <c r="A41" s="2"/>
      <c r="B41" s="125">
        <v>10</v>
      </c>
      <c r="C41" s="16"/>
      <c r="D41" s="236">
        <f t="shared" si="4"/>
        <v>0</v>
      </c>
      <c r="E41" s="126"/>
      <c r="F41" s="89">
        <f t="shared" si="5"/>
        <v>0</v>
      </c>
      <c r="G41" s="90"/>
      <c r="H41" s="91"/>
      <c r="I41" s="422">
        <f t="shared" si="2"/>
        <v>400</v>
      </c>
      <c r="J41" s="188">
        <f t="shared" si="3"/>
        <v>40</v>
      </c>
    </row>
    <row r="42" spans="1:10" x14ac:dyDescent="0.25">
      <c r="A42" s="2"/>
      <c r="B42" s="125">
        <v>10</v>
      </c>
      <c r="C42" s="16"/>
      <c r="D42" s="236">
        <f t="shared" si="4"/>
        <v>0</v>
      </c>
      <c r="E42" s="126"/>
      <c r="F42" s="89">
        <f t="shared" si="5"/>
        <v>0</v>
      </c>
      <c r="G42" s="90"/>
      <c r="H42" s="91"/>
      <c r="I42" s="422">
        <f t="shared" si="2"/>
        <v>400</v>
      </c>
      <c r="J42" s="188">
        <f t="shared" si="3"/>
        <v>40</v>
      </c>
    </row>
    <row r="43" spans="1:10" x14ac:dyDescent="0.25">
      <c r="A43" s="2"/>
      <c r="B43" s="125">
        <v>10</v>
      </c>
      <c r="C43" s="16"/>
      <c r="D43" s="236">
        <f t="shared" si="4"/>
        <v>0</v>
      </c>
      <c r="E43" s="126"/>
      <c r="F43" s="89">
        <f t="shared" si="5"/>
        <v>0</v>
      </c>
      <c r="G43" s="90"/>
      <c r="H43" s="91"/>
      <c r="I43" s="422">
        <f t="shared" si="2"/>
        <v>400</v>
      </c>
      <c r="J43" s="188">
        <f t="shared" si="3"/>
        <v>40</v>
      </c>
    </row>
    <row r="44" spans="1:10" x14ac:dyDescent="0.25">
      <c r="A44" s="2"/>
      <c r="B44" s="125">
        <v>10</v>
      </c>
      <c r="C44" s="16"/>
      <c r="D44" s="236">
        <f t="shared" si="4"/>
        <v>0</v>
      </c>
      <c r="E44" s="126"/>
      <c r="F44" s="89">
        <f t="shared" si="5"/>
        <v>0</v>
      </c>
      <c r="G44" s="90"/>
      <c r="H44" s="91"/>
      <c r="I44" s="422">
        <f t="shared" si="2"/>
        <v>400</v>
      </c>
      <c r="J44" s="188">
        <f t="shared" si="3"/>
        <v>40</v>
      </c>
    </row>
    <row r="45" spans="1:10" x14ac:dyDescent="0.25">
      <c r="A45" s="2"/>
      <c r="B45" s="125">
        <v>10</v>
      </c>
      <c r="C45" s="16"/>
      <c r="D45" s="236">
        <f t="shared" si="4"/>
        <v>0</v>
      </c>
      <c r="E45" s="126"/>
      <c r="F45" s="89">
        <f t="shared" si="5"/>
        <v>0</v>
      </c>
      <c r="G45" s="90"/>
      <c r="H45" s="91"/>
      <c r="I45" s="422">
        <f t="shared" si="2"/>
        <v>400</v>
      </c>
      <c r="J45" s="188">
        <f t="shared" si="3"/>
        <v>40</v>
      </c>
    </row>
    <row r="46" spans="1:10" x14ac:dyDescent="0.25">
      <c r="A46" s="2"/>
      <c r="B46" s="125">
        <v>10</v>
      </c>
      <c r="C46" s="16"/>
      <c r="D46" s="236">
        <f t="shared" si="4"/>
        <v>0</v>
      </c>
      <c r="E46" s="126"/>
      <c r="F46" s="89">
        <f t="shared" si="5"/>
        <v>0</v>
      </c>
      <c r="G46" s="90"/>
      <c r="H46" s="91"/>
      <c r="I46" s="422">
        <f t="shared" si="2"/>
        <v>400</v>
      </c>
      <c r="J46" s="188">
        <f t="shared" si="3"/>
        <v>40</v>
      </c>
    </row>
    <row r="47" spans="1:10" x14ac:dyDescent="0.25">
      <c r="A47" s="2"/>
      <c r="B47" s="125">
        <v>10</v>
      </c>
      <c r="C47" s="16"/>
      <c r="D47" s="236">
        <f t="shared" si="4"/>
        <v>0</v>
      </c>
      <c r="E47" s="126"/>
      <c r="F47" s="89">
        <f t="shared" si="5"/>
        <v>0</v>
      </c>
      <c r="G47" s="90"/>
      <c r="H47" s="91"/>
      <c r="I47" s="422">
        <f t="shared" si="2"/>
        <v>400</v>
      </c>
      <c r="J47" s="188">
        <f t="shared" si="3"/>
        <v>40</v>
      </c>
    </row>
    <row r="48" spans="1:10" x14ac:dyDescent="0.25">
      <c r="A48" s="2"/>
      <c r="B48" s="125">
        <v>10</v>
      </c>
      <c r="C48" s="16"/>
      <c r="D48" s="236">
        <f t="shared" si="4"/>
        <v>0</v>
      </c>
      <c r="E48" s="126"/>
      <c r="F48" s="89">
        <f t="shared" si="5"/>
        <v>0</v>
      </c>
      <c r="G48" s="90"/>
      <c r="H48" s="91"/>
      <c r="I48" s="422">
        <f t="shared" si="2"/>
        <v>400</v>
      </c>
      <c r="J48" s="188">
        <f t="shared" si="3"/>
        <v>40</v>
      </c>
    </row>
    <row r="49" spans="1:10" x14ac:dyDescent="0.25">
      <c r="A49" s="2"/>
      <c r="B49" s="125">
        <v>10</v>
      </c>
      <c r="C49" s="16"/>
      <c r="D49" s="236">
        <f t="shared" si="4"/>
        <v>0</v>
      </c>
      <c r="E49" s="126"/>
      <c r="F49" s="89">
        <f t="shared" si="5"/>
        <v>0</v>
      </c>
      <c r="G49" s="90"/>
      <c r="H49" s="91"/>
      <c r="I49" s="422">
        <f t="shared" si="2"/>
        <v>400</v>
      </c>
      <c r="J49" s="188">
        <f t="shared" si="3"/>
        <v>40</v>
      </c>
    </row>
    <row r="50" spans="1:10" x14ac:dyDescent="0.25">
      <c r="A50" s="2"/>
      <c r="B50" s="125">
        <v>10</v>
      </c>
      <c r="C50" s="16"/>
      <c r="D50" s="236">
        <f t="shared" si="4"/>
        <v>0</v>
      </c>
      <c r="E50" s="126"/>
      <c r="F50" s="89">
        <f t="shared" si="5"/>
        <v>0</v>
      </c>
      <c r="G50" s="90"/>
      <c r="H50" s="91"/>
      <c r="I50" s="422">
        <f t="shared" si="2"/>
        <v>400</v>
      </c>
      <c r="J50" s="188">
        <f t="shared" si="3"/>
        <v>40</v>
      </c>
    </row>
    <row r="51" spans="1:10" x14ac:dyDescent="0.25">
      <c r="A51" s="2"/>
      <c r="B51" s="125">
        <v>10</v>
      </c>
      <c r="C51" s="16"/>
      <c r="D51" s="236">
        <f t="shared" si="4"/>
        <v>0</v>
      </c>
      <c r="E51" s="126"/>
      <c r="F51" s="89">
        <f t="shared" si="5"/>
        <v>0</v>
      </c>
      <c r="G51" s="90"/>
      <c r="H51" s="91"/>
      <c r="I51" s="422">
        <f t="shared" si="2"/>
        <v>400</v>
      </c>
      <c r="J51" s="188">
        <f t="shared" si="3"/>
        <v>40</v>
      </c>
    </row>
    <row r="52" spans="1:10" x14ac:dyDescent="0.25">
      <c r="A52" s="2"/>
      <c r="B52" s="125">
        <v>10</v>
      </c>
      <c r="C52" s="16"/>
      <c r="D52" s="236">
        <f t="shared" si="4"/>
        <v>0</v>
      </c>
      <c r="E52" s="126"/>
      <c r="F52" s="89">
        <f t="shared" si="5"/>
        <v>0</v>
      </c>
      <c r="G52" s="90"/>
      <c r="H52" s="91"/>
      <c r="I52" s="79"/>
    </row>
    <row r="53" spans="1:10" x14ac:dyDescent="0.25">
      <c r="A53" s="2"/>
      <c r="B53" s="125">
        <v>10</v>
      </c>
      <c r="C53" s="16"/>
      <c r="D53" s="236">
        <f t="shared" si="4"/>
        <v>0</v>
      </c>
      <c r="E53" s="126"/>
      <c r="F53" s="89">
        <f t="shared" si="5"/>
        <v>0</v>
      </c>
      <c r="G53" s="90"/>
      <c r="H53" s="91"/>
      <c r="I53" s="79"/>
    </row>
    <row r="54" spans="1:10" x14ac:dyDescent="0.25">
      <c r="A54" s="2"/>
      <c r="B54" s="125">
        <v>10</v>
      </c>
      <c r="C54" s="16"/>
      <c r="D54" s="236">
        <f t="shared" si="4"/>
        <v>0</v>
      </c>
      <c r="E54" s="126"/>
      <c r="F54" s="89">
        <f t="shared" si="5"/>
        <v>0</v>
      </c>
      <c r="G54" s="90"/>
      <c r="H54" s="91"/>
      <c r="I54" s="79"/>
    </row>
    <row r="55" spans="1:10" x14ac:dyDescent="0.25">
      <c r="A55" s="2"/>
      <c r="B55" s="125">
        <v>10</v>
      </c>
      <c r="C55" s="16"/>
      <c r="D55" s="236">
        <f t="shared" si="4"/>
        <v>0</v>
      </c>
      <c r="E55" s="126"/>
      <c r="F55" s="89">
        <f t="shared" si="5"/>
        <v>0</v>
      </c>
      <c r="G55" s="90"/>
      <c r="H55" s="91"/>
      <c r="I55" s="79"/>
    </row>
    <row r="56" spans="1:10" x14ac:dyDescent="0.25">
      <c r="A56" s="2"/>
      <c r="B56" s="125">
        <v>10</v>
      </c>
      <c r="C56" s="16"/>
      <c r="D56" s="236">
        <f t="shared" si="4"/>
        <v>0</v>
      </c>
      <c r="E56" s="126"/>
      <c r="F56" s="89">
        <f t="shared" si="5"/>
        <v>0</v>
      </c>
      <c r="G56" s="90"/>
      <c r="H56" s="91"/>
      <c r="I56" s="79"/>
    </row>
    <row r="57" spans="1:10" x14ac:dyDescent="0.25">
      <c r="A57" s="2"/>
      <c r="B57" s="125">
        <v>10</v>
      </c>
      <c r="C57" s="16"/>
      <c r="D57" s="236">
        <f t="shared" si="4"/>
        <v>0</v>
      </c>
      <c r="E57" s="126"/>
      <c r="F57" s="89">
        <f t="shared" si="5"/>
        <v>0</v>
      </c>
      <c r="G57" s="90"/>
      <c r="H57" s="91"/>
    </row>
    <row r="58" spans="1:10" x14ac:dyDescent="0.25">
      <c r="A58" s="2"/>
      <c r="B58" s="125">
        <v>10</v>
      </c>
      <c r="C58" s="16"/>
      <c r="D58" s="236">
        <f t="shared" si="4"/>
        <v>0</v>
      </c>
      <c r="E58" s="126"/>
      <c r="F58" s="89">
        <f t="shared" si="5"/>
        <v>0</v>
      </c>
      <c r="G58" s="90"/>
      <c r="H58" s="91"/>
    </row>
    <row r="59" spans="1:10" x14ac:dyDescent="0.25">
      <c r="A59" s="2"/>
      <c r="B59" s="125">
        <v>10</v>
      </c>
      <c r="C59" s="16"/>
      <c r="D59" s="236">
        <f t="shared" si="4"/>
        <v>0</v>
      </c>
      <c r="E59" s="126"/>
      <c r="F59" s="89">
        <f t="shared" si="5"/>
        <v>0</v>
      </c>
      <c r="G59" s="90"/>
      <c r="H59" s="91"/>
    </row>
    <row r="60" spans="1:10" x14ac:dyDescent="0.25">
      <c r="A60" s="2"/>
      <c r="B60" s="125"/>
      <c r="C60" s="16"/>
      <c r="D60" s="236">
        <f t="shared" si="4"/>
        <v>0</v>
      </c>
      <c r="E60" s="126"/>
      <c r="F60" s="89">
        <f t="shared" si="5"/>
        <v>0</v>
      </c>
      <c r="G60" s="90"/>
      <c r="H60" s="91"/>
    </row>
    <row r="61" spans="1:10" ht="15.75" thickBot="1" x14ac:dyDescent="0.3">
      <c r="A61" s="4"/>
      <c r="B61" s="125"/>
      <c r="C61" s="40"/>
      <c r="D61" s="351">
        <f>C61*B30</f>
        <v>0</v>
      </c>
      <c r="E61" s="249"/>
      <c r="F61" s="235">
        <f t="shared" si="5"/>
        <v>0</v>
      </c>
      <c r="G61" s="209"/>
      <c r="H61" s="91"/>
    </row>
    <row r="62" spans="1:10" ht="16.5" thickTop="1" thickBot="1" x14ac:dyDescent="0.3">
      <c r="C62" s="132">
        <f>SUM(C8:C61)</f>
        <v>160</v>
      </c>
      <c r="D62" s="52">
        <f>SUM(D8:D61)</f>
        <v>1600</v>
      </c>
      <c r="E62" s="41"/>
      <c r="F62" s="6">
        <f>SUM(F8:F61)</f>
        <v>1600</v>
      </c>
    </row>
    <row r="63" spans="1:10" ht="15.75" thickBot="1" x14ac:dyDescent="0.3">
      <c r="A63" s="58"/>
      <c r="D63" s="163" t="s">
        <v>4</v>
      </c>
      <c r="E63" s="88">
        <f>F4+F5+F6-+C62</f>
        <v>40</v>
      </c>
      <c r="F63" s="6"/>
    </row>
    <row r="64" spans="1:10" ht="15.75" thickBot="1" x14ac:dyDescent="0.3">
      <c r="A64" s="174"/>
      <c r="D64" s="51"/>
      <c r="F64" s="6"/>
    </row>
    <row r="65" spans="1:6" ht="16.5" thickTop="1" thickBot="1" x14ac:dyDescent="0.3">
      <c r="A65" s="51"/>
      <c r="C65" s="760" t="s">
        <v>11</v>
      </c>
      <c r="D65" s="761"/>
      <c r="E65" s="217">
        <f>E5+E4+E6+-F62</f>
        <v>400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75" t="s">
        <v>63</v>
      </c>
      <c r="B1" s="775"/>
      <c r="C1" s="775"/>
      <c r="D1" s="775"/>
      <c r="E1" s="775"/>
      <c r="F1" s="775"/>
      <c r="G1" s="775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7"/>
    </row>
    <row r="5" spans="1:9" x14ac:dyDescent="0.25">
      <c r="B5" s="13"/>
      <c r="C5" s="102"/>
      <c r="D5" s="102"/>
      <c r="E5" s="340">
        <v>846.65</v>
      </c>
      <c r="F5" s="97">
        <v>35</v>
      </c>
      <c r="G5" s="89"/>
    </row>
    <row r="6" spans="1:9" ht="15" customHeight="1" x14ac:dyDescent="0.25">
      <c r="A6" s="776" t="s">
        <v>45</v>
      </c>
      <c r="B6" s="97" t="s">
        <v>46</v>
      </c>
      <c r="C6" s="18">
        <v>62</v>
      </c>
      <c r="D6" s="250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776"/>
      <c r="B7" s="339" t="s">
        <v>47</v>
      </c>
      <c r="C7" s="18">
        <v>70</v>
      </c>
      <c r="D7" s="250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90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90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90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90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90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90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90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3">
        <v>629.05999999999995</v>
      </c>
      <c r="E16" s="254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3">
        <v>267.66000000000003</v>
      </c>
      <c r="E17" s="254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3">
        <v>54.04</v>
      </c>
      <c r="E18" s="254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4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4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3">
        <v>322.2</v>
      </c>
      <c r="E21" s="254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3"/>
      <c r="E22" s="254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3">
        <v>591.30999999999995</v>
      </c>
      <c r="E23" s="254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3"/>
      <c r="E24" s="254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4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4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4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4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4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4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4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4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7"/>
      <c r="F33" s="149"/>
      <c r="G33" s="150"/>
      <c r="H33" s="293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65" t="s">
        <v>19</v>
      </c>
      <c r="D37" s="766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47"/>
  <sheetViews>
    <sheetView workbookViewId="0">
      <pane ySplit="7" topLeftCell="A8" activePane="bottomLeft" state="frozen"/>
      <selection pane="bottomLeft" activeCell="G19" sqref="G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0" ht="45.75" x14ac:dyDescent="0.65">
      <c r="A1" s="744" t="s">
        <v>250</v>
      </c>
      <c r="B1" s="744"/>
      <c r="C1" s="744"/>
      <c r="D1" s="744"/>
      <c r="E1" s="744"/>
      <c r="F1" s="744"/>
      <c r="G1" s="744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94"/>
      <c r="E4" s="338"/>
      <c r="F4" s="215"/>
    </row>
    <row r="5" spans="1:10" ht="15" customHeight="1" thickBot="1" x14ac:dyDescent="0.3">
      <c r="A5" s="779" t="s">
        <v>98</v>
      </c>
      <c r="B5" s="781" t="s">
        <v>99</v>
      </c>
      <c r="C5" s="167">
        <v>41.96</v>
      </c>
      <c r="D5" s="171">
        <v>43554</v>
      </c>
      <c r="E5" s="286">
        <v>510.68</v>
      </c>
      <c r="F5" s="215">
        <v>34</v>
      </c>
      <c r="G5" s="219">
        <f>F44</f>
        <v>510.68</v>
      </c>
      <c r="H5" s="76">
        <f>E4+E5+E6-G5</f>
        <v>0</v>
      </c>
    </row>
    <row r="6" spans="1:10" ht="17.25" thickTop="1" thickBot="1" x14ac:dyDescent="0.3">
      <c r="A6" s="780"/>
      <c r="B6" s="782"/>
      <c r="C6" s="303"/>
      <c r="E6" s="216"/>
      <c r="F6" s="287"/>
      <c r="I6" s="783" t="s">
        <v>3</v>
      </c>
      <c r="J6" s="77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4"/>
      <c r="J7" s="778"/>
    </row>
    <row r="8" spans="1:10" ht="15.75" thickTop="1" x14ac:dyDescent="0.25">
      <c r="A8" s="120" t="s">
        <v>32</v>
      </c>
      <c r="B8" s="125">
        <v>15.02</v>
      </c>
      <c r="C8" s="16">
        <v>10</v>
      </c>
      <c r="D8" s="323">
        <f t="shared" ref="D8:D13" si="0">C8*B8</f>
        <v>150.19999999999999</v>
      </c>
      <c r="E8" s="126">
        <v>43554</v>
      </c>
      <c r="F8" s="89">
        <f t="shared" ref="F8:F13" si="1">D8</f>
        <v>150.19999999999999</v>
      </c>
      <c r="G8" s="90" t="s">
        <v>240</v>
      </c>
      <c r="H8" s="91">
        <v>46</v>
      </c>
      <c r="I8" s="422">
        <f>E5+E4-F8</f>
        <v>360.48</v>
      </c>
      <c r="J8" s="188">
        <f>F4+F5+F6-C8</f>
        <v>24</v>
      </c>
    </row>
    <row r="9" spans="1:10" x14ac:dyDescent="0.25">
      <c r="A9" s="379"/>
      <c r="B9" s="125">
        <v>15.02</v>
      </c>
      <c r="C9" s="16">
        <v>24</v>
      </c>
      <c r="D9" s="643">
        <f t="shared" si="0"/>
        <v>360.48</v>
      </c>
      <c r="E9" s="633">
        <v>43582</v>
      </c>
      <c r="F9" s="632">
        <f t="shared" si="1"/>
        <v>360.48</v>
      </c>
      <c r="G9" s="634" t="s">
        <v>509</v>
      </c>
      <c r="H9" s="635">
        <v>46</v>
      </c>
      <c r="I9" s="422">
        <f>I8-F9</f>
        <v>0</v>
      </c>
      <c r="J9" s="188">
        <f>J8-C9</f>
        <v>0</v>
      </c>
    </row>
    <row r="10" spans="1:10" x14ac:dyDescent="0.25">
      <c r="A10" s="348"/>
      <c r="B10" s="125">
        <v>15.02</v>
      </c>
      <c r="C10" s="16"/>
      <c r="D10" s="643">
        <f t="shared" si="0"/>
        <v>0</v>
      </c>
      <c r="E10" s="633"/>
      <c r="F10" s="632">
        <f t="shared" si="1"/>
        <v>0</v>
      </c>
      <c r="G10" s="701"/>
      <c r="H10" s="702"/>
      <c r="I10" s="707">
        <f t="shared" ref="I10:I42" si="2">I9-F10</f>
        <v>0</v>
      </c>
      <c r="J10" s="708">
        <f t="shared" ref="J10:J42" si="3">J9-C10</f>
        <v>0</v>
      </c>
    </row>
    <row r="11" spans="1:10" x14ac:dyDescent="0.25">
      <c r="A11" s="122" t="s">
        <v>33</v>
      </c>
      <c r="B11" s="125">
        <v>15.02</v>
      </c>
      <c r="C11" s="16"/>
      <c r="D11" s="643">
        <f t="shared" si="0"/>
        <v>0</v>
      </c>
      <c r="E11" s="633"/>
      <c r="F11" s="632">
        <f t="shared" si="1"/>
        <v>0</v>
      </c>
      <c r="G11" s="701"/>
      <c r="H11" s="702"/>
      <c r="I11" s="707">
        <f t="shared" si="2"/>
        <v>0</v>
      </c>
      <c r="J11" s="708">
        <f t="shared" si="3"/>
        <v>0</v>
      </c>
    </row>
    <row r="12" spans="1:10" x14ac:dyDescent="0.25">
      <c r="A12" s="97"/>
      <c r="B12" s="125">
        <v>15.02</v>
      </c>
      <c r="C12" s="16"/>
      <c r="D12" s="643">
        <f t="shared" si="0"/>
        <v>0</v>
      </c>
      <c r="E12" s="633"/>
      <c r="F12" s="632">
        <f t="shared" si="1"/>
        <v>0</v>
      </c>
      <c r="G12" s="701"/>
      <c r="H12" s="702"/>
      <c r="I12" s="707">
        <f t="shared" si="2"/>
        <v>0</v>
      </c>
      <c r="J12" s="708">
        <f t="shared" si="3"/>
        <v>0</v>
      </c>
    </row>
    <row r="13" spans="1:10" x14ac:dyDescent="0.25">
      <c r="A13" s="97"/>
      <c r="B13" s="125">
        <v>15.02</v>
      </c>
      <c r="C13" s="16"/>
      <c r="D13" s="643">
        <f t="shared" si="0"/>
        <v>0</v>
      </c>
      <c r="E13" s="638"/>
      <c r="F13" s="632">
        <f t="shared" si="1"/>
        <v>0</v>
      </c>
      <c r="G13" s="701"/>
      <c r="H13" s="702"/>
      <c r="I13" s="707">
        <f t="shared" si="2"/>
        <v>0</v>
      </c>
      <c r="J13" s="708">
        <f t="shared" si="3"/>
        <v>0</v>
      </c>
    </row>
    <row r="14" spans="1:10" x14ac:dyDescent="0.25">
      <c r="B14" s="125">
        <v>15.02</v>
      </c>
      <c r="C14" s="16"/>
      <c r="D14" s="643">
        <f>C14*B14</f>
        <v>0</v>
      </c>
      <c r="E14" s="638"/>
      <c r="F14" s="632">
        <f>D14</f>
        <v>0</v>
      </c>
      <c r="G14" s="634"/>
      <c r="H14" s="635"/>
      <c r="I14" s="422">
        <f t="shared" si="2"/>
        <v>0</v>
      </c>
      <c r="J14" s="188">
        <f t="shared" si="3"/>
        <v>0</v>
      </c>
    </row>
    <row r="15" spans="1:10" x14ac:dyDescent="0.25">
      <c r="B15" s="125">
        <v>15.02</v>
      </c>
      <c r="C15" s="16"/>
      <c r="D15" s="643">
        <f>C15*B15</f>
        <v>0</v>
      </c>
      <c r="E15" s="638"/>
      <c r="F15" s="632">
        <f>D15</f>
        <v>0</v>
      </c>
      <c r="G15" s="634"/>
      <c r="H15" s="635"/>
      <c r="I15" s="422">
        <f t="shared" si="2"/>
        <v>0</v>
      </c>
      <c r="J15" s="188">
        <f t="shared" si="3"/>
        <v>0</v>
      </c>
    </row>
    <row r="16" spans="1:10" x14ac:dyDescent="0.25">
      <c r="A16" s="121"/>
      <c r="B16" s="125">
        <v>15.02</v>
      </c>
      <c r="C16" s="16"/>
      <c r="D16" s="643">
        <f>C16*B16</f>
        <v>0</v>
      </c>
      <c r="E16" s="644"/>
      <c r="F16" s="632">
        <f>D16</f>
        <v>0</v>
      </c>
      <c r="G16" s="634"/>
      <c r="H16" s="635"/>
      <c r="I16" s="422">
        <f t="shared" si="2"/>
        <v>0</v>
      </c>
      <c r="J16" s="188">
        <f t="shared" si="3"/>
        <v>0</v>
      </c>
    </row>
    <row r="17" spans="1:10" x14ac:dyDescent="0.25">
      <c r="A17" s="125"/>
      <c r="B17" s="125">
        <v>15.02</v>
      </c>
      <c r="C17" s="512"/>
      <c r="D17" s="643">
        <f t="shared" ref="D17:D42" si="4">C17*B17</f>
        <v>0</v>
      </c>
      <c r="E17" s="644"/>
      <c r="F17" s="632">
        <f t="shared" ref="F17:F43" si="5">D17</f>
        <v>0</v>
      </c>
      <c r="G17" s="645"/>
      <c r="H17" s="635"/>
      <c r="I17" s="422">
        <f t="shared" si="2"/>
        <v>0</v>
      </c>
      <c r="J17" s="188">
        <f t="shared" si="3"/>
        <v>0</v>
      </c>
    </row>
    <row r="18" spans="1:10" x14ac:dyDescent="0.25">
      <c r="A18" s="2"/>
      <c r="B18" s="125">
        <v>15.02</v>
      </c>
      <c r="C18" s="512"/>
      <c r="D18" s="643">
        <f t="shared" si="4"/>
        <v>0</v>
      </c>
      <c r="E18" s="644"/>
      <c r="F18" s="632">
        <f t="shared" si="5"/>
        <v>0</v>
      </c>
      <c r="G18" s="634"/>
      <c r="H18" s="635"/>
      <c r="I18" s="422">
        <f t="shared" si="2"/>
        <v>0</v>
      </c>
      <c r="J18" s="188">
        <f t="shared" si="3"/>
        <v>0</v>
      </c>
    </row>
    <row r="19" spans="1:10" x14ac:dyDescent="0.25">
      <c r="A19" s="2"/>
      <c r="B19" s="125">
        <v>15.02</v>
      </c>
      <c r="C19" s="512"/>
      <c r="D19" s="643">
        <f t="shared" si="4"/>
        <v>0</v>
      </c>
      <c r="E19" s="644"/>
      <c r="F19" s="632">
        <f t="shared" si="5"/>
        <v>0</v>
      </c>
      <c r="G19" s="634"/>
      <c r="H19" s="635"/>
      <c r="I19" s="422">
        <f t="shared" si="2"/>
        <v>0</v>
      </c>
      <c r="J19" s="188">
        <f t="shared" si="3"/>
        <v>0</v>
      </c>
    </row>
    <row r="20" spans="1:10" x14ac:dyDescent="0.25">
      <c r="A20" s="2"/>
      <c r="B20" s="125">
        <v>15.02</v>
      </c>
      <c r="C20" s="512"/>
      <c r="D20" s="643">
        <f t="shared" si="4"/>
        <v>0</v>
      </c>
      <c r="E20" s="638"/>
      <c r="F20" s="632">
        <f t="shared" si="5"/>
        <v>0</v>
      </c>
      <c r="G20" s="634"/>
      <c r="H20" s="635"/>
      <c r="I20" s="422">
        <f t="shared" si="2"/>
        <v>0</v>
      </c>
      <c r="J20" s="188">
        <f t="shared" si="3"/>
        <v>0</v>
      </c>
    </row>
    <row r="21" spans="1:10" x14ac:dyDescent="0.25">
      <c r="A21" s="2"/>
      <c r="B21" s="125">
        <v>15.02</v>
      </c>
      <c r="C21" s="512"/>
      <c r="D21" s="643">
        <f t="shared" si="4"/>
        <v>0</v>
      </c>
      <c r="E21" s="638"/>
      <c r="F21" s="632">
        <f t="shared" si="5"/>
        <v>0</v>
      </c>
      <c r="G21" s="634"/>
      <c r="H21" s="635"/>
      <c r="I21" s="422">
        <f t="shared" si="2"/>
        <v>0</v>
      </c>
      <c r="J21" s="188">
        <f t="shared" si="3"/>
        <v>0</v>
      </c>
    </row>
    <row r="22" spans="1:10" x14ac:dyDescent="0.25">
      <c r="A22" s="2"/>
      <c r="B22" s="125">
        <v>15.02</v>
      </c>
      <c r="C22" s="512"/>
      <c r="D22" s="643">
        <f t="shared" si="4"/>
        <v>0</v>
      </c>
      <c r="E22" s="638"/>
      <c r="F22" s="632">
        <f t="shared" si="5"/>
        <v>0</v>
      </c>
      <c r="G22" s="634"/>
      <c r="H22" s="635"/>
      <c r="I22" s="422">
        <f t="shared" si="2"/>
        <v>0</v>
      </c>
      <c r="J22" s="188">
        <f t="shared" si="3"/>
        <v>0</v>
      </c>
    </row>
    <row r="23" spans="1:10" x14ac:dyDescent="0.25">
      <c r="A23" s="2"/>
      <c r="B23" s="125">
        <v>15.02</v>
      </c>
      <c r="C23" s="512"/>
      <c r="D23" s="323">
        <f t="shared" si="4"/>
        <v>0</v>
      </c>
      <c r="E23" s="119"/>
      <c r="F23" s="89">
        <f t="shared" si="5"/>
        <v>0</v>
      </c>
      <c r="G23" s="90"/>
      <c r="H23" s="91"/>
      <c r="I23" s="422">
        <f t="shared" si="2"/>
        <v>0</v>
      </c>
      <c r="J23" s="188">
        <f t="shared" si="3"/>
        <v>0</v>
      </c>
    </row>
    <row r="24" spans="1:10" x14ac:dyDescent="0.25">
      <c r="A24" s="2"/>
      <c r="B24" s="125">
        <v>15.02</v>
      </c>
      <c r="C24" s="512"/>
      <c r="D24" s="323">
        <f t="shared" si="4"/>
        <v>0</v>
      </c>
      <c r="E24" s="135"/>
      <c r="F24" s="89">
        <f t="shared" si="5"/>
        <v>0</v>
      </c>
      <c r="G24" s="90"/>
      <c r="H24" s="91"/>
      <c r="I24" s="422">
        <f t="shared" si="2"/>
        <v>0</v>
      </c>
      <c r="J24" s="188">
        <f t="shared" si="3"/>
        <v>0</v>
      </c>
    </row>
    <row r="25" spans="1:10" x14ac:dyDescent="0.25">
      <c r="A25" s="2"/>
      <c r="B25" s="125">
        <v>15.02</v>
      </c>
      <c r="C25" s="512"/>
      <c r="D25" s="323">
        <f t="shared" si="4"/>
        <v>0</v>
      </c>
      <c r="E25" s="135"/>
      <c r="F25" s="89">
        <f t="shared" si="5"/>
        <v>0</v>
      </c>
      <c r="G25" s="90"/>
      <c r="H25" s="91"/>
      <c r="I25" s="422">
        <f t="shared" si="2"/>
        <v>0</v>
      </c>
      <c r="J25" s="188">
        <f t="shared" si="3"/>
        <v>0</v>
      </c>
    </row>
    <row r="26" spans="1:10" x14ac:dyDescent="0.25">
      <c r="A26" s="2"/>
      <c r="B26" s="125">
        <v>15.02</v>
      </c>
      <c r="C26" s="512"/>
      <c r="D26" s="323">
        <f t="shared" si="4"/>
        <v>0</v>
      </c>
      <c r="E26" s="135"/>
      <c r="F26" s="89">
        <f t="shared" si="5"/>
        <v>0</v>
      </c>
      <c r="G26" s="90"/>
      <c r="H26" s="91"/>
      <c r="I26" s="422">
        <f t="shared" si="2"/>
        <v>0</v>
      </c>
      <c r="J26" s="188">
        <f t="shared" si="3"/>
        <v>0</v>
      </c>
    </row>
    <row r="27" spans="1:10" x14ac:dyDescent="0.25">
      <c r="A27" s="324"/>
      <c r="B27" s="125">
        <v>15.02</v>
      </c>
      <c r="C27" s="512"/>
      <c r="D27" s="323">
        <f t="shared" si="4"/>
        <v>0</v>
      </c>
      <c r="E27" s="135"/>
      <c r="F27" s="89">
        <f t="shared" si="5"/>
        <v>0</v>
      </c>
      <c r="G27" s="90"/>
      <c r="H27" s="91"/>
      <c r="I27" s="422">
        <f t="shared" si="2"/>
        <v>0</v>
      </c>
      <c r="J27" s="188">
        <f t="shared" si="3"/>
        <v>0</v>
      </c>
    </row>
    <row r="28" spans="1:10" x14ac:dyDescent="0.25">
      <c r="A28" s="324"/>
      <c r="B28" s="125">
        <v>15.02</v>
      </c>
      <c r="C28" s="512"/>
      <c r="D28" s="323">
        <f t="shared" si="4"/>
        <v>0</v>
      </c>
      <c r="E28" s="119"/>
      <c r="F28" s="89">
        <f t="shared" si="5"/>
        <v>0</v>
      </c>
      <c r="G28" s="90"/>
      <c r="H28" s="91"/>
      <c r="I28" s="422">
        <f t="shared" si="2"/>
        <v>0</v>
      </c>
      <c r="J28" s="188">
        <f t="shared" si="3"/>
        <v>0</v>
      </c>
    </row>
    <row r="29" spans="1:10" x14ac:dyDescent="0.25">
      <c r="A29" s="324"/>
      <c r="B29" s="125">
        <v>15.02</v>
      </c>
      <c r="C29" s="512"/>
      <c r="D29" s="323">
        <f t="shared" si="4"/>
        <v>0</v>
      </c>
      <c r="E29" s="119"/>
      <c r="F29" s="89">
        <f t="shared" si="5"/>
        <v>0</v>
      </c>
      <c r="G29" s="90"/>
      <c r="H29" s="91"/>
      <c r="I29" s="422">
        <f t="shared" si="2"/>
        <v>0</v>
      </c>
      <c r="J29" s="188">
        <f t="shared" si="3"/>
        <v>0</v>
      </c>
    </row>
    <row r="30" spans="1:10" x14ac:dyDescent="0.25">
      <c r="A30" s="324"/>
      <c r="B30" s="125">
        <v>15.02</v>
      </c>
      <c r="C30" s="512"/>
      <c r="D30" s="323">
        <f t="shared" si="4"/>
        <v>0</v>
      </c>
      <c r="E30" s="119"/>
      <c r="F30" s="89">
        <f t="shared" si="5"/>
        <v>0</v>
      </c>
      <c r="G30" s="90"/>
      <c r="H30" s="91"/>
      <c r="I30" s="422">
        <f t="shared" si="2"/>
        <v>0</v>
      </c>
      <c r="J30" s="188">
        <f t="shared" si="3"/>
        <v>0</v>
      </c>
    </row>
    <row r="31" spans="1:10" x14ac:dyDescent="0.25">
      <c r="A31" s="324"/>
      <c r="B31" s="125">
        <v>15.02</v>
      </c>
      <c r="C31" s="512"/>
      <c r="D31" s="323">
        <f t="shared" si="4"/>
        <v>0</v>
      </c>
      <c r="E31" s="119"/>
      <c r="F31" s="89">
        <f t="shared" si="5"/>
        <v>0</v>
      </c>
      <c r="G31" s="90"/>
      <c r="H31" s="91"/>
      <c r="I31" s="422">
        <f t="shared" si="2"/>
        <v>0</v>
      </c>
      <c r="J31" s="188">
        <f t="shared" si="3"/>
        <v>0</v>
      </c>
    </row>
    <row r="32" spans="1:10" x14ac:dyDescent="0.25">
      <c r="A32" s="2"/>
      <c r="B32" s="125">
        <v>15.02</v>
      </c>
      <c r="C32" s="512"/>
      <c r="D32" s="323">
        <f t="shared" si="4"/>
        <v>0</v>
      </c>
      <c r="E32" s="119"/>
      <c r="F32" s="89">
        <f t="shared" si="5"/>
        <v>0</v>
      </c>
      <c r="G32" s="90"/>
      <c r="H32" s="91"/>
      <c r="I32" s="422">
        <f t="shared" si="2"/>
        <v>0</v>
      </c>
      <c r="J32" s="188">
        <f t="shared" si="3"/>
        <v>0</v>
      </c>
    </row>
    <row r="33" spans="1:10" x14ac:dyDescent="0.25">
      <c r="A33" s="2"/>
      <c r="B33" s="125">
        <v>15.02</v>
      </c>
      <c r="C33" s="512"/>
      <c r="D33" s="323">
        <f t="shared" si="4"/>
        <v>0</v>
      </c>
      <c r="E33" s="119"/>
      <c r="F33" s="89">
        <f t="shared" si="5"/>
        <v>0</v>
      </c>
      <c r="G33" s="90"/>
      <c r="H33" s="91"/>
      <c r="I33" s="422">
        <f t="shared" si="2"/>
        <v>0</v>
      </c>
      <c r="J33" s="188">
        <f t="shared" si="3"/>
        <v>0</v>
      </c>
    </row>
    <row r="34" spans="1:10" x14ac:dyDescent="0.25">
      <c r="A34" s="2"/>
      <c r="B34" s="125">
        <v>15.02</v>
      </c>
      <c r="C34" s="512"/>
      <c r="D34" s="323">
        <f t="shared" si="4"/>
        <v>0</v>
      </c>
      <c r="E34" s="119"/>
      <c r="F34" s="89">
        <f t="shared" si="5"/>
        <v>0</v>
      </c>
      <c r="G34" s="90"/>
      <c r="H34" s="91"/>
      <c r="I34" s="422">
        <f t="shared" si="2"/>
        <v>0</v>
      </c>
      <c r="J34" s="188">
        <f t="shared" si="3"/>
        <v>0</v>
      </c>
    </row>
    <row r="35" spans="1:10" x14ac:dyDescent="0.25">
      <c r="A35" s="2"/>
      <c r="B35" s="125">
        <v>15.02</v>
      </c>
      <c r="C35" s="512"/>
      <c r="D35" s="323">
        <f t="shared" si="4"/>
        <v>0</v>
      </c>
      <c r="E35" s="126"/>
      <c r="F35" s="89">
        <f t="shared" si="5"/>
        <v>0</v>
      </c>
      <c r="G35" s="90"/>
      <c r="H35" s="91"/>
      <c r="I35" s="422">
        <f t="shared" si="2"/>
        <v>0</v>
      </c>
      <c r="J35" s="188">
        <f t="shared" si="3"/>
        <v>0</v>
      </c>
    </row>
    <row r="36" spans="1:10" x14ac:dyDescent="0.25">
      <c r="A36" s="2"/>
      <c r="B36" s="125">
        <v>15.02</v>
      </c>
      <c r="C36" s="512"/>
      <c r="D36" s="323">
        <f t="shared" si="4"/>
        <v>0</v>
      </c>
      <c r="E36" s="126"/>
      <c r="F36" s="89">
        <f t="shared" si="5"/>
        <v>0</v>
      </c>
      <c r="G36" s="90"/>
      <c r="H36" s="91"/>
      <c r="I36" s="422">
        <f t="shared" si="2"/>
        <v>0</v>
      </c>
      <c r="J36" s="188">
        <f t="shared" si="3"/>
        <v>0</v>
      </c>
    </row>
    <row r="37" spans="1:10" x14ac:dyDescent="0.25">
      <c r="A37" s="2"/>
      <c r="B37" s="125">
        <v>15.02</v>
      </c>
      <c r="C37" s="512"/>
      <c r="D37" s="323">
        <f t="shared" si="4"/>
        <v>0</v>
      </c>
      <c r="E37" s="126"/>
      <c r="F37" s="89">
        <f t="shared" si="5"/>
        <v>0</v>
      </c>
      <c r="G37" s="90"/>
      <c r="H37" s="91"/>
      <c r="I37" s="422">
        <f t="shared" si="2"/>
        <v>0</v>
      </c>
      <c r="J37" s="188">
        <f t="shared" si="3"/>
        <v>0</v>
      </c>
    </row>
    <row r="38" spans="1:10" x14ac:dyDescent="0.25">
      <c r="A38" s="2"/>
      <c r="B38" s="125">
        <v>15.02</v>
      </c>
      <c r="C38" s="512"/>
      <c r="D38" s="323">
        <f t="shared" si="4"/>
        <v>0</v>
      </c>
      <c r="E38" s="126"/>
      <c r="F38" s="89">
        <f t="shared" si="5"/>
        <v>0</v>
      </c>
      <c r="G38" s="90"/>
      <c r="H38" s="91"/>
      <c r="I38" s="422">
        <f t="shared" si="2"/>
        <v>0</v>
      </c>
      <c r="J38" s="188">
        <f t="shared" si="3"/>
        <v>0</v>
      </c>
    </row>
    <row r="39" spans="1:10" x14ac:dyDescent="0.25">
      <c r="A39" s="2"/>
      <c r="B39" s="125">
        <v>15.02</v>
      </c>
      <c r="C39" s="16"/>
      <c r="D39" s="323">
        <f t="shared" si="4"/>
        <v>0</v>
      </c>
      <c r="E39" s="126"/>
      <c r="F39" s="89">
        <f t="shared" si="5"/>
        <v>0</v>
      </c>
      <c r="G39" s="90"/>
      <c r="H39" s="91"/>
      <c r="I39" s="422">
        <f t="shared" si="2"/>
        <v>0</v>
      </c>
      <c r="J39" s="188">
        <f t="shared" si="3"/>
        <v>0</v>
      </c>
    </row>
    <row r="40" spans="1:10" x14ac:dyDescent="0.25">
      <c r="A40" s="2"/>
      <c r="B40" s="125">
        <v>15.02</v>
      </c>
      <c r="C40" s="16"/>
      <c r="D40" s="323">
        <f t="shared" si="4"/>
        <v>0</v>
      </c>
      <c r="E40" s="126"/>
      <c r="F40" s="89">
        <f t="shared" si="5"/>
        <v>0</v>
      </c>
      <c r="G40" s="90"/>
      <c r="H40" s="91"/>
      <c r="I40" s="422">
        <f t="shared" si="2"/>
        <v>0</v>
      </c>
      <c r="J40" s="188">
        <f t="shared" si="3"/>
        <v>0</v>
      </c>
    </row>
    <row r="41" spans="1:10" x14ac:dyDescent="0.25">
      <c r="A41" s="2"/>
      <c r="B41" s="125">
        <v>15.02</v>
      </c>
      <c r="C41" s="16"/>
      <c r="D41" s="323">
        <f t="shared" si="4"/>
        <v>0</v>
      </c>
      <c r="E41" s="126"/>
      <c r="F41" s="89">
        <f t="shared" si="5"/>
        <v>0</v>
      </c>
      <c r="G41" s="90"/>
      <c r="H41" s="91"/>
      <c r="I41" s="422">
        <f t="shared" si="2"/>
        <v>0</v>
      </c>
      <c r="J41" s="188">
        <f t="shared" si="3"/>
        <v>0</v>
      </c>
    </row>
    <row r="42" spans="1:10" x14ac:dyDescent="0.25">
      <c r="A42" s="2"/>
      <c r="B42" s="125">
        <v>15.02</v>
      </c>
      <c r="C42" s="16"/>
      <c r="D42" s="323">
        <f t="shared" si="4"/>
        <v>0</v>
      </c>
      <c r="E42" s="126"/>
      <c r="F42" s="89">
        <f t="shared" si="5"/>
        <v>0</v>
      </c>
      <c r="G42" s="90"/>
      <c r="H42" s="91"/>
      <c r="I42" s="422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>
        <v>15.02</v>
      </c>
      <c r="C43" s="40"/>
      <c r="D43" s="397">
        <f>C43*B33</f>
        <v>0</v>
      </c>
      <c r="E43" s="398"/>
      <c r="F43" s="399">
        <f t="shared" si="5"/>
        <v>0</v>
      </c>
      <c r="G43" s="400"/>
      <c r="H43" s="368"/>
      <c r="J43" s="97"/>
    </row>
    <row r="44" spans="1:10" ht="16.5" thickTop="1" thickBot="1" x14ac:dyDescent="0.3">
      <c r="C44" s="132">
        <f>SUM(C8:C43)</f>
        <v>34</v>
      </c>
      <c r="D44" s="52">
        <f>SUM(D10:D43)</f>
        <v>0</v>
      </c>
      <c r="E44" s="41"/>
      <c r="F44" s="6">
        <f>SUM(F8:F43)</f>
        <v>510.68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760" t="s">
        <v>11</v>
      </c>
      <c r="D47" s="761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29" activePane="bottomLeft" state="frozen"/>
      <selection pane="bottomLeft" activeCell="E6" sqref="E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44" t="s">
        <v>260</v>
      </c>
      <c r="B1" s="744"/>
      <c r="C1" s="744"/>
      <c r="D1" s="744"/>
      <c r="E1" s="744"/>
      <c r="F1" s="744"/>
      <c r="G1" s="744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443"/>
      <c r="E4" s="338"/>
      <c r="F4" s="215"/>
    </row>
    <row r="5" spans="1:10" ht="15" customHeight="1" thickBot="1" x14ac:dyDescent="0.3">
      <c r="A5" s="756" t="s">
        <v>104</v>
      </c>
      <c r="B5" s="781" t="s">
        <v>101</v>
      </c>
      <c r="C5" s="167">
        <v>66</v>
      </c>
      <c r="D5" s="171">
        <v>43419</v>
      </c>
      <c r="E5" s="286">
        <f>10352.45+0.79</f>
        <v>10353.240000000002</v>
      </c>
      <c r="F5" s="215">
        <v>363</v>
      </c>
      <c r="G5" s="219">
        <f>F44</f>
        <v>10353.24</v>
      </c>
      <c r="H5" s="76">
        <f>E4+E5+E6-G5</f>
        <v>0</v>
      </c>
    </row>
    <row r="6" spans="1:10" ht="17.25" thickTop="1" thickBot="1" x14ac:dyDescent="0.3">
      <c r="A6" s="757"/>
      <c r="B6" s="782"/>
      <c r="C6" s="303"/>
      <c r="E6" s="216"/>
      <c r="F6" s="287"/>
      <c r="I6" s="783" t="s">
        <v>3</v>
      </c>
      <c r="J6" s="77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4"/>
      <c r="J7" s="785"/>
    </row>
    <row r="8" spans="1:10" ht="15.75" thickTop="1" x14ac:dyDescent="0.25">
      <c r="A8" s="120" t="s">
        <v>32</v>
      </c>
      <c r="B8" s="125"/>
      <c r="C8" s="16">
        <v>7</v>
      </c>
      <c r="D8" s="323">
        <v>212.54</v>
      </c>
      <c r="E8" s="126">
        <v>43421</v>
      </c>
      <c r="F8" s="89">
        <f t="shared" ref="F8:F43" si="0">D8</f>
        <v>212.54</v>
      </c>
      <c r="G8" s="90" t="s">
        <v>105</v>
      </c>
      <c r="H8" s="91">
        <v>74</v>
      </c>
      <c r="I8" s="116">
        <f>E5+E4-F8</f>
        <v>10140.700000000001</v>
      </c>
      <c r="J8" s="500">
        <f>F4+F5+F6-C8</f>
        <v>356</v>
      </c>
    </row>
    <row r="9" spans="1:10" x14ac:dyDescent="0.25">
      <c r="A9" s="379"/>
      <c r="B9" s="125"/>
      <c r="C9" s="16">
        <v>3</v>
      </c>
      <c r="D9" s="323">
        <v>89.54</v>
      </c>
      <c r="E9" s="126">
        <v>43426</v>
      </c>
      <c r="F9" s="89">
        <f t="shared" si="0"/>
        <v>89.54</v>
      </c>
      <c r="G9" s="90" t="s">
        <v>106</v>
      </c>
      <c r="H9" s="91">
        <v>74</v>
      </c>
      <c r="I9" s="116">
        <f>I8-F9</f>
        <v>10051.16</v>
      </c>
      <c r="J9" s="501">
        <f>J8-C9</f>
        <v>353</v>
      </c>
    </row>
    <row r="10" spans="1:10" x14ac:dyDescent="0.25">
      <c r="A10" s="348"/>
      <c r="B10" s="125"/>
      <c r="C10" s="16">
        <v>10</v>
      </c>
      <c r="D10" s="323">
        <v>286.18</v>
      </c>
      <c r="E10" s="126">
        <v>43427</v>
      </c>
      <c r="F10" s="89">
        <f t="shared" si="0"/>
        <v>286.18</v>
      </c>
      <c r="G10" s="90" t="s">
        <v>107</v>
      </c>
      <c r="H10" s="91">
        <v>74</v>
      </c>
      <c r="I10" s="116">
        <f t="shared" ref="I10:I42" si="1">I9-F10</f>
        <v>9764.98</v>
      </c>
      <c r="J10" s="501">
        <f t="shared" ref="J10:J42" si="2">J9-C10</f>
        <v>343</v>
      </c>
    </row>
    <row r="11" spans="1:10" x14ac:dyDescent="0.25">
      <c r="A11" s="122" t="s">
        <v>33</v>
      </c>
      <c r="B11" s="125"/>
      <c r="C11" s="16">
        <v>4</v>
      </c>
      <c r="D11" s="323">
        <v>123.44</v>
      </c>
      <c r="E11" s="126">
        <v>43430</v>
      </c>
      <c r="F11" s="89">
        <f t="shared" si="0"/>
        <v>123.44</v>
      </c>
      <c r="G11" s="90" t="s">
        <v>108</v>
      </c>
      <c r="H11" s="91">
        <v>74</v>
      </c>
      <c r="I11" s="116">
        <f t="shared" si="1"/>
        <v>9641.5399999999991</v>
      </c>
      <c r="J11" s="501">
        <f t="shared" si="2"/>
        <v>339</v>
      </c>
    </row>
    <row r="12" spans="1:10" x14ac:dyDescent="0.25">
      <c r="A12" s="97"/>
      <c r="B12" s="125"/>
      <c r="C12" s="16">
        <v>8</v>
      </c>
      <c r="D12" s="323">
        <v>230.8</v>
      </c>
      <c r="E12" s="126">
        <v>43434</v>
      </c>
      <c r="F12" s="89">
        <f t="shared" si="0"/>
        <v>230.8</v>
      </c>
      <c r="G12" s="90" t="s">
        <v>109</v>
      </c>
      <c r="H12" s="91">
        <v>74</v>
      </c>
      <c r="I12" s="116">
        <f t="shared" si="1"/>
        <v>9410.74</v>
      </c>
      <c r="J12" s="501">
        <f t="shared" si="2"/>
        <v>331</v>
      </c>
    </row>
    <row r="13" spans="1:10" x14ac:dyDescent="0.25">
      <c r="A13" s="97"/>
      <c r="B13" s="125"/>
      <c r="C13" s="16">
        <v>4</v>
      </c>
      <c r="D13" s="444">
        <v>124.42</v>
      </c>
      <c r="E13" s="446">
        <v>43439</v>
      </c>
      <c r="F13" s="434">
        <f t="shared" si="0"/>
        <v>124.42</v>
      </c>
      <c r="G13" s="280" t="s">
        <v>113</v>
      </c>
      <c r="H13" s="170">
        <v>74</v>
      </c>
      <c r="I13" s="116">
        <f t="shared" si="1"/>
        <v>9286.32</v>
      </c>
      <c r="J13" s="501">
        <f t="shared" si="2"/>
        <v>327</v>
      </c>
    </row>
    <row r="14" spans="1:10" x14ac:dyDescent="0.25">
      <c r="B14" s="125"/>
      <c r="C14" s="16">
        <v>30</v>
      </c>
      <c r="D14" s="444">
        <v>885.8</v>
      </c>
      <c r="E14" s="446">
        <v>43440</v>
      </c>
      <c r="F14" s="434">
        <f t="shared" si="0"/>
        <v>885.8</v>
      </c>
      <c r="G14" s="280" t="s">
        <v>116</v>
      </c>
      <c r="H14" s="170">
        <v>74</v>
      </c>
      <c r="I14" s="116">
        <f t="shared" si="1"/>
        <v>8400.52</v>
      </c>
      <c r="J14" s="501">
        <f t="shared" si="2"/>
        <v>297</v>
      </c>
    </row>
    <row r="15" spans="1:10" x14ac:dyDescent="0.25">
      <c r="B15" s="125"/>
      <c r="C15" s="16">
        <v>4</v>
      </c>
      <c r="D15" s="444">
        <v>119.96</v>
      </c>
      <c r="E15" s="446">
        <v>43445</v>
      </c>
      <c r="F15" s="434">
        <f t="shared" si="0"/>
        <v>119.96</v>
      </c>
      <c r="G15" s="280" t="s">
        <v>114</v>
      </c>
      <c r="H15" s="170">
        <v>74</v>
      </c>
      <c r="I15" s="116">
        <f t="shared" si="1"/>
        <v>8280.5600000000013</v>
      </c>
      <c r="J15" s="501">
        <f t="shared" si="2"/>
        <v>293</v>
      </c>
    </row>
    <row r="16" spans="1:10" x14ac:dyDescent="0.25">
      <c r="A16" s="121"/>
      <c r="B16" s="125"/>
      <c r="C16" s="16">
        <v>23</v>
      </c>
      <c r="D16" s="444">
        <v>676.24</v>
      </c>
      <c r="E16" s="382">
        <v>43445</v>
      </c>
      <c r="F16" s="434">
        <f t="shared" si="0"/>
        <v>676.24</v>
      </c>
      <c r="G16" s="280" t="s">
        <v>117</v>
      </c>
      <c r="H16" s="170">
        <v>74</v>
      </c>
      <c r="I16" s="116">
        <f t="shared" si="1"/>
        <v>7604.3200000000015</v>
      </c>
      <c r="J16" s="501">
        <f t="shared" si="2"/>
        <v>270</v>
      </c>
    </row>
    <row r="17" spans="1:10" x14ac:dyDescent="0.25">
      <c r="A17" s="125"/>
      <c r="B17" s="125"/>
      <c r="C17" s="16">
        <v>30</v>
      </c>
      <c r="D17" s="444">
        <v>814.38</v>
      </c>
      <c r="E17" s="382">
        <v>43445</v>
      </c>
      <c r="F17" s="434">
        <f t="shared" si="0"/>
        <v>814.38</v>
      </c>
      <c r="G17" s="445" t="s">
        <v>118</v>
      </c>
      <c r="H17" s="170">
        <v>74</v>
      </c>
      <c r="I17" s="116">
        <f t="shared" si="1"/>
        <v>6789.9400000000014</v>
      </c>
      <c r="J17" s="501">
        <f t="shared" si="2"/>
        <v>240</v>
      </c>
    </row>
    <row r="18" spans="1:10" x14ac:dyDescent="0.25">
      <c r="A18" s="2"/>
      <c r="B18" s="125"/>
      <c r="C18" s="16">
        <v>2</v>
      </c>
      <c r="D18" s="444">
        <v>58.84</v>
      </c>
      <c r="E18" s="382">
        <v>43446</v>
      </c>
      <c r="F18" s="434">
        <f t="shared" si="0"/>
        <v>58.84</v>
      </c>
      <c r="G18" s="280" t="s">
        <v>115</v>
      </c>
      <c r="H18" s="170">
        <v>74</v>
      </c>
      <c r="I18" s="116">
        <f t="shared" si="1"/>
        <v>6731.1000000000013</v>
      </c>
      <c r="J18" s="501">
        <f t="shared" si="2"/>
        <v>238</v>
      </c>
    </row>
    <row r="19" spans="1:10" x14ac:dyDescent="0.25">
      <c r="A19" s="2"/>
      <c r="B19" s="125"/>
      <c r="C19" s="16">
        <v>3</v>
      </c>
      <c r="D19" s="444">
        <v>83.8</v>
      </c>
      <c r="E19" s="382">
        <v>43446</v>
      </c>
      <c r="F19" s="434">
        <f t="shared" si="0"/>
        <v>83.8</v>
      </c>
      <c r="G19" s="280" t="s">
        <v>112</v>
      </c>
      <c r="H19" s="170">
        <v>74</v>
      </c>
      <c r="I19" s="116">
        <f t="shared" si="1"/>
        <v>6647.3000000000011</v>
      </c>
      <c r="J19" s="501">
        <f t="shared" si="2"/>
        <v>235</v>
      </c>
    </row>
    <row r="20" spans="1:10" x14ac:dyDescent="0.25">
      <c r="A20" s="2"/>
      <c r="B20" s="125"/>
      <c r="C20" s="16">
        <v>2</v>
      </c>
      <c r="D20" s="444">
        <v>58.6</v>
      </c>
      <c r="E20" s="446">
        <v>43448</v>
      </c>
      <c r="F20" s="434">
        <f t="shared" si="0"/>
        <v>58.6</v>
      </c>
      <c r="G20" s="280" t="s">
        <v>119</v>
      </c>
      <c r="H20" s="170">
        <v>74</v>
      </c>
      <c r="I20" s="116">
        <f t="shared" si="1"/>
        <v>6588.7000000000007</v>
      </c>
      <c r="J20" s="501">
        <f t="shared" si="2"/>
        <v>233</v>
      </c>
    </row>
    <row r="21" spans="1:10" x14ac:dyDescent="0.25">
      <c r="A21" s="2"/>
      <c r="B21" s="125"/>
      <c r="C21" s="16">
        <v>30</v>
      </c>
      <c r="D21" s="444">
        <v>854.54</v>
      </c>
      <c r="E21" s="446">
        <v>43450</v>
      </c>
      <c r="F21" s="434">
        <f t="shared" si="0"/>
        <v>854.54</v>
      </c>
      <c r="G21" s="280" t="s">
        <v>122</v>
      </c>
      <c r="H21" s="170">
        <v>74</v>
      </c>
      <c r="I21" s="116">
        <f t="shared" si="1"/>
        <v>5734.1600000000008</v>
      </c>
      <c r="J21" s="501">
        <f t="shared" si="2"/>
        <v>203</v>
      </c>
    </row>
    <row r="22" spans="1:10" x14ac:dyDescent="0.25">
      <c r="A22" s="2"/>
      <c r="B22" s="125"/>
      <c r="C22" s="16">
        <v>2</v>
      </c>
      <c r="D22" s="444">
        <v>62.54</v>
      </c>
      <c r="E22" s="446">
        <v>43451</v>
      </c>
      <c r="F22" s="434">
        <f t="shared" si="0"/>
        <v>62.54</v>
      </c>
      <c r="G22" s="280" t="s">
        <v>125</v>
      </c>
      <c r="H22" s="170">
        <v>74</v>
      </c>
      <c r="I22" s="116">
        <f t="shared" si="1"/>
        <v>5671.6200000000008</v>
      </c>
      <c r="J22" s="501">
        <f t="shared" si="2"/>
        <v>201</v>
      </c>
    </row>
    <row r="23" spans="1:10" x14ac:dyDescent="0.25">
      <c r="A23" s="2"/>
      <c r="B23" s="125"/>
      <c r="C23" s="16">
        <v>7</v>
      </c>
      <c r="D23" s="444">
        <v>200.36</v>
      </c>
      <c r="E23" s="446">
        <v>43451</v>
      </c>
      <c r="F23" s="434">
        <f t="shared" si="0"/>
        <v>200.36</v>
      </c>
      <c r="G23" s="280" t="s">
        <v>125</v>
      </c>
      <c r="H23" s="170">
        <v>74</v>
      </c>
      <c r="I23" s="116">
        <f t="shared" si="1"/>
        <v>5471.2600000000011</v>
      </c>
      <c r="J23" s="501">
        <f t="shared" si="2"/>
        <v>194</v>
      </c>
    </row>
    <row r="24" spans="1:10" x14ac:dyDescent="0.25">
      <c r="A24" s="2"/>
      <c r="B24" s="125"/>
      <c r="C24" s="16">
        <v>1</v>
      </c>
      <c r="D24" s="444">
        <v>32.520000000000003</v>
      </c>
      <c r="E24" s="382">
        <v>43455</v>
      </c>
      <c r="F24" s="434">
        <f t="shared" si="0"/>
        <v>32.520000000000003</v>
      </c>
      <c r="G24" s="280" t="s">
        <v>128</v>
      </c>
      <c r="H24" s="170">
        <v>74</v>
      </c>
      <c r="I24" s="116">
        <f t="shared" si="1"/>
        <v>5438.7400000000007</v>
      </c>
      <c r="J24" s="501">
        <f t="shared" si="2"/>
        <v>193</v>
      </c>
    </row>
    <row r="25" spans="1:10" x14ac:dyDescent="0.25">
      <c r="A25" s="2"/>
      <c r="B25" s="125"/>
      <c r="C25" s="16">
        <v>30</v>
      </c>
      <c r="D25" s="444">
        <v>826.04</v>
      </c>
      <c r="E25" s="382">
        <v>43455</v>
      </c>
      <c r="F25" s="434">
        <f t="shared" si="0"/>
        <v>826.04</v>
      </c>
      <c r="G25" s="280" t="s">
        <v>129</v>
      </c>
      <c r="H25" s="170">
        <v>74</v>
      </c>
      <c r="I25" s="116">
        <f t="shared" si="1"/>
        <v>4612.7000000000007</v>
      </c>
      <c r="J25" s="501">
        <f t="shared" si="2"/>
        <v>163</v>
      </c>
    </row>
    <row r="26" spans="1:10" x14ac:dyDescent="0.25">
      <c r="A26" s="2"/>
      <c r="B26" s="125"/>
      <c r="C26" s="16">
        <v>10</v>
      </c>
      <c r="D26" s="444">
        <v>285.24</v>
      </c>
      <c r="E26" s="382">
        <v>43456</v>
      </c>
      <c r="F26" s="434">
        <f t="shared" si="0"/>
        <v>285.24</v>
      </c>
      <c r="G26" s="280" t="s">
        <v>130</v>
      </c>
      <c r="H26" s="170">
        <v>74</v>
      </c>
      <c r="I26" s="116">
        <f t="shared" si="1"/>
        <v>4327.4600000000009</v>
      </c>
      <c r="J26" s="501">
        <f t="shared" si="2"/>
        <v>153</v>
      </c>
    </row>
    <row r="27" spans="1:10" x14ac:dyDescent="0.25">
      <c r="A27" s="324"/>
      <c r="B27" s="125"/>
      <c r="C27" s="16">
        <v>2</v>
      </c>
      <c r="D27" s="444">
        <v>55.66</v>
      </c>
      <c r="E27" s="382">
        <v>43456</v>
      </c>
      <c r="F27" s="434">
        <f t="shared" si="0"/>
        <v>55.66</v>
      </c>
      <c r="G27" s="280" t="s">
        <v>131</v>
      </c>
      <c r="H27" s="170">
        <v>74</v>
      </c>
      <c r="I27" s="116">
        <f t="shared" si="1"/>
        <v>4271.8000000000011</v>
      </c>
      <c r="J27" s="501">
        <f t="shared" si="2"/>
        <v>151</v>
      </c>
    </row>
    <row r="28" spans="1:10" x14ac:dyDescent="0.25">
      <c r="A28" s="324"/>
      <c r="B28" s="125"/>
      <c r="C28" s="16">
        <v>4</v>
      </c>
      <c r="D28" s="444">
        <v>109</v>
      </c>
      <c r="E28" s="446">
        <v>43461</v>
      </c>
      <c r="F28" s="434">
        <f t="shared" si="0"/>
        <v>109</v>
      </c>
      <c r="G28" s="280" t="s">
        <v>133</v>
      </c>
      <c r="H28" s="170">
        <v>74</v>
      </c>
      <c r="I28" s="116">
        <f t="shared" si="1"/>
        <v>4162.8000000000011</v>
      </c>
      <c r="J28" s="501">
        <f t="shared" si="2"/>
        <v>147</v>
      </c>
    </row>
    <row r="29" spans="1:10" x14ac:dyDescent="0.25">
      <c r="A29" s="324"/>
      <c r="B29" s="125"/>
      <c r="C29" s="481">
        <v>5</v>
      </c>
      <c r="D29" s="503">
        <v>140.63999999999999</v>
      </c>
      <c r="E29" s="504">
        <v>43462</v>
      </c>
      <c r="F29" s="505">
        <f t="shared" si="0"/>
        <v>140.63999999999999</v>
      </c>
      <c r="G29" s="506" t="s">
        <v>134</v>
      </c>
      <c r="H29" s="507">
        <v>74</v>
      </c>
      <c r="I29" s="486">
        <f t="shared" si="1"/>
        <v>4022.1600000000012</v>
      </c>
      <c r="J29" s="508">
        <f t="shared" si="2"/>
        <v>142</v>
      </c>
    </row>
    <row r="30" spans="1:10" x14ac:dyDescent="0.25">
      <c r="A30" s="324"/>
      <c r="B30" s="125"/>
      <c r="C30" s="16">
        <v>9</v>
      </c>
      <c r="D30" s="473">
        <v>245.12</v>
      </c>
      <c r="E30" s="475">
        <v>43500</v>
      </c>
      <c r="F30" s="470">
        <f t="shared" si="0"/>
        <v>245.12</v>
      </c>
      <c r="G30" s="472" t="s">
        <v>159</v>
      </c>
      <c r="H30" s="411">
        <v>74</v>
      </c>
      <c r="I30" s="116">
        <f t="shared" si="1"/>
        <v>3777.0400000000013</v>
      </c>
      <c r="J30" s="501">
        <f t="shared" si="2"/>
        <v>133</v>
      </c>
    </row>
    <row r="31" spans="1:10" x14ac:dyDescent="0.25">
      <c r="A31" s="324"/>
      <c r="B31" s="125"/>
      <c r="C31" s="16">
        <v>2</v>
      </c>
      <c r="D31" s="479">
        <v>55.36</v>
      </c>
      <c r="E31" s="256">
        <v>43529</v>
      </c>
      <c r="F31" s="367">
        <f t="shared" si="0"/>
        <v>55.36</v>
      </c>
      <c r="G31" s="460" t="s">
        <v>205</v>
      </c>
      <c r="H31" s="368">
        <v>74</v>
      </c>
      <c r="I31" s="116">
        <f t="shared" si="1"/>
        <v>3721.6800000000012</v>
      </c>
      <c r="J31" s="501">
        <f t="shared" si="2"/>
        <v>131</v>
      </c>
    </row>
    <row r="32" spans="1:10" x14ac:dyDescent="0.25">
      <c r="A32" s="2"/>
      <c r="B32" s="125"/>
      <c r="C32" s="16">
        <v>35</v>
      </c>
      <c r="D32" s="479">
        <v>1000.1</v>
      </c>
      <c r="E32" s="256">
        <v>43529</v>
      </c>
      <c r="F32" s="367">
        <f t="shared" si="0"/>
        <v>1000.1</v>
      </c>
      <c r="G32" s="460" t="s">
        <v>206</v>
      </c>
      <c r="H32" s="368">
        <v>74</v>
      </c>
      <c r="I32" s="116">
        <f t="shared" si="1"/>
        <v>2721.5800000000013</v>
      </c>
      <c r="J32" s="501">
        <f t="shared" si="2"/>
        <v>96</v>
      </c>
    </row>
    <row r="33" spans="1:10" x14ac:dyDescent="0.25">
      <c r="A33" s="2"/>
      <c r="B33" s="125"/>
      <c r="C33" s="16">
        <v>36</v>
      </c>
      <c r="D33" s="479">
        <v>1035.3399999999999</v>
      </c>
      <c r="E33" s="256">
        <v>43543</v>
      </c>
      <c r="F33" s="367">
        <f t="shared" si="0"/>
        <v>1035.3399999999999</v>
      </c>
      <c r="G33" s="460" t="s">
        <v>220</v>
      </c>
      <c r="H33" s="368">
        <v>74</v>
      </c>
      <c r="I33" s="116">
        <f t="shared" si="1"/>
        <v>1686.2400000000014</v>
      </c>
      <c r="J33" s="501">
        <f t="shared" si="2"/>
        <v>60</v>
      </c>
    </row>
    <row r="34" spans="1:10" x14ac:dyDescent="0.25">
      <c r="A34" s="2"/>
      <c r="B34" s="125"/>
      <c r="C34" s="16">
        <v>2</v>
      </c>
      <c r="D34" s="643">
        <v>56.28</v>
      </c>
      <c r="E34" s="638">
        <v>43565</v>
      </c>
      <c r="F34" s="632">
        <f t="shared" si="0"/>
        <v>56.28</v>
      </c>
      <c r="G34" s="634" t="s">
        <v>401</v>
      </c>
      <c r="H34" s="635">
        <v>74</v>
      </c>
      <c r="I34" s="116">
        <f t="shared" si="1"/>
        <v>1629.9600000000014</v>
      </c>
      <c r="J34" s="501">
        <f t="shared" si="2"/>
        <v>58</v>
      </c>
    </row>
    <row r="35" spans="1:10" x14ac:dyDescent="0.25">
      <c r="A35" s="2"/>
      <c r="B35" s="125"/>
      <c r="C35" s="16">
        <v>22</v>
      </c>
      <c r="D35" s="643">
        <v>606.13</v>
      </c>
      <c r="E35" s="633">
        <v>43565</v>
      </c>
      <c r="F35" s="632">
        <f t="shared" si="0"/>
        <v>606.13</v>
      </c>
      <c r="G35" s="634" t="s">
        <v>405</v>
      </c>
      <c r="H35" s="635">
        <v>74</v>
      </c>
      <c r="I35" s="116">
        <f t="shared" si="1"/>
        <v>1023.8300000000014</v>
      </c>
      <c r="J35" s="501">
        <f t="shared" si="2"/>
        <v>36</v>
      </c>
    </row>
    <row r="36" spans="1:10" x14ac:dyDescent="0.25">
      <c r="A36" s="2"/>
      <c r="B36" s="125"/>
      <c r="C36" s="16">
        <v>4</v>
      </c>
      <c r="D36" s="643">
        <v>114.1</v>
      </c>
      <c r="E36" s="633">
        <v>43567</v>
      </c>
      <c r="F36" s="632">
        <f t="shared" si="0"/>
        <v>114.1</v>
      </c>
      <c r="G36" s="634" t="s">
        <v>413</v>
      </c>
      <c r="H36" s="635">
        <v>74</v>
      </c>
      <c r="I36" s="116">
        <f t="shared" si="1"/>
        <v>909.73000000000138</v>
      </c>
      <c r="J36" s="501">
        <f t="shared" si="2"/>
        <v>32</v>
      </c>
    </row>
    <row r="37" spans="1:10" x14ac:dyDescent="0.25">
      <c r="A37" s="2"/>
      <c r="B37" s="125"/>
      <c r="C37" s="16">
        <v>32</v>
      </c>
      <c r="D37" s="643">
        <v>909.73</v>
      </c>
      <c r="E37" s="633">
        <v>43582</v>
      </c>
      <c r="F37" s="632">
        <f t="shared" si="0"/>
        <v>909.73</v>
      </c>
      <c r="G37" s="634" t="s">
        <v>509</v>
      </c>
      <c r="H37" s="635">
        <v>74</v>
      </c>
      <c r="I37" s="116">
        <f t="shared" si="1"/>
        <v>1.3642420526593924E-12</v>
      </c>
      <c r="J37" s="501">
        <f t="shared" si="2"/>
        <v>0</v>
      </c>
    </row>
    <row r="38" spans="1:10" x14ac:dyDescent="0.25">
      <c r="A38" s="2"/>
      <c r="B38" s="125"/>
      <c r="C38" s="16"/>
      <c r="D38" s="479">
        <f t="shared" ref="D38:D42" si="3">C38*B38</f>
        <v>0</v>
      </c>
      <c r="E38" s="466"/>
      <c r="F38" s="367">
        <f t="shared" si="0"/>
        <v>0</v>
      </c>
      <c r="G38" s="460"/>
      <c r="H38" s="368"/>
      <c r="I38" s="116">
        <f t="shared" si="1"/>
        <v>1.3642420526593924E-12</v>
      </c>
      <c r="J38" s="501">
        <f t="shared" si="2"/>
        <v>0</v>
      </c>
    </row>
    <row r="39" spans="1:10" x14ac:dyDescent="0.25">
      <c r="A39" s="2"/>
      <c r="B39" s="125"/>
      <c r="C39" s="16"/>
      <c r="D39" s="479">
        <f t="shared" si="3"/>
        <v>0</v>
      </c>
      <c r="E39" s="466"/>
      <c r="F39" s="367">
        <f t="shared" si="0"/>
        <v>0</v>
      </c>
      <c r="G39" s="460"/>
      <c r="H39" s="368"/>
      <c r="I39" s="116">
        <f t="shared" si="1"/>
        <v>1.3642420526593924E-12</v>
      </c>
      <c r="J39" s="501">
        <f t="shared" si="2"/>
        <v>0</v>
      </c>
    </row>
    <row r="40" spans="1:10" x14ac:dyDescent="0.25">
      <c r="A40" s="2"/>
      <c r="B40" s="125"/>
      <c r="C40" s="16"/>
      <c r="D40" s="479">
        <f t="shared" si="3"/>
        <v>0</v>
      </c>
      <c r="E40" s="466"/>
      <c r="F40" s="367">
        <f t="shared" si="0"/>
        <v>0</v>
      </c>
      <c r="G40" s="460"/>
      <c r="H40" s="368"/>
      <c r="I40" s="116">
        <f t="shared" si="1"/>
        <v>1.3642420526593924E-12</v>
      </c>
      <c r="J40" s="501">
        <f t="shared" si="2"/>
        <v>0</v>
      </c>
    </row>
    <row r="41" spans="1:10" x14ac:dyDescent="0.25">
      <c r="A41" s="2"/>
      <c r="B41" s="125"/>
      <c r="C41" s="16"/>
      <c r="D41" s="473">
        <f t="shared" si="3"/>
        <v>0</v>
      </c>
      <c r="E41" s="471"/>
      <c r="F41" s="470">
        <f t="shared" si="0"/>
        <v>0</v>
      </c>
      <c r="G41" s="472"/>
      <c r="H41" s="411"/>
      <c r="I41" s="116">
        <f t="shared" si="1"/>
        <v>1.3642420526593924E-12</v>
      </c>
      <c r="J41" s="501">
        <f t="shared" si="2"/>
        <v>0</v>
      </c>
    </row>
    <row r="42" spans="1:10" ht="15.75" thickBot="1" x14ac:dyDescent="0.3">
      <c r="A42" s="2"/>
      <c r="B42" s="125"/>
      <c r="C42" s="16"/>
      <c r="D42" s="473">
        <f t="shared" si="3"/>
        <v>0</v>
      </c>
      <c r="E42" s="471"/>
      <c r="F42" s="470">
        <f t="shared" si="0"/>
        <v>0</v>
      </c>
      <c r="G42" s="472"/>
      <c r="H42" s="411"/>
      <c r="I42" s="116">
        <f t="shared" si="1"/>
        <v>1.3642420526593924E-12</v>
      </c>
      <c r="J42" s="502">
        <f t="shared" si="2"/>
        <v>0</v>
      </c>
    </row>
    <row r="43" spans="1:10" ht="15.75" thickBot="1" x14ac:dyDescent="0.3">
      <c r="A43" s="4"/>
      <c r="B43" s="125">
        <v>15.02</v>
      </c>
      <c r="C43" s="40"/>
      <c r="D43" s="397">
        <f>C43*B33</f>
        <v>0</v>
      </c>
      <c r="E43" s="398"/>
      <c r="F43" s="399">
        <f t="shared" si="0"/>
        <v>0</v>
      </c>
      <c r="G43" s="400"/>
      <c r="H43" s="368"/>
    </row>
    <row r="44" spans="1:10" ht="16.5" thickTop="1" thickBot="1" x14ac:dyDescent="0.3">
      <c r="C44" s="132">
        <f>SUM(C8:C43)</f>
        <v>363</v>
      </c>
      <c r="D44" s="52">
        <f>SUM(D10:D43)</f>
        <v>10051.16</v>
      </c>
      <c r="E44" s="41"/>
      <c r="F44" s="6">
        <f>SUM(F8:F43)</f>
        <v>10353.24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60" t="s">
        <v>11</v>
      </c>
      <c r="D47" s="761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60F5-A803-4FF9-BDE1-D80921E3F881}">
  <sheetPr>
    <tabColor theme="7" tint="0.39997558519241921"/>
  </sheetPr>
  <dimension ref="A1:J47"/>
  <sheetViews>
    <sheetView workbookViewId="0">
      <selection activeCell="H18" sqref="H18:J21"/>
    </sheetView>
  </sheetViews>
  <sheetFormatPr baseColWidth="10" defaultRowHeight="15" x14ac:dyDescent="0.25"/>
  <cols>
    <col min="1" max="1" width="28" customWidth="1"/>
    <col min="2" max="2" width="19.28515625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744" t="s">
        <v>261</v>
      </c>
      <c r="B1" s="744"/>
      <c r="C1" s="744"/>
      <c r="D1" s="744"/>
      <c r="E1" s="744"/>
      <c r="F1" s="744"/>
      <c r="G1" s="744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 t="s">
        <v>87</v>
      </c>
      <c r="B4" s="216" t="s">
        <v>203</v>
      </c>
      <c r="C4" s="167">
        <v>26</v>
      </c>
      <c r="D4" s="171">
        <v>43503</v>
      </c>
      <c r="E4" s="522">
        <v>408.6</v>
      </c>
      <c r="F4" s="523">
        <v>30</v>
      </c>
    </row>
    <row r="5" spans="1:10" ht="15" customHeight="1" thickBot="1" x14ac:dyDescent="0.3">
      <c r="A5" s="756" t="s">
        <v>155</v>
      </c>
      <c r="B5" s="514" t="s">
        <v>156</v>
      </c>
      <c r="C5" s="167">
        <v>17</v>
      </c>
      <c r="D5" s="171">
        <v>43508</v>
      </c>
      <c r="E5" s="286">
        <v>2002.7</v>
      </c>
      <c r="F5" s="215">
        <v>93</v>
      </c>
      <c r="G5" s="219">
        <f>F44</f>
        <v>2678.3</v>
      </c>
      <c r="H5" s="76">
        <f>E4+E5+E6-G5</f>
        <v>0</v>
      </c>
    </row>
    <row r="6" spans="1:10" ht="16.5" thickTop="1" thickBot="1" x14ac:dyDescent="0.3">
      <c r="A6" s="757"/>
      <c r="B6" s="515" t="s">
        <v>154</v>
      </c>
      <c r="C6" s="167">
        <v>20.5</v>
      </c>
      <c r="D6" s="171">
        <v>43508</v>
      </c>
      <c r="E6" s="286">
        <v>267</v>
      </c>
      <c r="F6" s="215">
        <v>14</v>
      </c>
      <c r="I6" s="783" t="s">
        <v>3</v>
      </c>
      <c r="J6" s="77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4"/>
      <c r="J7" s="785"/>
    </row>
    <row r="8" spans="1:10" ht="15.75" thickTop="1" x14ac:dyDescent="0.25">
      <c r="A8" s="120" t="s">
        <v>32</v>
      </c>
      <c r="B8" s="125"/>
      <c r="C8" s="16"/>
      <c r="D8" s="323"/>
      <c r="E8" s="126"/>
      <c r="F8" s="89">
        <f t="shared" ref="F8:F43" si="0">D8</f>
        <v>0</v>
      </c>
      <c r="G8" s="90"/>
      <c r="H8" s="91"/>
      <c r="I8" s="116">
        <f>E5+E4-F8+E6</f>
        <v>2678.3</v>
      </c>
      <c r="J8" s="500">
        <f>F4+F5+F6-C8</f>
        <v>137</v>
      </c>
    </row>
    <row r="9" spans="1:10" x14ac:dyDescent="0.25">
      <c r="A9" s="379"/>
      <c r="B9" s="125"/>
      <c r="C9" s="16">
        <v>15</v>
      </c>
      <c r="D9" s="323">
        <v>204.3</v>
      </c>
      <c r="E9" s="126">
        <v>43505</v>
      </c>
      <c r="F9" s="89">
        <f t="shared" si="0"/>
        <v>204.3</v>
      </c>
      <c r="G9" s="90" t="s">
        <v>164</v>
      </c>
      <c r="H9" s="91">
        <v>28</v>
      </c>
      <c r="I9" s="116">
        <f>I8-F9</f>
        <v>2474</v>
      </c>
      <c r="J9" s="501">
        <f>J8-C9</f>
        <v>122</v>
      </c>
    </row>
    <row r="10" spans="1:10" x14ac:dyDescent="0.25">
      <c r="A10" s="348"/>
      <c r="B10" s="125"/>
      <c r="C10" s="16">
        <v>15</v>
      </c>
      <c r="D10" s="323">
        <v>204.3</v>
      </c>
      <c r="E10" s="126">
        <v>43508</v>
      </c>
      <c r="F10" s="89">
        <f t="shared" si="0"/>
        <v>204.3</v>
      </c>
      <c r="G10" s="90" t="s">
        <v>166</v>
      </c>
      <c r="H10" s="91">
        <v>28</v>
      </c>
      <c r="I10" s="116">
        <f t="shared" ref="I10:I42" si="1">I9-F10</f>
        <v>2269.6999999999998</v>
      </c>
      <c r="J10" s="501">
        <f t="shared" ref="J10:J42" si="2">J9-C10</f>
        <v>107</v>
      </c>
    </row>
    <row r="11" spans="1:10" x14ac:dyDescent="0.25">
      <c r="A11" s="122" t="s">
        <v>33</v>
      </c>
      <c r="B11" s="125"/>
      <c r="C11" s="16">
        <v>10</v>
      </c>
      <c r="D11" s="323">
        <v>251.2</v>
      </c>
      <c r="E11" s="126">
        <v>43515</v>
      </c>
      <c r="F11" s="89">
        <f t="shared" si="0"/>
        <v>251.2</v>
      </c>
      <c r="G11" s="90" t="s">
        <v>172</v>
      </c>
      <c r="H11" s="91">
        <v>28</v>
      </c>
      <c r="I11" s="116">
        <f t="shared" si="1"/>
        <v>2018.4999999999998</v>
      </c>
      <c r="J11" s="501">
        <f t="shared" si="2"/>
        <v>97</v>
      </c>
    </row>
    <row r="12" spans="1:10" x14ac:dyDescent="0.25">
      <c r="A12" s="97"/>
      <c r="B12" s="125"/>
      <c r="C12" s="16">
        <v>10</v>
      </c>
      <c r="D12" s="323">
        <v>265.89999999999998</v>
      </c>
      <c r="E12" s="126">
        <v>43515</v>
      </c>
      <c r="F12" s="89">
        <f t="shared" si="0"/>
        <v>265.89999999999998</v>
      </c>
      <c r="G12" s="90" t="s">
        <v>173</v>
      </c>
      <c r="H12" s="91">
        <v>28</v>
      </c>
      <c r="I12" s="116">
        <f t="shared" si="1"/>
        <v>1752.6</v>
      </c>
      <c r="J12" s="501">
        <f t="shared" si="2"/>
        <v>87</v>
      </c>
    </row>
    <row r="13" spans="1:10" x14ac:dyDescent="0.25">
      <c r="A13" s="97"/>
      <c r="B13" s="125"/>
      <c r="C13" s="16">
        <v>10</v>
      </c>
      <c r="D13" s="323">
        <v>267.8</v>
      </c>
      <c r="E13" s="119">
        <v>43519</v>
      </c>
      <c r="F13" s="89">
        <f t="shared" si="0"/>
        <v>267.8</v>
      </c>
      <c r="G13" s="90" t="s">
        <v>193</v>
      </c>
      <c r="H13" s="91">
        <v>28</v>
      </c>
      <c r="I13" s="116">
        <f t="shared" si="1"/>
        <v>1484.8</v>
      </c>
      <c r="J13" s="501">
        <f t="shared" si="2"/>
        <v>77</v>
      </c>
    </row>
    <row r="14" spans="1:10" x14ac:dyDescent="0.25">
      <c r="B14" s="125"/>
      <c r="C14" s="16">
        <v>5</v>
      </c>
      <c r="D14" s="323">
        <v>92.5</v>
      </c>
      <c r="E14" s="119">
        <v>43524</v>
      </c>
      <c r="F14" s="89">
        <f t="shared" si="0"/>
        <v>92.5</v>
      </c>
      <c r="G14" s="90" t="s">
        <v>196</v>
      </c>
      <c r="H14" s="91">
        <v>28</v>
      </c>
      <c r="I14" s="116">
        <f t="shared" si="1"/>
        <v>1392.3</v>
      </c>
      <c r="J14" s="501">
        <f t="shared" si="2"/>
        <v>72</v>
      </c>
    </row>
    <row r="15" spans="1:10" x14ac:dyDescent="0.25">
      <c r="B15" s="125"/>
      <c r="C15" s="16">
        <v>20</v>
      </c>
      <c r="D15" s="444">
        <v>385.8</v>
      </c>
      <c r="E15" s="446">
        <v>43542</v>
      </c>
      <c r="F15" s="434">
        <f t="shared" si="0"/>
        <v>385.8</v>
      </c>
      <c r="G15" s="280" t="s">
        <v>219</v>
      </c>
      <c r="H15" s="170">
        <v>28</v>
      </c>
      <c r="I15" s="116">
        <f t="shared" si="1"/>
        <v>1006.5</v>
      </c>
      <c r="J15" s="501">
        <f t="shared" si="2"/>
        <v>52</v>
      </c>
    </row>
    <row r="16" spans="1:10" x14ac:dyDescent="0.25">
      <c r="A16" s="121"/>
      <c r="B16" s="125"/>
      <c r="C16" s="16">
        <v>40</v>
      </c>
      <c r="D16" s="444">
        <v>785.5</v>
      </c>
      <c r="E16" s="382">
        <v>43556</v>
      </c>
      <c r="F16" s="434">
        <f t="shared" si="0"/>
        <v>785.5</v>
      </c>
      <c r="G16" s="280" t="s">
        <v>243</v>
      </c>
      <c r="H16" s="170">
        <v>28</v>
      </c>
      <c r="I16" s="116">
        <f t="shared" si="1"/>
        <v>221</v>
      </c>
      <c r="J16" s="501">
        <f t="shared" si="2"/>
        <v>12</v>
      </c>
    </row>
    <row r="17" spans="1:10" x14ac:dyDescent="0.25">
      <c r="A17" s="125"/>
      <c r="B17" s="125"/>
      <c r="C17" s="16">
        <v>12</v>
      </c>
      <c r="D17" s="643">
        <v>221</v>
      </c>
      <c r="E17" s="644">
        <v>43560</v>
      </c>
      <c r="F17" s="632">
        <f t="shared" si="0"/>
        <v>221</v>
      </c>
      <c r="G17" s="645" t="s">
        <v>388</v>
      </c>
      <c r="H17" s="635">
        <v>28</v>
      </c>
      <c r="I17" s="116">
        <f t="shared" si="1"/>
        <v>0</v>
      </c>
      <c r="J17" s="501">
        <f t="shared" si="2"/>
        <v>0</v>
      </c>
    </row>
    <row r="18" spans="1:10" x14ac:dyDescent="0.25">
      <c r="A18" s="2"/>
      <c r="B18" s="125"/>
      <c r="C18" s="16"/>
      <c r="D18" s="643"/>
      <c r="E18" s="644"/>
      <c r="F18" s="632">
        <f t="shared" si="0"/>
        <v>0</v>
      </c>
      <c r="G18" s="634"/>
      <c r="H18" s="702"/>
      <c r="I18" s="709">
        <f t="shared" si="1"/>
        <v>0</v>
      </c>
      <c r="J18" s="710">
        <f t="shared" si="2"/>
        <v>0</v>
      </c>
    </row>
    <row r="19" spans="1:10" x14ac:dyDescent="0.25">
      <c r="A19" s="2"/>
      <c r="B19" s="125"/>
      <c r="C19" s="16"/>
      <c r="D19" s="643"/>
      <c r="E19" s="644"/>
      <c r="F19" s="632">
        <f t="shared" si="0"/>
        <v>0</v>
      </c>
      <c r="G19" s="634"/>
      <c r="H19" s="702"/>
      <c r="I19" s="709">
        <f t="shared" si="1"/>
        <v>0</v>
      </c>
      <c r="J19" s="710">
        <f t="shared" si="2"/>
        <v>0</v>
      </c>
    </row>
    <row r="20" spans="1:10" x14ac:dyDescent="0.25">
      <c r="A20" s="2"/>
      <c r="B20" s="125"/>
      <c r="C20" s="16"/>
      <c r="D20" s="643"/>
      <c r="E20" s="638"/>
      <c r="F20" s="632">
        <f t="shared" si="0"/>
        <v>0</v>
      </c>
      <c r="G20" s="634"/>
      <c r="H20" s="702"/>
      <c r="I20" s="709">
        <f t="shared" si="1"/>
        <v>0</v>
      </c>
      <c r="J20" s="710">
        <f t="shared" si="2"/>
        <v>0</v>
      </c>
    </row>
    <row r="21" spans="1:10" x14ac:dyDescent="0.25">
      <c r="A21" s="2"/>
      <c r="B21" s="125"/>
      <c r="C21" s="16"/>
      <c r="D21" s="643"/>
      <c r="E21" s="638"/>
      <c r="F21" s="632">
        <f t="shared" si="0"/>
        <v>0</v>
      </c>
      <c r="G21" s="634"/>
      <c r="H21" s="702"/>
      <c r="I21" s="709">
        <f t="shared" si="1"/>
        <v>0</v>
      </c>
      <c r="J21" s="710">
        <f t="shared" si="2"/>
        <v>0</v>
      </c>
    </row>
    <row r="22" spans="1:10" x14ac:dyDescent="0.25">
      <c r="A22" s="2"/>
      <c r="B22" s="125"/>
      <c r="C22" s="16"/>
      <c r="D22" s="643"/>
      <c r="E22" s="638"/>
      <c r="F22" s="632">
        <f t="shared" si="0"/>
        <v>0</v>
      </c>
      <c r="G22" s="634"/>
      <c r="H22" s="635"/>
      <c r="I22" s="116">
        <f t="shared" si="1"/>
        <v>0</v>
      </c>
      <c r="J22" s="501">
        <f t="shared" si="2"/>
        <v>0</v>
      </c>
    </row>
    <row r="23" spans="1:10" x14ac:dyDescent="0.25">
      <c r="A23" s="2"/>
      <c r="B23" s="125"/>
      <c r="C23" s="16"/>
      <c r="D23" s="444"/>
      <c r="E23" s="446"/>
      <c r="F23" s="434">
        <f t="shared" si="0"/>
        <v>0</v>
      </c>
      <c r="G23" s="280"/>
      <c r="H23" s="170"/>
      <c r="I23" s="116">
        <f t="shared" si="1"/>
        <v>0</v>
      </c>
      <c r="J23" s="501">
        <f t="shared" si="2"/>
        <v>0</v>
      </c>
    </row>
    <row r="24" spans="1:10" x14ac:dyDescent="0.25">
      <c r="A24" s="2"/>
      <c r="B24" s="125"/>
      <c r="C24" s="16"/>
      <c r="D24" s="444"/>
      <c r="E24" s="382"/>
      <c r="F24" s="434">
        <f t="shared" si="0"/>
        <v>0</v>
      </c>
      <c r="G24" s="280"/>
      <c r="H24" s="170"/>
      <c r="I24" s="116">
        <f t="shared" si="1"/>
        <v>0</v>
      </c>
      <c r="J24" s="501">
        <f t="shared" si="2"/>
        <v>0</v>
      </c>
    </row>
    <row r="25" spans="1:10" x14ac:dyDescent="0.25">
      <c r="A25" s="2"/>
      <c r="B25" s="125"/>
      <c r="C25" s="16"/>
      <c r="D25" s="444"/>
      <c r="E25" s="382"/>
      <c r="F25" s="434">
        <f t="shared" si="0"/>
        <v>0</v>
      </c>
      <c r="G25" s="280"/>
      <c r="H25" s="170"/>
      <c r="I25" s="116">
        <f t="shared" si="1"/>
        <v>0</v>
      </c>
      <c r="J25" s="501">
        <f t="shared" si="2"/>
        <v>0</v>
      </c>
    </row>
    <row r="26" spans="1:10" x14ac:dyDescent="0.25">
      <c r="A26" s="2"/>
      <c r="B26" s="125"/>
      <c r="C26" s="16"/>
      <c r="D26" s="444"/>
      <c r="E26" s="382"/>
      <c r="F26" s="434">
        <f t="shared" si="0"/>
        <v>0</v>
      </c>
      <c r="G26" s="280"/>
      <c r="H26" s="170"/>
      <c r="I26" s="116">
        <f t="shared" si="1"/>
        <v>0</v>
      </c>
      <c r="J26" s="501">
        <f t="shared" si="2"/>
        <v>0</v>
      </c>
    </row>
    <row r="27" spans="1:10" x14ac:dyDescent="0.25">
      <c r="A27" s="324"/>
      <c r="B27" s="125"/>
      <c r="C27" s="16"/>
      <c r="D27" s="444"/>
      <c r="E27" s="382"/>
      <c r="F27" s="434">
        <f t="shared" si="0"/>
        <v>0</v>
      </c>
      <c r="G27" s="280"/>
      <c r="H27" s="170"/>
      <c r="I27" s="116">
        <f t="shared" si="1"/>
        <v>0</v>
      </c>
      <c r="J27" s="501">
        <f t="shared" si="2"/>
        <v>0</v>
      </c>
    </row>
    <row r="28" spans="1:10" x14ac:dyDescent="0.25">
      <c r="A28" s="324"/>
      <c r="B28" s="125"/>
      <c r="C28" s="16"/>
      <c r="D28" s="444"/>
      <c r="E28" s="446"/>
      <c r="F28" s="434">
        <f t="shared" si="0"/>
        <v>0</v>
      </c>
      <c r="G28" s="280"/>
      <c r="H28" s="170"/>
      <c r="I28" s="116">
        <f t="shared" si="1"/>
        <v>0</v>
      </c>
      <c r="J28" s="501">
        <f t="shared" si="2"/>
        <v>0</v>
      </c>
    </row>
    <row r="29" spans="1:10" x14ac:dyDescent="0.25">
      <c r="A29" s="324"/>
      <c r="B29" s="125"/>
      <c r="C29" s="16"/>
      <c r="D29" s="444"/>
      <c r="E29" s="446"/>
      <c r="F29" s="434">
        <f t="shared" si="0"/>
        <v>0</v>
      </c>
      <c r="G29" s="280"/>
      <c r="H29" s="170"/>
      <c r="I29" s="116">
        <f t="shared" si="1"/>
        <v>0</v>
      </c>
      <c r="J29" s="501">
        <f t="shared" si="2"/>
        <v>0</v>
      </c>
    </row>
    <row r="30" spans="1:10" x14ac:dyDescent="0.25">
      <c r="A30" s="324"/>
      <c r="B30" s="125"/>
      <c r="C30" s="16"/>
      <c r="D30" s="473">
        <f t="shared" ref="D30:D42" si="3">C30*B30</f>
        <v>0</v>
      </c>
      <c r="E30" s="475"/>
      <c r="F30" s="470">
        <f t="shared" si="0"/>
        <v>0</v>
      </c>
      <c r="G30" s="472"/>
      <c r="H30" s="411"/>
      <c r="I30" s="116">
        <f t="shared" si="1"/>
        <v>0</v>
      </c>
      <c r="J30" s="501">
        <f t="shared" si="2"/>
        <v>0</v>
      </c>
    </row>
    <row r="31" spans="1:10" x14ac:dyDescent="0.25">
      <c r="A31" s="324"/>
      <c r="B31" s="125"/>
      <c r="C31" s="16"/>
      <c r="D31" s="473">
        <f t="shared" si="3"/>
        <v>0</v>
      </c>
      <c r="E31" s="475"/>
      <c r="F31" s="470">
        <f t="shared" si="0"/>
        <v>0</v>
      </c>
      <c r="G31" s="472"/>
      <c r="H31" s="411"/>
      <c r="I31" s="116">
        <f t="shared" si="1"/>
        <v>0</v>
      </c>
      <c r="J31" s="501">
        <f t="shared" si="2"/>
        <v>0</v>
      </c>
    </row>
    <row r="32" spans="1:10" x14ac:dyDescent="0.25">
      <c r="A32" s="2"/>
      <c r="B32" s="125"/>
      <c r="C32" s="16"/>
      <c r="D32" s="473">
        <f t="shared" si="3"/>
        <v>0</v>
      </c>
      <c r="E32" s="475"/>
      <c r="F32" s="470">
        <f t="shared" si="0"/>
        <v>0</v>
      </c>
      <c r="G32" s="472"/>
      <c r="H32" s="411"/>
      <c r="I32" s="116">
        <f t="shared" si="1"/>
        <v>0</v>
      </c>
      <c r="J32" s="501">
        <f t="shared" si="2"/>
        <v>0</v>
      </c>
    </row>
    <row r="33" spans="1:10" x14ac:dyDescent="0.25">
      <c r="A33" s="2"/>
      <c r="B33" s="125"/>
      <c r="C33" s="16"/>
      <c r="D33" s="473">
        <f t="shared" si="3"/>
        <v>0</v>
      </c>
      <c r="E33" s="475"/>
      <c r="F33" s="470">
        <f t="shared" si="0"/>
        <v>0</v>
      </c>
      <c r="G33" s="472"/>
      <c r="H33" s="411"/>
      <c r="I33" s="116">
        <f t="shared" si="1"/>
        <v>0</v>
      </c>
      <c r="J33" s="501">
        <f t="shared" si="2"/>
        <v>0</v>
      </c>
    </row>
    <row r="34" spans="1:10" x14ac:dyDescent="0.25">
      <c r="A34" s="2"/>
      <c r="B34" s="125"/>
      <c r="C34" s="16"/>
      <c r="D34" s="473">
        <f t="shared" si="3"/>
        <v>0</v>
      </c>
      <c r="E34" s="475"/>
      <c r="F34" s="470">
        <f t="shared" si="0"/>
        <v>0</v>
      </c>
      <c r="G34" s="472"/>
      <c r="H34" s="411"/>
      <c r="I34" s="116">
        <f t="shared" si="1"/>
        <v>0</v>
      </c>
      <c r="J34" s="501">
        <f t="shared" si="2"/>
        <v>0</v>
      </c>
    </row>
    <row r="35" spans="1:10" x14ac:dyDescent="0.25">
      <c r="A35" s="2"/>
      <c r="B35" s="125"/>
      <c r="C35" s="16"/>
      <c r="D35" s="473">
        <f t="shared" si="3"/>
        <v>0</v>
      </c>
      <c r="E35" s="471"/>
      <c r="F35" s="470">
        <f t="shared" si="0"/>
        <v>0</v>
      </c>
      <c r="G35" s="472"/>
      <c r="H35" s="411"/>
      <c r="I35" s="116">
        <f t="shared" si="1"/>
        <v>0</v>
      </c>
      <c r="J35" s="501">
        <f t="shared" si="2"/>
        <v>0</v>
      </c>
    </row>
    <row r="36" spans="1:10" x14ac:dyDescent="0.25">
      <c r="A36" s="2"/>
      <c r="B36" s="125"/>
      <c r="C36" s="16"/>
      <c r="D36" s="473">
        <f t="shared" si="3"/>
        <v>0</v>
      </c>
      <c r="E36" s="471"/>
      <c r="F36" s="470">
        <f t="shared" si="0"/>
        <v>0</v>
      </c>
      <c r="G36" s="472"/>
      <c r="H36" s="411"/>
      <c r="I36" s="116">
        <f t="shared" si="1"/>
        <v>0</v>
      </c>
      <c r="J36" s="501">
        <f t="shared" si="2"/>
        <v>0</v>
      </c>
    </row>
    <row r="37" spans="1:10" x14ac:dyDescent="0.25">
      <c r="A37" s="2"/>
      <c r="B37" s="125"/>
      <c r="C37" s="16"/>
      <c r="D37" s="473">
        <f t="shared" si="3"/>
        <v>0</v>
      </c>
      <c r="E37" s="471"/>
      <c r="F37" s="470">
        <f t="shared" si="0"/>
        <v>0</v>
      </c>
      <c r="G37" s="472"/>
      <c r="H37" s="411"/>
      <c r="I37" s="116">
        <f t="shared" si="1"/>
        <v>0</v>
      </c>
      <c r="J37" s="501">
        <f t="shared" si="2"/>
        <v>0</v>
      </c>
    </row>
    <row r="38" spans="1:10" x14ac:dyDescent="0.25">
      <c r="A38" s="2"/>
      <c r="B38" s="125"/>
      <c r="C38" s="16"/>
      <c r="D38" s="473">
        <f t="shared" si="3"/>
        <v>0</v>
      </c>
      <c r="E38" s="471"/>
      <c r="F38" s="470">
        <f t="shared" si="0"/>
        <v>0</v>
      </c>
      <c r="G38" s="472"/>
      <c r="H38" s="411"/>
      <c r="I38" s="116">
        <f t="shared" si="1"/>
        <v>0</v>
      </c>
      <c r="J38" s="501">
        <f t="shared" si="2"/>
        <v>0</v>
      </c>
    </row>
    <row r="39" spans="1:10" x14ac:dyDescent="0.25">
      <c r="A39" s="2"/>
      <c r="B39" s="125"/>
      <c r="C39" s="16"/>
      <c r="D39" s="473">
        <f t="shared" si="3"/>
        <v>0</v>
      </c>
      <c r="E39" s="471"/>
      <c r="F39" s="470">
        <f t="shared" si="0"/>
        <v>0</v>
      </c>
      <c r="G39" s="472"/>
      <c r="H39" s="411"/>
      <c r="I39" s="116">
        <f t="shared" si="1"/>
        <v>0</v>
      </c>
      <c r="J39" s="501">
        <f t="shared" si="2"/>
        <v>0</v>
      </c>
    </row>
    <row r="40" spans="1:10" x14ac:dyDescent="0.25">
      <c r="A40" s="2"/>
      <c r="B40" s="125"/>
      <c r="C40" s="16"/>
      <c r="D40" s="473">
        <f t="shared" si="3"/>
        <v>0</v>
      </c>
      <c r="E40" s="471"/>
      <c r="F40" s="470">
        <f t="shared" si="0"/>
        <v>0</v>
      </c>
      <c r="G40" s="472"/>
      <c r="H40" s="411"/>
      <c r="I40" s="116">
        <f t="shared" si="1"/>
        <v>0</v>
      </c>
      <c r="J40" s="501">
        <f t="shared" si="2"/>
        <v>0</v>
      </c>
    </row>
    <row r="41" spans="1:10" x14ac:dyDescent="0.25">
      <c r="A41" s="2"/>
      <c r="B41" s="125"/>
      <c r="C41" s="16"/>
      <c r="D41" s="473">
        <f t="shared" si="3"/>
        <v>0</v>
      </c>
      <c r="E41" s="471"/>
      <c r="F41" s="470">
        <f t="shared" si="0"/>
        <v>0</v>
      </c>
      <c r="G41" s="472"/>
      <c r="H41" s="411"/>
      <c r="I41" s="116">
        <f t="shared" si="1"/>
        <v>0</v>
      </c>
      <c r="J41" s="501">
        <f t="shared" si="2"/>
        <v>0</v>
      </c>
    </row>
    <row r="42" spans="1:10" ht="15.75" thickBot="1" x14ac:dyDescent="0.3">
      <c r="A42" s="2"/>
      <c r="B42" s="125"/>
      <c r="C42" s="16"/>
      <c r="D42" s="473">
        <f t="shared" si="3"/>
        <v>0</v>
      </c>
      <c r="E42" s="471"/>
      <c r="F42" s="470">
        <f t="shared" si="0"/>
        <v>0</v>
      </c>
      <c r="G42" s="472"/>
      <c r="H42" s="411"/>
      <c r="I42" s="116">
        <f t="shared" si="1"/>
        <v>0</v>
      </c>
      <c r="J42" s="502">
        <f t="shared" si="2"/>
        <v>0</v>
      </c>
    </row>
    <row r="43" spans="1:10" ht="15.75" thickBot="1" x14ac:dyDescent="0.3">
      <c r="A43" s="4"/>
      <c r="B43" s="125">
        <v>15.02</v>
      </c>
      <c r="C43" s="40"/>
      <c r="D43" s="397">
        <f>C43*B33</f>
        <v>0</v>
      </c>
      <c r="E43" s="398"/>
      <c r="F43" s="399">
        <f t="shared" si="0"/>
        <v>0</v>
      </c>
      <c r="G43" s="400"/>
      <c r="H43" s="368"/>
    </row>
    <row r="44" spans="1:10" ht="16.5" thickTop="1" thickBot="1" x14ac:dyDescent="0.3">
      <c r="C44" s="132">
        <f>SUM(C8:C43)</f>
        <v>137</v>
      </c>
      <c r="D44" s="52">
        <f>SUM(D10:D43)</f>
        <v>2474</v>
      </c>
      <c r="E44" s="41"/>
      <c r="F44" s="6">
        <f>SUM(F8:F43)</f>
        <v>2678.3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60" t="s">
        <v>11</v>
      </c>
      <c r="D47" s="761"/>
      <c r="E47" s="217">
        <f>E5+E4+E6+-F44</f>
        <v>0</v>
      </c>
    </row>
  </sheetData>
  <mergeCells count="5">
    <mergeCell ref="J6:J7"/>
    <mergeCell ref="C47:D47"/>
    <mergeCell ref="A1:G1"/>
    <mergeCell ref="A5:A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N14" sqref="N14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44" t="s">
        <v>80</v>
      </c>
      <c r="B1" s="744"/>
      <c r="C1" s="744"/>
      <c r="D1" s="744"/>
      <c r="E1" s="744"/>
      <c r="F1" s="744"/>
      <c r="G1" s="744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87" t="s">
        <v>77</v>
      </c>
      <c r="B5" s="786" t="s">
        <v>78</v>
      </c>
      <c r="C5" s="786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787"/>
      <c r="C6" s="787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9">
        <v>100</v>
      </c>
      <c r="E8" s="308">
        <v>42726</v>
      </c>
      <c r="F8" s="377">
        <f t="shared" ref="F8:F45" si="0">D8</f>
        <v>100</v>
      </c>
      <c r="G8" s="378" t="s">
        <v>68</v>
      </c>
      <c r="H8" s="311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69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70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71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71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72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73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74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75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76</v>
      </c>
      <c r="H17" s="18">
        <v>90</v>
      </c>
    </row>
    <row r="18" spans="1:8" x14ac:dyDescent="0.25">
      <c r="A18"/>
      <c r="B18" s="136"/>
      <c r="C18" s="16">
        <v>1</v>
      </c>
      <c r="D18" s="369">
        <v>1</v>
      </c>
      <c r="E18" s="256">
        <v>42748</v>
      </c>
      <c r="F18" s="367">
        <f t="shared" si="0"/>
        <v>1</v>
      </c>
      <c r="G18" s="388" t="s">
        <v>79</v>
      </c>
      <c r="H18" s="368">
        <v>90</v>
      </c>
    </row>
    <row r="19" spans="1:8" x14ac:dyDescent="0.25">
      <c r="A19"/>
      <c r="B19" s="136"/>
      <c r="C19" s="16">
        <v>567</v>
      </c>
      <c r="D19" s="369">
        <v>567</v>
      </c>
      <c r="E19" s="256">
        <v>43306</v>
      </c>
      <c r="F19" s="367">
        <f t="shared" si="0"/>
        <v>567</v>
      </c>
      <c r="G19" s="388" t="s">
        <v>95</v>
      </c>
      <c r="H19" s="368">
        <v>90</v>
      </c>
    </row>
    <row r="20" spans="1:8" x14ac:dyDescent="0.25">
      <c r="A20"/>
      <c r="B20" s="136"/>
      <c r="C20" s="16">
        <v>596</v>
      </c>
      <c r="D20" s="369">
        <v>596</v>
      </c>
      <c r="E20" s="256">
        <v>43309</v>
      </c>
      <c r="F20" s="367">
        <f t="shared" si="0"/>
        <v>596</v>
      </c>
      <c r="G20" s="388" t="s">
        <v>97</v>
      </c>
      <c r="H20" s="368">
        <v>90</v>
      </c>
    </row>
    <row r="21" spans="1:8" x14ac:dyDescent="0.25">
      <c r="A21"/>
      <c r="B21" s="136"/>
      <c r="C21" s="16"/>
      <c r="D21" s="369"/>
      <c r="E21" s="256"/>
      <c r="F21" s="367">
        <f t="shared" si="0"/>
        <v>0</v>
      </c>
      <c r="G21" s="388"/>
      <c r="H21" s="368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5"/>
      <c r="F25" s="7">
        <f t="shared" si="0"/>
        <v>0</v>
      </c>
      <c r="G25" s="371"/>
      <c r="H25" s="316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5"/>
      <c r="F27" s="7">
        <f t="shared" si="0"/>
        <v>0</v>
      </c>
      <c r="G27" s="371"/>
      <c r="H27" s="316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9" t="s">
        <v>21</v>
      </c>
      <c r="E48" s="320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21" t="s">
        <v>4</v>
      </c>
      <c r="E49" s="322"/>
      <c r="F49" s="370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LG4" workbookViewId="0">
      <selection activeCell="LQ17" sqref="LQ17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0.8554687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44" t="s">
        <v>246</v>
      </c>
      <c r="L1" s="744"/>
      <c r="M1" s="744"/>
      <c r="N1" s="744"/>
      <c r="O1" s="744"/>
      <c r="P1" s="744"/>
      <c r="Q1" s="744"/>
      <c r="R1" s="12">
        <f>I1+1</f>
        <v>1</v>
      </c>
      <c r="T1" s="745" t="s">
        <v>247</v>
      </c>
      <c r="U1" s="745"/>
      <c r="V1" s="745"/>
      <c r="W1" s="745"/>
      <c r="X1" s="745"/>
      <c r="Y1" s="745"/>
      <c r="Z1" s="745"/>
      <c r="AA1" s="12">
        <f>R1+1</f>
        <v>2</v>
      </c>
      <c r="AC1" s="745" t="str">
        <f>T1</f>
        <v>ENTRADAS DEL MES DE ABRIL 2019</v>
      </c>
      <c r="AD1" s="745"/>
      <c r="AE1" s="745"/>
      <c r="AF1" s="745"/>
      <c r="AG1" s="745"/>
      <c r="AH1" s="745"/>
      <c r="AI1" s="745"/>
      <c r="AJ1" s="12">
        <f>AA1+1</f>
        <v>3</v>
      </c>
      <c r="AL1" s="745" t="str">
        <f>AC1</f>
        <v>ENTRADAS DEL MES DE ABRIL 2019</v>
      </c>
      <c r="AM1" s="745"/>
      <c r="AN1" s="745"/>
      <c r="AO1" s="745"/>
      <c r="AP1" s="745"/>
      <c r="AQ1" s="745"/>
      <c r="AR1" s="745"/>
      <c r="AS1" s="12">
        <f>AJ1+1</f>
        <v>4</v>
      </c>
      <c r="AU1" s="745" t="str">
        <f>AL1</f>
        <v>ENTRADAS DEL MES DE ABRIL 2019</v>
      </c>
      <c r="AV1" s="745"/>
      <c r="AW1" s="745"/>
      <c r="AX1" s="745"/>
      <c r="AY1" s="745"/>
      <c r="AZ1" s="745"/>
      <c r="BA1" s="745"/>
      <c r="BB1" s="12">
        <f>AS1+1</f>
        <v>5</v>
      </c>
      <c r="BD1" s="745" t="str">
        <f>AU1</f>
        <v>ENTRADAS DEL MES DE ABRIL 2019</v>
      </c>
      <c r="BE1" s="745"/>
      <c r="BF1" s="745"/>
      <c r="BG1" s="745"/>
      <c r="BH1" s="745"/>
      <c r="BI1" s="745"/>
      <c r="BJ1" s="745"/>
      <c r="BK1" s="12">
        <f>BB1+1</f>
        <v>6</v>
      </c>
      <c r="BM1" s="745" t="str">
        <f>BD1</f>
        <v>ENTRADAS DEL MES DE ABRIL 2019</v>
      </c>
      <c r="BN1" s="745"/>
      <c r="BO1" s="745"/>
      <c r="BP1" s="745"/>
      <c r="BQ1" s="745"/>
      <c r="BR1" s="745"/>
      <c r="BS1" s="745"/>
      <c r="BT1" s="12">
        <f>BK1+1</f>
        <v>7</v>
      </c>
      <c r="BV1" s="745" t="str">
        <f>BM1</f>
        <v>ENTRADAS DEL MES DE ABRIL 2019</v>
      </c>
      <c r="BW1" s="745"/>
      <c r="BX1" s="745"/>
      <c r="BY1" s="745"/>
      <c r="BZ1" s="745"/>
      <c r="CA1" s="745"/>
      <c r="CB1" s="745"/>
      <c r="CC1" s="12">
        <f>BT1+1</f>
        <v>8</v>
      </c>
      <c r="CE1" s="745" t="str">
        <f>BV1</f>
        <v>ENTRADAS DEL MES DE ABRIL 2019</v>
      </c>
      <c r="CF1" s="745"/>
      <c r="CG1" s="745"/>
      <c r="CH1" s="745"/>
      <c r="CI1" s="745"/>
      <c r="CJ1" s="745"/>
      <c r="CK1" s="745"/>
      <c r="CL1" s="12">
        <f>CC1+1</f>
        <v>9</v>
      </c>
      <c r="CN1" s="745" t="str">
        <f>CE1</f>
        <v>ENTRADAS DEL MES DE ABRIL 2019</v>
      </c>
      <c r="CO1" s="745"/>
      <c r="CP1" s="745"/>
      <c r="CQ1" s="745"/>
      <c r="CR1" s="745"/>
      <c r="CS1" s="745"/>
      <c r="CT1" s="745"/>
      <c r="CU1" s="12">
        <f>CL1+1</f>
        <v>10</v>
      </c>
      <c r="CW1" s="745" t="str">
        <f>CN1</f>
        <v>ENTRADAS DEL MES DE ABRIL 2019</v>
      </c>
      <c r="CX1" s="745"/>
      <c r="CY1" s="745"/>
      <c r="CZ1" s="745"/>
      <c r="DA1" s="745"/>
      <c r="DB1" s="745"/>
      <c r="DC1" s="745"/>
      <c r="DD1" s="12">
        <f>CU1+1</f>
        <v>11</v>
      </c>
      <c r="DF1" s="745" t="str">
        <f>CW1</f>
        <v>ENTRADAS DEL MES DE ABRIL 2019</v>
      </c>
      <c r="DG1" s="745"/>
      <c r="DH1" s="745"/>
      <c r="DI1" s="745"/>
      <c r="DJ1" s="745"/>
      <c r="DK1" s="745"/>
      <c r="DL1" s="745"/>
      <c r="DM1" s="12">
        <f>DD1+1</f>
        <v>12</v>
      </c>
      <c r="DO1" s="745" t="str">
        <f>DF1</f>
        <v>ENTRADAS DEL MES DE ABRIL 2019</v>
      </c>
      <c r="DP1" s="745"/>
      <c r="DQ1" s="745"/>
      <c r="DR1" s="745"/>
      <c r="DS1" s="745"/>
      <c r="DT1" s="745"/>
      <c r="DU1" s="745"/>
      <c r="DV1" s="12">
        <f>DM1+1</f>
        <v>13</v>
      </c>
      <c r="DX1" s="745" t="str">
        <f>DO1</f>
        <v>ENTRADAS DEL MES DE ABRIL 2019</v>
      </c>
      <c r="DY1" s="745"/>
      <c r="DZ1" s="745"/>
      <c r="EA1" s="745"/>
      <c r="EB1" s="745"/>
      <c r="EC1" s="745"/>
      <c r="ED1" s="745"/>
      <c r="EE1" s="12">
        <f>DV1+1</f>
        <v>14</v>
      </c>
      <c r="EG1" s="745" t="str">
        <f>DX1</f>
        <v>ENTRADAS DEL MES DE ABRIL 2019</v>
      </c>
      <c r="EH1" s="745"/>
      <c r="EI1" s="745"/>
      <c r="EJ1" s="745"/>
      <c r="EK1" s="745"/>
      <c r="EL1" s="745"/>
      <c r="EM1" s="745"/>
      <c r="EN1" s="12">
        <f>EE1+1</f>
        <v>15</v>
      </c>
      <c r="EP1" s="745" t="str">
        <f>EG1</f>
        <v>ENTRADAS DEL MES DE ABRIL 2019</v>
      </c>
      <c r="EQ1" s="745"/>
      <c r="ER1" s="745"/>
      <c r="ES1" s="745"/>
      <c r="ET1" s="745"/>
      <c r="EU1" s="745"/>
      <c r="EV1" s="745"/>
      <c r="EW1" s="12">
        <f>EN1+1</f>
        <v>16</v>
      </c>
      <c r="EY1" s="745" t="str">
        <f>EP1</f>
        <v>ENTRADAS DEL MES DE ABRIL 2019</v>
      </c>
      <c r="EZ1" s="745"/>
      <c r="FA1" s="745"/>
      <c r="FB1" s="745"/>
      <c r="FC1" s="745"/>
      <c r="FD1" s="745"/>
      <c r="FE1" s="745"/>
      <c r="FF1" s="12">
        <f>EW1+1</f>
        <v>17</v>
      </c>
      <c r="FH1" s="745" t="str">
        <f>EY1</f>
        <v>ENTRADAS DEL MES DE ABRIL 2019</v>
      </c>
      <c r="FI1" s="745"/>
      <c r="FJ1" s="745"/>
      <c r="FK1" s="745"/>
      <c r="FL1" s="745"/>
      <c r="FM1" s="745"/>
      <c r="FN1" s="745"/>
      <c r="FO1" s="12">
        <f>FF1+1</f>
        <v>18</v>
      </c>
      <c r="FP1" t="s">
        <v>37</v>
      </c>
      <c r="FQ1" s="745" t="str">
        <f>FH1</f>
        <v>ENTRADAS DEL MES DE ABRIL 2019</v>
      </c>
      <c r="FR1" s="745"/>
      <c r="FS1" s="745"/>
      <c r="FT1" s="745"/>
      <c r="FU1" s="745"/>
      <c r="FV1" s="745"/>
      <c r="FW1" s="745"/>
      <c r="FX1" s="12">
        <f>FO1+1</f>
        <v>19</v>
      </c>
      <c r="FZ1" s="745" t="str">
        <f>FQ1</f>
        <v>ENTRADAS DEL MES DE ABRIL 2019</v>
      </c>
      <c r="GA1" s="745"/>
      <c r="GB1" s="745"/>
      <c r="GC1" s="745"/>
      <c r="GD1" s="745"/>
      <c r="GE1" s="745"/>
      <c r="GF1" s="745"/>
      <c r="GG1" s="12">
        <f>FX1+1</f>
        <v>20</v>
      </c>
      <c r="GI1" s="745" t="str">
        <f>FZ1</f>
        <v>ENTRADAS DEL MES DE ABRIL 2019</v>
      </c>
      <c r="GJ1" s="745"/>
      <c r="GK1" s="745"/>
      <c r="GL1" s="745"/>
      <c r="GM1" s="745"/>
      <c r="GN1" s="745"/>
      <c r="GO1" s="745"/>
      <c r="GP1" s="12">
        <f>GG1+1</f>
        <v>21</v>
      </c>
      <c r="GR1" s="745" t="str">
        <f>GI1</f>
        <v>ENTRADAS DEL MES DE ABRIL 2019</v>
      </c>
      <c r="GS1" s="745"/>
      <c r="GT1" s="745"/>
      <c r="GU1" s="745"/>
      <c r="GV1" s="745"/>
      <c r="GW1" s="745"/>
      <c r="GX1" s="745"/>
      <c r="GY1" s="12">
        <f>GP1+1</f>
        <v>22</v>
      </c>
      <c r="HA1" s="745" t="str">
        <f>GR1</f>
        <v>ENTRADAS DEL MES DE ABRIL 2019</v>
      </c>
      <c r="HB1" s="745"/>
      <c r="HC1" s="745"/>
      <c r="HD1" s="745"/>
      <c r="HE1" s="745"/>
      <c r="HF1" s="745"/>
      <c r="HG1" s="745"/>
      <c r="HH1" s="12">
        <f>GY1+1</f>
        <v>23</v>
      </c>
      <c r="HJ1" s="745" t="str">
        <f>HA1</f>
        <v>ENTRADAS DEL MES DE ABRIL 2019</v>
      </c>
      <c r="HK1" s="745"/>
      <c r="HL1" s="745"/>
      <c r="HM1" s="745"/>
      <c r="HN1" s="745"/>
      <c r="HO1" s="745"/>
      <c r="HP1" s="745"/>
      <c r="HQ1" s="12">
        <f>HH1+1</f>
        <v>24</v>
      </c>
      <c r="HS1" s="745" t="str">
        <f>HJ1</f>
        <v>ENTRADAS DEL MES DE ABRIL 2019</v>
      </c>
      <c r="HT1" s="745"/>
      <c r="HU1" s="745"/>
      <c r="HV1" s="745"/>
      <c r="HW1" s="745"/>
      <c r="HX1" s="745"/>
      <c r="HY1" s="745"/>
      <c r="HZ1" s="12">
        <f>HQ1+1</f>
        <v>25</v>
      </c>
      <c r="IB1" s="745" t="str">
        <f>HS1</f>
        <v>ENTRADAS DEL MES DE ABRIL 2019</v>
      </c>
      <c r="IC1" s="745"/>
      <c r="ID1" s="745"/>
      <c r="IE1" s="745"/>
      <c r="IF1" s="745"/>
      <c r="IG1" s="745"/>
      <c r="IH1" s="745"/>
      <c r="II1" s="12">
        <f>HZ1+1</f>
        <v>26</v>
      </c>
      <c r="IK1" s="745" t="str">
        <f>IB1</f>
        <v>ENTRADAS DEL MES DE ABRIL 2019</v>
      </c>
      <c r="IL1" s="745"/>
      <c r="IM1" s="745"/>
      <c r="IN1" s="745"/>
      <c r="IO1" s="745"/>
      <c r="IP1" s="745"/>
      <c r="IQ1" s="745"/>
      <c r="IR1" s="12">
        <f>II1+1</f>
        <v>27</v>
      </c>
      <c r="IT1" s="745" t="str">
        <f>IK1</f>
        <v>ENTRADAS DEL MES DE ABRIL 2019</v>
      </c>
      <c r="IU1" s="745"/>
      <c r="IV1" s="745"/>
      <c r="IW1" s="745"/>
      <c r="IX1" s="745"/>
      <c r="IY1" s="745"/>
      <c r="IZ1" s="745"/>
      <c r="JA1" s="12">
        <f>IR1+1</f>
        <v>28</v>
      </c>
      <c r="JC1" s="745" t="str">
        <f>IT1</f>
        <v>ENTRADAS DEL MES DE ABRIL 2019</v>
      </c>
      <c r="JD1" s="745"/>
      <c r="JE1" s="745"/>
      <c r="JF1" s="745"/>
      <c r="JG1" s="745"/>
      <c r="JH1" s="745"/>
      <c r="JI1" s="745"/>
      <c r="JJ1" s="12">
        <f>JA1+1</f>
        <v>29</v>
      </c>
      <c r="JL1" s="745" t="str">
        <f>JC1</f>
        <v>ENTRADAS DEL MES DE ABRIL 2019</v>
      </c>
      <c r="JM1" s="745"/>
      <c r="JN1" s="745"/>
      <c r="JO1" s="745"/>
      <c r="JP1" s="745"/>
      <c r="JQ1" s="745"/>
      <c r="JR1" s="745"/>
      <c r="JS1" s="12">
        <f>JJ1+1</f>
        <v>30</v>
      </c>
      <c r="JU1" s="745" t="str">
        <f>JL1</f>
        <v>ENTRADAS DEL MES DE ABRIL 2019</v>
      </c>
      <c r="JV1" s="745"/>
      <c r="JW1" s="745"/>
      <c r="JX1" s="745"/>
      <c r="JY1" s="745"/>
      <c r="JZ1" s="745"/>
      <c r="KA1" s="745"/>
      <c r="KB1" s="12">
        <f>JS1+1</f>
        <v>31</v>
      </c>
      <c r="KD1" s="745" t="str">
        <f>JU1</f>
        <v>ENTRADAS DEL MES DE ABRIL 2019</v>
      </c>
      <c r="KE1" s="745"/>
      <c r="KF1" s="745"/>
      <c r="KG1" s="745"/>
      <c r="KH1" s="745"/>
      <c r="KI1" s="745"/>
      <c r="KJ1" s="745"/>
      <c r="KK1" s="12">
        <f>KB1+1</f>
        <v>32</v>
      </c>
      <c r="KM1" s="745" t="str">
        <f>KD1</f>
        <v>ENTRADAS DEL MES DE ABRIL 2019</v>
      </c>
      <c r="KN1" s="745"/>
      <c r="KO1" s="745"/>
      <c r="KP1" s="745"/>
      <c r="KQ1" s="745"/>
      <c r="KR1" s="745"/>
      <c r="KS1" s="745"/>
      <c r="KT1" s="12">
        <f>KK1+1</f>
        <v>33</v>
      </c>
      <c r="KV1" s="745" t="str">
        <f>KM1</f>
        <v>ENTRADAS DEL MES DE ABRIL 2019</v>
      </c>
      <c r="KW1" s="745"/>
      <c r="KX1" s="745"/>
      <c r="KY1" s="745"/>
      <c r="KZ1" s="745"/>
      <c r="LA1" s="745"/>
      <c r="LB1" s="745"/>
      <c r="LC1" s="12">
        <f>KT1+1</f>
        <v>34</v>
      </c>
      <c r="LE1" s="745" t="str">
        <f>KV1</f>
        <v>ENTRADAS DEL MES DE ABRIL 2019</v>
      </c>
      <c r="LF1" s="745"/>
      <c r="LG1" s="745"/>
      <c r="LH1" s="745"/>
      <c r="LI1" s="745"/>
      <c r="LJ1" s="745"/>
      <c r="LK1" s="745"/>
      <c r="LL1" s="12">
        <f>LC1+1</f>
        <v>35</v>
      </c>
      <c r="LN1" s="745" t="str">
        <f>LE1</f>
        <v>ENTRADAS DEL MES DE ABRIL 2019</v>
      </c>
      <c r="LO1" s="745"/>
      <c r="LP1" s="745"/>
      <c r="LQ1" s="745"/>
      <c r="LR1" s="745"/>
      <c r="LS1" s="745"/>
      <c r="LT1" s="745"/>
      <c r="LU1" s="12">
        <f>LL1+1</f>
        <v>36</v>
      </c>
      <c r="LW1" s="745" t="str">
        <f>LN1</f>
        <v>ENTRADAS DEL MES DE ABRIL 2019</v>
      </c>
      <c r="LX1" s="745"/>
      <c r="LY1" s="745"/>
      <c r="LZ1" s="745"/>
      <c r="MA1" s="745"/>
      <c r="MB1" s="745"/>
      <c r="MC1" s="745"/>
      <c r="MD1" s="12">
        <f>LU1+1</f>
        <v>37</v>
      </c>
      <c r="MF1" s="745" t="str">
        <f>LW1</f>
        <v>ENTRADAS DEL MES DE ABRIL 2019</v>
      </c>
      <c r="MG1" s="745"/>
      <c r="MH1" s="745"/>
      <c r="MI1" s="745"/>
      <c r="MJ1" s="745"/>
      <c r="MK1" s="745"/>
      <c r="ML1" s="745"/>
      <c r="MM1" s="12">
        <f>MD1+1</f>
        <v>38</v>
      </c>
      <c r="MO1" s="745" t="str">
        <f>MF1</f>
        <v>ENTRADAS DEL MES DE ABRIL 2019</v>
      </c>
      <c r="MP1" s="745"/>
      <c r="MQ1" s="745"/>
      <c r="MR1" s="745"/>
      <c r="MS1" s="745"/>
      <c r="MT1" s="745"/>
      <c r="MU1" s="745"/>
      <c r="MV1" s="12">
        <f>MM1+1</f>
        <v>39</v>
      </c>
      <c r="MX1" s="745" t="str">
        <f>MO1</f>
        <v>ENTRADAS DEL MES DE ABRIL 2019</v>
      </c>
      <c r="MY1" s="745"/>
      <c r="MZ1" s="745"/>
      <c r="NA1" s="745"/>
      <c r="NB1" s="745"/>
      <c r="NC1" s="745"/>
      <c r="ND1" s="745"/>
      <c r="NE1" s="12">
        <f>MV1+1</f>
        <v>40</v>
      </c>
      <c r="NG1" s="745" t="str">
        <f>MX1</f>
        <v>ENTRADAS DEL MES DE ABRIL 2019</v>
      </c>
      <c r="NH1" s="745"/>
      <c r="NI1" s="745"/>
      <c r="NJ1" s="745"/>
      <c r="NK1" s="745"/>
      <c r="NL1" s="745"/>
      <c r="NM1" s="745"/>
      <c r="NN1" s="12">
        <f>NE1+1</f>
        <v>41</v>
      </c>
      <c r="NP1" s="745" t="str">
        <f>NG1</f>
        <v>ENTRADAS DEL MES DE ABRIL 2019</v>
      </c>
      <c r="NQ1" s="745"/>
      <c r="NR1" s="745"/>
      <c r="NS1" s="745"/>
      <c r="NT1" s="745"/>
      <c r="NU1" s="745"/>
      <c r="NV1" s="745"/>
      <c r="NW1" s="12">
        <f>NN1+1</f>
        <v>42</v>
      </c>
      <c r="NY1" s="745" t="str">
        <f>NP1</f>
        <v>ENTRADAS DEL MES DE ABRIL 2019</v>
      </c>
      <c r="NZ1" s="745"/>
      <c r="OA1" s="745"/>
      <c r="OB1" s="745"/>
      <c r="OC1" s="745"/>
      <c r="OD1" s="745"/>
      <c r="OE1" s="745"/>
      <c r="OF1" s="12">
        <f>NW1+1</f>
        <v>43</v>
      </c>
      <c r="OH1" s="745" t="str">
        <f>NY1</f>
        <v>ENTRADAS DEL MES DE ABRIL 2019</v>
      </c>
      <c r="OI1" s="745"/>
      <c r="OJ1" s="745"/>
      <c r="OK1" s="745"/>
      <c r="OL1" s="745"/>
      <c r="OM1" s="745"/>
      <c r="ON1" s="745"/>
      <c r="OO1" s="12">
        <f>OF1+1</f>
        <v>44</v>
      </c>
      <c r="OQ1" s="745" t="str">
        <f>OH1</f>
        <v>ENTRADAS DEL MES DE ABRIL 2019</v>
      </c>
      <c r="OR1" s="745"/>
      <c r="OS1" s="745"/>
      <c r="OT1" s="745"/>
      <c r="OU1" s="745"/>
      <c r="OV1" s="745"/>
      <c r="OW1" s="745"/>
      <c r="OX1" s="12">
        <f>OO1+1</f>
        <v>45</v>
      </c>
      <c r="OZ1" s="745" t="str">
        <f>OQ1</f>
        <v>ENTRADAS DEL MES DE ABRIL 2019</v>
      </c>
      <c r="PA1" s="745"/>
      <c r="PB1" s="745"/>
      <c r="PC1" s="745"/>
      <c r="PD1" s="745"/>
      <c r="PE1" s="745"/>
      <c r="PF1" s="745"/>
      <c r="PG1" s="12">
        <f>OX1+1</f>
        <v>46</v>
      </c>
      <c r="PI1" s="745" t="str">
        <f>OZ1</f>
        <v>ENTRADAS DEL MES DE ABRIL 2019</v>
      </c>
      <c r="PJ1" s="745"/>
      <c r="PK1" s="745"/>
      <c r="PL1" s="745"/>
      <c r="PM1" s="745"/>
      <c r="PN1" s="745"/>
      <c r="PO1" s="745"/>
      <c r="PP1" s="12">
        <f>PG1+1</f>
        <v>47</v>
      </c>
      <c r="PR1" s="745" t="str">
        <f>PI1</f>
        <v>ENTRADAS DEL MES DE ABRIL 2019</v>
      </c>
      <c r="PS1" s="745"/>
      <c r="PT1" s="745"/>
      <c r="PU1" s="745"/>
      <c r="PV1" s="745"/>
      <c r="PW1" s="745"/>
      <c r="PX1" s="745"/>
      <c r="PY1" s="12">
        <f>PP1+1</f>
        <v>48</v>
      </c>
      <c r="QA1" s="745" t="str">
        <f>PR1</f>
        <v>ENTRADAS DEL MES DE ABRIL 2019</v>
      </c>
      <c r="QB1" s="745"/>
      <c r="QC1" s="745"/>
      <c r="QD1" s="745"/>
      <c r="QE1" s="745"/>
      <c r="QF1" s="745"/>
      <c r="QG1" s="745"/>
      <c r="QH1" s="12">
        <f>PY1+1</f>
        <v>49</v>
      </c>
      <c r="QJ1" s="745" t="str">
        <f>QA1</f>
        <v>ENTRADAS DEL MES DE ABRIL 2019</v>
      </c>
      <c r="QK1" s="745"/>
      <c r="QL1" s="745"/>
      <c r="QM1" s="745"/>
      <c r="QN1" s="745"/>
      <c r="QO1" s="745"/>
      <c r="QP1" s="745"/>
      <c r="QQ1" s="12">
        <f>QH1+1</f>
        <v>50</v>
      </c>
      <c r="QS1" s="745" t="str">
        <f>QJ1</f>
        <v>ENTRADAS DEL MES DE ABRIL 2019</v>
      </c>
      <c r="QT1" s="745"/>
      <c r="QU1" s="745"/>
      <c r="QV1" s="745"/>
      <c r="QW1" s="745"/>
      <c r="QX1" s="745"/>
      <c r="QY1" s="745"/>
      <c r="QZ1" s="12">
        <f>QQ1+1</f>
        <v>51</v>
      </c>
      <c r="RB1" s="745" t="str">
        <f>QS1</f>
        <v>ENTRADAS DEL MES DE ABRIL 2019</v>
      </c>
      <c r="RC1" s="745"/>
      <c r="RD1" s="745"/>
      <c r="RE1" s="745"/>
      <c r="RF1" s="745"/>
      <c r="RG1" s="745"/>
      <c r="RH1" s="745"/>
      <c r="RI1" s="12">
        <f>QZ1+1</f>
        <v>52</v>
      </c>
      <c r="RK1" s="745" t="str">
        <f>RB1</f>
        <v>ENTRADAS DEL MES DE ABRIL 2019</v>
      </c>
      <c r="RL1" s="745"/>
      <c r="RM1" s="745"/>
      <c r="RN1" s="745"/>
      <c r="RO1" s="745"/>
      <c r="RP1" s="745"/>
      <c r="RQ1" s="745"/>
      <c r="RR1" s="12">
        <f>RI1+1</f>
        <v>53</v>
      </c>
      <c r="RT1" s="745" t="str">
        <f>RK1</f>
        <v>ENTRADAS DEL MES DE ABRIL 2019</v>
      </c>
      <c r="RU1" s="745"/>
      <c r="RV1" s="745"/>
      <c r="RW1" s="745"/>
      <c r="RX1" s="745"/>
      <c r="RY1" s="745"/>
      <c r="RZ1" s="745"/>
      <c r="SA1" s="12">
        <f>RR1+1</f>
        <v>54</v>
      </c>
      <c r="SC1" s="745" t="str">
        <f>RT1</f>
        <v>ENTRADAS DEL MES DE ABRIL 2019</v>
      </c>
      <c r="SD1" s="745"/>
      <c r="SE1" s="745"/>
      <c r="SF1" s="745"/>
      <c r="SG1" s="745"/>
      <c r="SH1" s="745"/>
      <c r="SI1" s="745"/>
      <c r="SJ1" s="12">
        <f>SA1+1</f>
        <v>55</v>
      </c>
      <c r="SL1" s="745" t="str">
        <f>SC1</f>
        <v>ENTRADAS DEL MES DE ABRIL 2019</v>
      </c>
      <c r="SM1" s="745"/>
      <c r="SN1" s="745"/>
      <c r="SO1" s="745"/>
      <c r="SP1" s="745"/>
      <c r="SQ1" s="745"/>
      <c r="SR1" s="745"/>
      <c r="SS1" s="12">
        <f>SJ1+1</f>
        <v>56</v>
      </c>
      <c r="SU1" s="745" t="str">
        <f>SL1</f>
        <v>ENTRADAS DEL MES DE ABRIL 2019</v>
      </c>
      <c r="SV1" s="745"/>
      <c r="SW1" s="745"/>
      <c r="SX1" s="745"/>
      <c r="SY1" s="745"/>
      <c r="SZ1" s="745"/>
      <c r="TA1" s="745"/>
      <c r="TB1" s="12">
        <f>SS1+1</f>
        <v>57</v>
      </c>
      <c r="TD1" s="745" t="str">
        <f>SU1</f>
        <v>ENTRADAS DEL MES DE ABRIL 2019</v>
      </c>
      <c r="TE1" s="745"/>
      <c r="TF1" s="745"/>
      <c r="TG1" s="745"/>
      <c r="TH1" s="745"/>
      <c r="TI1" s="745"/>
      <c r="TJ1" s="745"/>
      <c r="TK1" s="12">
        <f>TB1+1</f>
        <v>58</v>
      </c>
      <c r="TM1" s="745" t="str">
        <f>TD1</f>
        <v>ENTRADAS DEL MES DE ABRIL 2019</v>
      </c>
      <c r="TN1" s="745"/>
      <c r="TO1" s="745"/>
      <c r="TP1" s="745"/>
      <c r="TQ1" s="745"/>
      <c r="TR1" s="745"/>
      <c r="TS1" s="745"/>
      <c r="TT1" s="12">
        <f>TK1+1</f>
        <v>59</v>
      </c>
      <c r="TV1" s="745" t="str">
        <f>TM1</f>
        <v>ENTRADAS DEL MES DE ABRIL 2019</v>
      </c>
      <c r="TW1" s="745"/>
      <c r="TX1" s="745"/>
      <c r="TY1" s="745"/>
      <c r="TZ1" s="745"/>
      <c r="UA1" s="745"/>
      <c r="UB1" s="745"/>
      <c r="UC1" s="12">
        <f>TT1+1</f>
        <v>60</v>
      </c>
      <c r="UE1" s="745" t="str">
        <f>TV1</f>
        <v>ENTRADAS DEL MES DE ABRIL 2019</v>
      </c>
      <c r="UF1" s="745"/>
      <c r="UG1" s="745"/>
      <c r="UH1" s="745"/>
      <c r="UI1" s="745"/>
      <c r="UJ1" s="745"/>
      <c r="UK1" s="745"/>
      <c r="UL1" s="12">
        <f>UC1+1</f>
        <v>61</v>
      </c>
      <c r="UN1" s="745" t="str">
        <f>UE1</f>
        <v>ENTRADAS DEL MES DE ABRIL 2019</v>
      </c>
      <c r="UO1" s="745"/>
      <c r="UP1" s="745"/>
      <c r="UQ1" s="745"/>
      <c r="UR1" s="745"/>
      <c r="US1" s="745"/>
      <c r="UT1" s="745"/>
      <c r="UU1" s="12">
        <f>UL1+1</f>
        <v>62</v>
      </c>
      <c r="UW1" s="745" t="str">
        <f>UN1</f>
        <v>ENTRADAS DEL MES DE ABRIL 2019</v>
      </c>
      <c r="UX1" s="745"/>
      <c r="UY1" s="745"/>
      <c r="UZ1" s="745"/>
      <c r="VA1" s="745"/>
      <c r="VB1" s="745"/>
      <c r="VC1" s="745"/>
      <c r="VD1" s="12">
        <f>UU1+1</f>
        <v>63</v>
      </c>
      <c r="VF1" s="745" t="str">
        <f>UW1</f>
        <v>ENTRADAS DEL MES DE ABRIL 2019</v>
      </c>
      <c r="VG1" s="745"/>
      <c r="VH1" s="745"/>
      <c r="VI1" s="745"/>
      <c r="VJ1" s="745"/>
      <c r="VK1" s="745"/>
      <c r="VL1" s="745"/>
      <c r="VM1" s="12">
        <f>VD1+1</f>
        <v>64</v>
      </c>
      <c r="VO1" s="745" t="str">
        <f>VF1</f>
        <v>ENTRADAS DEL MES DE ABRIL 2019</v>
      </c>
      <c r="VP1" s="745"/>
      <c r="VQ1" s="745"/>
      <c r="VR1" s="745"/>
      <c r="VS1" s="745"/>
      <c r="VT1" s="745"/>
      <c r="VU1" s="745"/>
      <c r="VV1" s="12">
        <f>VM1+1</f>
        <v>65</v>
      </c>
      <c r="VX1" s="745" t="str">
        <f>VO1</f>
        <v>ENTRADAS DEL MES DE ABRIL 2019</v>
      </c>
      <c r="VY1" s="745"/>
      <c r="VZ1" s="745"/>
      <c r="WA1" s="745"/>
      <c r="WB1" s="745"/>
      <c r="WC1" s="745"/>
      <c r="WD1" s="745"/>
      <c r="WE1" s="12">
        <f>VV1+1</f>
        <v>66</v>
      </c>
      <c r="WG1" s="745" t="str">
        <f>VX1</f>
        <v>ENTRADAS DEL MES DE ABRIL 2019</v>
      </c>
      <c r="WH1" s="745"/>
      <c r="WI1" s="745"/>
      <c r="WJ1" s="745"/>
      <c r="WK1" s="745"/>
      <c r="WL1" s="745"/>
      <c r="WM1" s="745"/>
      <c r="WN1" s="12">
        <f>WE1+1</f>
        <v>67</v>
      </c>
      <c r="WP1" s="745" t="str">
        <f>WG1</f>
        <v>ENTRADAS DEL MES DE ABRIL 2019</v>
      </c>
      <c r="WQ1" s="745"/>
      <c r="WR1" s="745"/>
      <c r="WS1" s="745"/>
      <c r="WT1" s="745"/>
      <c r="WU1" s="745"/>
      <c r="WV1" s="745"/>
      <c r="WW1" s="12">
        <f>WN1+1</f>
        <v>68</v>
      </c>
      <c r="WY1" s="745" t="str">
        <f>WP1</f>
        <v>ENTRADAS DEL MES DE ABRIL 2019</v>
      </c>
      <c r="WZ1" s="745"/>
      <c r="XA1" s="745"/>
      <c r="XB1" s="745"/>
      <c r="XC1" s="745"/>
      <c r="XD1" s="745"/>
      <c r="XE1" s="745"/>
      <c r="XF1" s="12">
        <f>WW1+1</f>
        <v>69</v>
      </c>
      <c r="XH1" s="745" t="str">
        <f>WY1</f>
        <v>ENTRADAS DEL MES DE ABRIL 2019</v>
      </c>
      <c r="XI1" s="745"/>
      <c r="XJ1" s="745"/>
      <c r="XK1" s="745"/>
      <c r="XL1" s="745"/>
      <c r="XM1" s="745"/>
      <c r="XN1" s="745"/>
      <c r="XO1" s="12">
        <f>XF1+1</f>
        <v>70</v>
      </c>
      <c r="XQ1" s="745" t="str">
        <f>XH1</f>
        <v>ENTRADAS DEL MES DE ABRIL 2019</v>
      </c>
      <c r="XR1" s="745"/>
      <c r="XS1" s="745"/>
      <c r="XT1" s="745"/>
      <c r="XU1" s="745"/>
      <c r="XV1" s="745"/>
      <c r="XW1" s="745"/>
      <c r="XX1" s="12">
        <f>XO1+1</f>
        <v>71</v>
      </c>
      <c r="XZ1" s="745" t="str">
        <f>XQ1</f>
        <v>ENTRADAS DEL MES DE ABRIL 2019</v>
      </c>
      <c r="YA1" s="745"/>
      <c r="YB1" s="745"/>
      <c r="YC1" s="745"/>
      <c r="YD1" s="745"/>
      <c r="YE1" s="745"/>
      <c r="YF1" s="745"/>
      <c r="YG1" s="12">
        <f>XX1+1</f>
        <v>72</v>
      </c>
      <c r="YI1" s="745" t="str">
        <f>XZ1</f>
        <v>ENTRADAS DEL MES DE ABRIL 2019</v>
      </c>
      <c r="YJ1" s="745"/>
      <c r="YK1" s="745"/>
      <c r="YL1" s="745"/>
      <c r="YM1" s="745"/>
      <c r="YN1" s="745"/>
      <c r="YO1" s="745"/>
      <c r="YP1" s="12">
        <f>YG1+1</f>
        <v>73</v>
      </c>
      <c r="YR1" s="745" t="str">
        <f>YI1</f>
        <v>ENTRADAS DEL MES DE ABRIL 2019</v>
      </c>
      <c r="YS1" s="745"/>
      <c r="YT1" s="745"/>
      <c r="YU1" s="745"/>
      <c r="YV1" s="745"/>
      <c r="YW1" s="745"/>
      <c r="YX1" s="745"/>
      <c r="YY1" s="12">
        <f>YP1+1</f>
        <v>74</v>
      </c>
      <c r="ZA1" s="745" t="str">
        <f>YR1</f>
        <v>ENTRADAS DEL MES DE ABRIL 2019</v>
      </c>
      <c r="ZB1" s="745"/>
      <c r="ZC1" s="745"/>
      <c r="ZD1" s="745"/>
      <c r="ZE1" s="745"/>
      <c r="ZF1" s="745"/>
      <c r="ZG1" s="745"/>
      <c r="ZH1" s="12">
        <f>YY1+1</f>
        <v>75</v>
      </c>
      <c r="ZJ1" s="745" t="str">
        <f>ZA1</f>
        <v>ENTRADAS DEL MES DE ABRIL 2019</v>
      </c>
      <c r="ZK1" s="745"/>
      <c r="ZL1" s="745"/>
      <c r="ZM1" s="745"/>
      <c r="ZN1" s="745"/>
      <c r="ZO1" s="745"/>
      <c r="ZP1" s="745"/>
      <c r="ZQ1" s="12">
        <f>ZH1+1</f>
        <v>76</v>
      </c>
      <c r="ZS1" s="745" t="str">
        <f>ZJ1</f>
        <v>ENTRADAS DEL MES DE ABRIL 2019</v>
      </c>
      <c r="ZT1" s="745"/>
      <c r="ZU1" s="745"/>
      <c r="ZV1" s="745"/>
      <c r="ZW1" s="745"/>
      <c r="ZX1" s="745"/>
      <c r="ZY1" s="745"/>
      <c r="ZZ1" s="12">
        <f>ZQ1+1</f>
        <v>77</v>
      </c>
      <c r="AAB1" s="745" t="str">
        <f>ZS1</f>
        <v>ENTRADAS DEL MES DE ABRIL 2019</v>
      </c>
      <c r="AAC1" s="745"/>
      <c r="AAD1" s="745"/>
      <c r="AAE1" s="745"/>
      <c r="AAF1" s="745"/>
      <c r="AAG1" s="745"/>
      <c r="AAH1" s="745"/>
      <c r="AAI1" s="12">
        <f>ZZ1+1</f>
        <v>78</v>
      </c>
      <c r="AAK1" s="745" t="str">
        <f>AAB1</f>
        <v>ENTRADAS DEL MES DE ABRIL 2019</v>
      </c>
      <c r="AAL1" s="745"/>
      <c r="AAM1" s="745"/>
      <c r="AAN1" s="745"/>
      <c r="AAO1" s="745"/>
      <c r="AAP1" s="745"/>
      <c r="AAQ1" s="745"/>
      <c r="AAR1" s="12">
        <f>AAI1+1</f>
        <v>79</v>
      </c>
      <c r="AAT1" s="745" t="str">
        <f>AAK1</f>
        <v>ENTRADAS DEL MES DE ABRIL 2019</v>
      </c>
      <c r="AAU1" s="745"/>
      <c r="AAV1" s="745"/>
      <c r="AAW1" s="745"/>
      <c r="AAX1" s="745"/>
      <c r="AAY1" s="745"/>
      <c r="AAZ1" s="745"/>
      <c r="ABA1" s="12">
        <f>AAR1+1</f>
        <v>80</v>
      </c>
      <c r="ABC1" s="745" t="str">
        <f>AAT1</f>
        <v>ENTRADAS DEL MES DE ABRIL 2019</v>
      </c>
      <c r="ABD1" s="745"/>
      <c r="ABE1" s="745"/>
      <c r="ABF1" s="745"/>
      <c r="ABG1" s="745"/>
      <c r="ABH1" s="745"/>
      <c r="ABI1" s="745"/>
      <c r="ABJ1" s="12">
        <f>ABA1+1</f>
        <v>81</v>
      </c>
      <c r="ABL1" s="745" t="str">
        <f>ABC1</f>
        <v>ENTRADAS DEL MES DE ABRIL 2019</v>
      </c>
      <c r="ABM1" s="745"/>
      <c r="ABN1" s="745"/>
      <c r="ABO1" s="745"/>
      <c r="ABP1" s="745"/>
      <c r="ABQ1" s="745"/>
      <c r="ABR1" s="745"/>
      <c r="ABS1" s="12">
        <f>ABJ1+1</f>
        <v>82</v>
      </c>
      <c r="ABU1" s="745" t="str">
        <f>ABL1</f>
        <v>ENTRADAS DEL MES DE ABRIL 2019</v>
      </c>
      <c r="ABV1" s="745"/>
      <c r="ABW1" s="745"/>
      <c r="ABX1" s="745"/>
      <c r="ABY1" s="745"/>
      <c r="ABZ1" s="745"/>
      <c r="ACA1" s="745"/>
      <c r="ACB1" s="12">
        <f>ABS1+1</f>
        <v>83</v>
      </c>
      <c r="ACD1" s="745" t="str">
        <f>ABU1</f>
        <v>ENTRADAS DEL MES DE ABRIL 2019</v>
      </c>
      <c r="ACE1" s="745"/>
      <c r="ACF1" s="745"/>
      <c r="ACG1" s="745"/>
      <c r="ACH1" s="745"/>
      <c r="ACI1" s="745"/>
      <c r="ACJ1" s="745"/>
      <c r="ACK1" s="12">
        <f>ACB1+1</f>
        <v>84</v>
      </c>
      <c r="ACM1" s="745" t="str">
        <f>ACD1</f>
        <v>ENTRADAS DEL MES DE ABRIL 2019</v>
      </c>
      <c r="ACN1" s="745"/>
      <c r="ACO1" s="745"/>
      <c r="ACP1" s="745"/>
      <c r="ACQ1" s="745"/>
      <c r="ACR1" s="745"/>
      <c r="ACS1" s="745"/>
      <c r="ACT1" s="12">
        <f>ACK1+1</f>
        <v>85</v>
      </c>
      <c r="ACV1" s="745" t="str">
        <f>ACM1</f>
        <v>ENTRADAS DEL MES DE ABRIL 2019</v>
      </c>
      <c r="ACW1" s="745"/>
      <c r="ACX1" s="745"/>
      <c r="ACY1" s="745"/>
      <c r="ACZ1" s="745"/>
      <c r="ADA1" s="745"/>
      <c r="ADB1" s="745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TYSON FRESH MEATS</v>
      </c>
      <c r="C4" s="440" t="str">
        <f t="shared" ref="C4:I4" si="0">L5</f>
        <v xml:space="preserve">I B P </v>
      </c>
      <c r="D4" s="441" t="str">
        <f t="shared" si="0"/>
        <v>PED. 35917865</v>
      </c>
      <c r="E4" s="124">
        <f t="shared" si="0"/>
        <v>43551</v>
      </c>
      <c r="F4" s="58">
        <f t="shared" si="0"/>
        <v>18576.78</v>
      </c>
      <c r="G4" s="13">
        <f t="shared" si="0"/>
        <v>20</v>
      </c>
      <c r="H4" s="52">
        <f t="shared" si="0"/>
        <v>18624.41</v>
      </c>
      <c r="I4" s="6">
        <f t="shared" si="0"/>
        <v>-47.630000000001019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86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684"/>
      <c r="IU4" t="s">
        <v>23</v>
      </c>
      <c r="IX4" t="s">
        <v>93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62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62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SIOUXPREME PACKING</v>
      </c>
      <c r="C5" s="102" t="str">
        <f t="shared" si="1"/>
        <v>SIOUX</v>
      </c>
      <c r="D5" s="148" t="str">
        <f t="shared" si="1"/>
        <v>PED. 3611388</v>
      </c>
      <c r="E5" s="204">
        <f t="shared" si="1"/>
        <v>43557</v>
      </c>
      <c r="F5" s="128">
        <f t="shared" si="1"/>
        <v>18527.87</v>
      </c>
      <c r="G5" s="97">
        <f t="shared" si="1"/>
        <v>21</v>
      </c>
      <c r="H5" s="52">
        <f t="shared" si="1"/>
        <v>18623.5</v>
      </c>
      <c r="I5" s="154">
        <f t="shared" si="1"/>
        <v>-95.630000000001019</v>
      </c>
      <c r="K5" s="102" t="s">
        <v>152</v>
      </c>
      <c r="L5" s="389" t="s">
        <v>153</v>
      </c>
      <c r="M5" s="148" t="s">
        <v>225</v>
      </c>
      <c r="N5" s="203">
        <v>43551</v>
      </c>
      <c r="O5" s="128">
        <v>18576.78</v>
      </c>
      <c r="P5" s="97">
        <v>20</v>
      </c>
      <c r="Q5" s="637">
        <v>18624.41</v>
      </c>
      <c r="R5" s="208">
        <f>O5-Q5</f>
        <v>-47.630000000001019</v>
      </c>
      <c r="S5" s="557"/>
      <c r="T5" s="557" t="s">
        <v>262</v>
      </c>
      <c r="U5" s="619" t="s">
        <v>263</v>
      </c>
      <c r="V5" s="559" t="s">
        <v>264</v>
      </c>
      <c r="W5" s="560">
        <v>43557</v>
      </c>
      <c r="X5" s="561">
        <v>18527.87</v>
      </c>
      <c r="Y5" s="558">
        <v>21</v>
      </c>
      <c r="Z5" s="637">
        <v>18623.5</v>
      </c>
      <c r="AA5" s="208">
        <f>X5-Z5</f>
        <v>-95.630000000001019</v>
      </c>
      <c r="AB5" s="557"/>
      <c r="AC5" s="557" t="s">
        <v>265</v>
      </c>
      <c r="AD5" s="620" t="s">
        <v>266</v>
      </c>
      <c r="AE5" s="562" t="s">
        <v>267</v>
      </c>
      <c r="AF5" s="560">
        <v>43557</v>
      </c>
      <c r="AG5" s="561">
        <v>19564.509999999998</v>
      </c>
      <c r="AH5" s="558">
        <v>20</v>
      </c>
      <c r="AI5" s="637">
        <v>19363.259999999998</v>
      </c>
      <c r="AJ5" s="208">
        <f>AG5-AI5</f>
        <v>201.25</v>
      </c>
      <c r="AK5" s="557"/>
      <c r="AL5" s="557" t="s">
        <v>152</v>
      </c>
      <c r="AM5" s="389" t="s">
        <v>153</v>
      </c>
      <c r="AN5" s="562" t="s">
        <v>268</v>
      </c>
      <c r="AO5" s="560">
        <v>43557</v>
      </c>
      <c r="AP5" s="561">
        <v>18843.330000000002</v>
      </c>
      <c r="AQ5" s="558">
        <v>20</v>
      </c>
      <c r="AR5" s="637">
        <v>18916.52</v>
      </c>
      <c r="AS5" s="208">
        <f>AP5-AR5</f>
        <v>-73.18999999999869</v>
      </c>
      <c r="AT5" s="557"/>
      <c r="AU5" s="557" t="s">
        <v>278</v>
      </c>
      <c r="AV5" s="622" t="s">
        <v>279</v>
      </c>
      <c r="AW5" s="559" t="s">
        <v>280</v>
      </c>
      <c r="AX5" s="560">
        <v>43559</v>
      </c>
      <c r="AY5" s="561">
        <v>19030.93</v>
      </c>
      <c r="AZ5" s="558">
        <v>21</v>
      </c>
      <c r="BA5" s="637">
        <v>19062.2</v>
      </c>
      <c r="BB5" s="208">
        <f>AY5-BA5</f>
        <v>-31.270000000000437</v>
      </c>
      <c r="BC5" s="557"/>
      <c r="BD5" s="557" t="s">
        <v>281</v>
      </c>
      <c r="BE5" s="623" t="s">
        <v>266</v>
      </c>
      <c r="BF5" s="562" t="s">
        <v>282</v>
      </c>
      <c r="BG5" s="563">
        <v>43560</v>
      </c>
      <c r="BH5" s="561">
        <v>18875.439999999999</v>
      </c>
      <c r="BI5" s="558">
        <v>20</v>
      </c>
      <c r="BJ5" s="637">
        <v>18733.79</v>
      </c>
      <c r="BK5" s="208">
        <f>BH5-BJ5</f>
        <v>141.64999999999782</v>
      </c>
      <c r="BL5" s="557"/>
      <c r="BM5" s="557" t="s">
        <v>152</v>
      </c>
      <c r="BN5" s="624" t="s">
        <v>153</v>
      </c>
      <c r="BO5" s="559" t="s">
        <v>283</v>
      </c>
      <c r="BP5" s="563">
        <v>43560</v>
      </c>
      <c r="BQ5" s="561">
        <v>18790.650000000001</v>
      </c>
      <c r="BR5" s="558">
        <v>20</v>
      </c>
      <c r="BS5" s="637">
        <v>18864.830000000002</v>
      </c>
      <c r="BT5" s="208">
        <f>BQ5-BS5</f>
        <v>-74.180000000000291</v>
      </c>
      <c r="BU5" s="557"/>
      <c r="BV5" s="557" t="s">
        <v>98</v>
      </c>
      <c r="BW5" s="622" t="s">
        <v>279</v>
      </c>
      <c r="BX5" s="559" t="s">
        <v>284</v>
      </c>
      <c r="BY5" s="563">
        <v>43561</v>
      </c>
      <c r="BZ5" s="561">
        <v>18493.3</v>
      </c>
      <c r="CA5" s="558">
        <v>21</v>
      </c>
      <c r="CB5" s="637">
        <v>18578.5</v>
      </c>
      <c r="CC5" s="208">
        <f>BZ5-CB5</f>
        <v>-85.200000000000728</v>
      </c>
      <c r="CD5" s="557"/>
      <c r="CE5" s="557" t="s">
        <v>262</v>
      </c>
      <c r="CF5" s="625" t="s">
        <v>263</v>
      </c>
      <c r="CG5" s="559" t="s">
        <v>285</v>
      </c>
      <c r="CH5" s="563">
        <v>43564</v>
      </c>
      <c r="CI5" s="561">
        <v>18727.43</v>
      </c>
      <c r="CJ5" s="558">
        <v>21</v>
      </c>
      <c r="CK5" s="637">
        <v>18815</v>
      </c>
      <c r="CL5" s="208">
        <f>CI5-CK5</f>
        <v>-87.569999999999709</v>
      </c>
      <c r="CM5" s="557"/>
      <c r="CN5" s="557" t="s">
        <v>281</v>
      </c>
      <c r="CO5" s="620" t="s">
        <v>266</v>
      </c>
      <c r="CP5" s="562" t="s">
        <v>286</v>
      </c>
      <c r="CQ5" s="563">
        <v>43564</v>
      </c>
      <c r="CR5" s="561">
        <v>18938.78</v>
      </c>
      <c r="CS5" s="558">
        <v>20</v>
      </c>
      <c r="CT5" s="637">
        <v>18783.22</v>
      </c>
      <c r="CU5" s="208">
        <f>CR5-CT5</f>
        <v>155.55999999999767</v>
      </c>
      <c r="CV5" s="557"/>
      <c r="CW5" s="557" t="s">
        <v>287</v>
      </c>
      <c r="CX5" s="624" t="s">
        <v>153</v>
      </c>
      <c r="CY5" s="559" t="s">
        <v>288</v>
      </c>
      <c r="CZ5" s="563">
        <v>43565</v>
      </c>
      <c r="DA5" s="561">
        <v>18617.240000000002</v>
      </c>
      <c r="DB5" s="558">
        <v>20</v>
      </c>
      <c r="DC5" s="637">
        <v>18706.95</v>
      </c>
      <c r="DD5" s="208">
        <f>DA5-DC5</f>
        <v>-89.709999999999127</v>
      </c>
      <c r="DE5" s="557"/>
      <c r="DF5" s="557" t="s">
        <v>98</v>
      </c>
      <c r="DG5" s="622" t="s">
        <v>279</v>
      </c>
      <c r="DH5" s="562" t="s">
        <v>295</v>
      </c>
      <c r="DI5" s="563">
        <v>43566</v>
      </c>
      <c r="DJ5" s="561">
        <v>19138.349999999999</v>
      </c>
      <c r="DK5" s="558">
        <v>21</v>
      </c>
      <c r="DL5" s="637">
        <v>19209.3</v>
      </c>
      <c r="DM5" s="208">
        <f>DJ5-DL5</f>
        <v>-70.950000000000728</v>
      </c>
      <c r="DN5" s="557"/>
      <c r="DO5" s="557" t="s">
        <v>152</v>
      </c>
      <c r="DP5" s="389" t="s">
        <v>153</v>
      </c>
      <c r="DQ5" s="562" t="s">
        <v>296</v>
      </c>
      <c r="DR5" s="563">
        <v>43567</v>
      </c>
      <c r="DS5" s="561">
        <v>18472.95</v>
      </c>
      <c r="DT5" s="558">
        <v>20</v>
      </c>
      <c r="DU5" s="637">
        <v>18584.95</v>
      </c>
      <c r="DV5" s="208">
        <f>DS5-DU5</f>
        <v>-112</v>
      </c>
      <c r="DW5" s="557"/>
      <c r="DX5" s="557" t="s">
        <v>265</v>
      </c>
      <c r="DY5" s="620" t="s">
        <v>266</v>
      </c>
      <c r="DZ5" s="562" t="s">
        <v>297</v>
      </c>
      <c r="EA5" s="563">
        <v>43568</v>
      </c>
      <c r="EB5" s="561">
        <v>19289.37</v>
      </c>
      <c r="EC5" s="558">
        <v>20</v>
      </c>
      <c r="ED5" s="637">
        <v>18986.400000000001</v>
      </c>
      <c r="EE5" s="208">
        <f>EB5-ED5</f>
        <v>302.96999999999753</v>
      </c>
      <c r="EF5" s="557"/>
      <c r="EG5" s="557" t="s">
        <v>98</v>
      </c>
      <c r="EH5" s="627" t="s">
        <v>279</v>
      </c>
      <c r="EI5" s="562" t="s">
        <v>298</v>
      </c>
      <c r="EJ5" s="563">
        <v>43537</v>
      </c>
      <c r="EK5" s="561">
        <v>19118.34</v>
      </c>
      <c r="EL5" s="558">
        <v>21</v>
      </c>
      <c r="EM5" s="665">
        <v>19180.099999999999</v>
      </c>
      <c r="EN5" s="208">
        <f>EK5-EM5</f>
        <v>-61.759999999998399</v>
      </c>
      <c r="EO5" s="557"/>
      <c r="EP5" s="557" t="s">
        <v>152</v>
      </c>
      <c r="EQ5" s="389" t="s">
        <v>153</v>
      </c>
      <c r="ER5" s="562" t="s">
        <v>299</v>
      </c>
      <c r="ES5" s="563">
        <v>43571</v>
      </c>
      <c r="ET5" s="561">
        <v>18802.23</v>
      </c>
      <c r="EU5" s="558">
        <v>20</v>
      </c>
      <c r="EV5" s="665">
        <v>18839.849999999999</v>
      </c>
      <c r="EW5" s="208">
        <f>ET5-EV5</f>
        <v>-37.619999999998981</v>
      </c>
      <c r="EX5" s="557"/>
      <c r="EY5" s="557" t="s">
        <v>300</v>
      </c>
      <c r="EZ5" s="620" t="s">
        <v>266</v>
      </c>
      <c r="FA5" s="562" t="s">
        <v>301</v>
      </c>
      <c r="FB5" s="563">
        <v>43571</v>
      </c>
      <c r="FC5" s="561">
        <v>19128.189999999999</v>
      </c>
      <c r="FD5" s="558">
        <v>20</v>
      </c>
      <c r="FE5" s="637">
        <v>18912.46</v>
      </c>
      <c r="FF5" s="208">
        <f>FC5-FE5</f>
        <v>215.72999999999956</v>
      </c>
      <c r="FG5" s="557"/>
      <c r="FH5" s="557" t="s">
        <v>152</v>
      </c>
      <c r="FI5" s="389" t="s">
        <v>153</v>
      </c>
      <c r="FJ5" s="564" t="s">
        <v>302</v>
      </c>
      <c r="FK5" s="563">
        <v>43572</v>
      </c>
      <c r="FL5" s="561">
        <v>18776.14</v>
      </c>
      <c r="FM5" s="558">
        <v>20</v>
      </c>
      <c r="FN5" s="637">
        <v>18839.86</v>
      </c>
      <c r="FO5" s="208">
        <f>FL5-FN5</f>
        <v>-63.720000000001164</v>
      </c>
      <c r="FP5" s="557"/>
      <c r="FQ5" s="557" t="s">
        <v>152</v>
      </c>
      <c r="FR5" s="389" t="s">
        <v>153</v>
      </c>
      <c r="FS5" s="562" t="s">
        <v>303</v>
      </c>
      <c r="FT5" s="560">
        <v>43572</v>
      </c>
      <c r="FU5" s="561">
        <v>18459.349999999999</v>
      </c>
      <c r="FV5" s="558">
        <v>20</v>
      </c>
      <c r="FW5" s="637">
        <v>18488.330000000002</v>
      </c>
      <c r="FX5" s="208">
        <f>FU5-FW5</f>
        <v>-28.980000000003201</v>
      </c>
      <c r="FY5" s="557"/>
      <c r="FZ5" s="557" t="s">
        <v>304</v>
      </c>
      <c r="GA5" s="620" t="s">
        <v>266</v>
      </c>
      <c r="GB5" s="558" t="s">
        <v>305</v>
      </c>
      <c r="GC5" s="560">
        <v>43572</v>
      </c>
      <c r="GD5" s="561">
        <v>19258.759999999998</v>
      </c>
      <c r="GE5" s="558">
        <v>20</v>
      </c>
      <c r="GF5" s="637">
        <v>19119.7</v>
      </c>
      <c r="GG5" s="208">
        <f>GD5-GF5</f>
        <v>139.05999999999767</v>
      </c>
      <c r="GH5" s="557"/>
      <c r="GI5" s="557" t="s">
        <v>306</v>
      </c>
      <c r="GJ5" s="627" t="s">
        <v>279</v>
      </c>
      <c r="GK5" s="562" t="s">
        <v>307</v>
      </c>
      <c r="GL5" s="560">
        <v>43573</v>
      </c>
      <c r="GM5" s="561">
        <v>18884.48</v>
      </c>
      <c r="GN5" s="558">
        <v>21</v>
      </c>
      <c r="GO5" s="637">
        <v>18944.2</v>
      </c>
      <c r="GP5" s="208">
        <f>GM5-GO5</f>
        <v>-59.720000000001164</v>
      </c>
      <c r="GQ5" s="557"/>
      <c r="GR5" s="557" t="s">
        <v>98</v>
      </c>
      <c r="GS5" s="627" t="s">
        <v>279</v>
      </c>
      <c r="GT5" s="562" t="s">
        <v>321</v>
      </c>
      <c r="GU5" s="563">
        <v>43575</v>
      </c>
      <c r="GV5" s="561">
        <v>19149.689999999999</v>
      </c>
      <c r="GW5" s="558">
        <v>21</v>
      </c>
      <c r="GX5" s="665">
        <v>19225.900000000001</v>
      </c>
      <c r="GY5" s="208">
        <f>GV5-GX5</f>
        <v>-76.210000000002765</v>
      </c>
      <c r="GZ5" s="557"/>
      <c r="HA5" s="557" t="s">
        <v>265</v>
      </c>
      <c r="HB5" s="620" t="s">
        <v>266</v>
      </c>
      <c r="HC5" s="562" t="s">
        <v>341</v>
      </c>
      <c r="HD5" s="563">
        <v>43578</v>
      </c>
      <c r="HE5" s="561">
        <v>19822.310000000001</v>
      </c>
      <c r="HF5" s="558">
        <v>20</v>
      </c>
      <c r="HG5" s="637">
        <v>19575.599999999999</v>
      </c>
      <c r="HH5" s="208">
        <f>HE5-HG5</f>
        <v>246.71000000000276</v>
      </c>
      <c r="HI5" s="557"/>
      <c r="HJ5" s="558" t="s">
        <v>346</v>
      </c>
      <c r="HK5" s="619" t="s">
        <v>263</v>
      </c>
      <c r="HL5" s="564" t="s">
        <v>342</v>
      </c>
      <c r="HM5" s="560">
        <v>43578</v>
      </c>
      <c r="HN5" s="561">
        <v>18707.669999999998</v>
      </c>
      <c r="HO5" s="558">
        <v>21</v>
      </c>
      <c r="HP5" s="637">
        <v>18718</v>
      </c>
      <c r="HQ5" s="208">
        <f>HN5-HP5</f>
        <v>-10.330000000001746</v>
      </c>
      <c r="HR5" s="557"/>
      <c r="HS5" s="557" t="s">
        <v>265</v>
      </c>
      <c r="HT5" s="620" t="s">
        <v>266</v>
      </c>
      <c r="HU5" s="564" t="s">
        <v>343</v>
      </c>
      <c r="HV5" s="563">
        <v>43579</v>
      </c>
      <c r="HW5" s="561">
        <v>19048.96</v>
      </c>
      <c r="HX5" s="558">
        <v>20</v>
      </c>
      <c r="HY5" s="637">
        <v>19034.03</v>
      </c>
      <c r="HZ5" s="208">
        <f>HW5-HY5</f>
        <v>14.930000000000291</v>
      </c>
      <c r="IA5" s="557"/>
      <c r="IB5" s="557" t="s">
        <v>152</v>
      </c>
      <c r="IC5" s="678" t="s">
        <v>153</v>
      </c>
      <c r="ID5" s="562" t="s">
        <v>469</v>
      </c>
      <c r="IE5" s="563">
        <v>43579</v>
      </c>
      <c r="IF5" s="561">
        <v>18601.240000000002</v>
      </c>
      <c r="IG5" s="558">
        <v>20</v>
      </c>
      <c r="IH5" s="665">
        <v>18635.3</v>
      </c>
      <c r="II5" s="208">
        <f>IF5-IH5</f>
        <v>-34.059999999997672</v>
      </c>
      <c r="IJ5" s="557"/>
      <c r="IK5" s="557" t="s">
        <v>98</v>
      </c>
      <c r="IL5" s="627" t="s">
        <v>279</v>
      </c>
      <c r="IM5" s="564" t="s">
        <v>470</v>
      </c>
      <c r="IN5" s="563">
        <v>43580</v>
      </c>
      <c r="IO5" s="561">
        <v>18740.900000000001</v>
      </c>
      <c r="IP5" s="558">
        <v>21</v>
      </c>
      <c r="IQ5" s="685">
        <v>18785.900000000001</v>
      </c>
      <c r="IR5" s="208">
        <f>IO5-IQ5</f>
        <v>-45</v>
      </c>
      <c r="IS5" s="557"/>
      <c r="IT5" s="557" t="s">
        <v>152</v>
      </c>
      <c r="IU5" s="389" t="s">
        <v>153</v>
      </c>
      <c r="IV5" s="559" t="s">
        <v>484</v>
      </c>
      <c r="IW5" s="560">
        <v>43581</v>
      </c>
      <c r="IX5" s="561">
        <v>18629.64</v>
      </c>
      <c r="IY5" s="558">
        <v>20</v>
      </c>
      <c r="IZ5" s="637">
        <v>18684.009999999998</v>
      </c>
      <c r="JA5" s="208">
        <f>IX5-IZ5</f>
        <v>-54.369999999998981</v>
      </c>
      <c r="JB5" s="557"/>
      <c r="JC5" s="557" t="s">
        <v>98</v>
      </c>
      <c r="JD5" s="627" t="s">
        <v>279</v>
      </c>
      <c r="JE5" s="562" t="s">
        <v>485</v>
      </c>
      <c r="JF5" s="560">
        <v>43582</v>
      </c>
      <c r="JG5" s="561">
        <v>19112.900000000001</v>
      </c>
      <c r="JH5" s="558">
        <v>21</v>
      </c>
      <c r="JI5" s="637">
        <v>19080.3</v>
      </c>
      <c r="JJ5" s="208">
        <f>JG5-JI5</f>
        <v>32.600000000002183</v>
      </c>
      <c r="JK5" s="557"/>
      <c r="JL5" s="566" t="s">
        <v>262</v>
      </c>
      <c r="JM5" s="619" t="s">
        <v>263</v>
      </c>
      <c r="JN5" s="559" t="s">
        <v>486</v>
      </c>
      <c r="JO5" s="560">
        <v>43585</v>
      </c>
      <c r="JP5" s="561">
        <v>18803.47</v>
      </c>
      <c r="JQ5" s="558">
        <v>21</v>
      </c>
      <c r="JR5" s="637">
        <v>18859</v>
      </c>
      <c r="JS5" s="208">
        <f>JP5-JR5</f>
        <v>-55.529999999998836</v>
      </c>
      <c r="JT5" s="557"/>
      <c r="JU5" s="557" t="s">
        <v>265</v>
      </c>
      <c r="JV5" s="620" t="s">
        <v>266</v>
      </c>
      <c r="JW5" s="562" t="s">
        <v>487</v>
      </c>
      <c r="JX5" s="563">
        <v>43585</v>
      </c>
      <c r="JY5" s="561">
        <v>19018.18</v>
      </c>
      <c r="JZ5" s="558">
        <v>20</v>
      </c>
      <c r="KA5" s="637">
        <v>19029.490000000002</v>
      </c>
      <c r="KB5" s="208">
        <f>JY5-KA5</f>
        <v>-11.31000000000131</v>
      </c>
      <c r="KD5" s="557" t="s">
        <v>152</v>
      </c>
      <c r="KE5" s="389" t="s">
        <v>153</v>
      </c>
      <c r="KF5" s="559" t="s">
        <v>525</v>
      </c>
      <c r="KG5" s="563">
        <v>43586</v>
      </c>
      <c r="KH5" s="561">
        <v>18797.689999999999</v>
      </c>
      <c r="KI5" s="558">
        <v>20</v>
      </c>
      <c r="KJ5" s="693">
        <v>18801.759999999998</v>
      </c>
      <c r="KK5" s="208">
        <f>KH5-KJ5</f>
        <v>-4.069999999999709</v>
      </c>
      <c r="KL5" s="102" t="s">
        <v>41</v>
      </c>
      <c r="KM5" s="557" t="s">
        <v>265</v>
      </c>
      <c r="KN5" s="620" t="s">
        <v>266</v>
      </c>
      <c r="KO5" s="559" t="s">
        <v>526</v>
      </c>
      <c r="KP5" s="560">
        <v>43586</v>
      </c>
      <c r="KQ5" s="561">
        <v>18997.64</v>
      </c>
      <c r="KR5" s="558">
        <v>20</v>
      </c>
      <c r="KS5" s="693">
        <v>18905.439999999999</v>
      </c>
      <c r="KT5" s="208">
        <f>KQ5-KS5</f>
        <v>92.200000000000728</v>
      </c>
      <c r="KV5" s="557" t="s">
        <v>152</v>
      </c>
      <c r="KW5" s="389" t="s">
        <v>153</v>
      </c>
      <c r="KX5" s="559" t="s">
        <v>527</v>
      </c>
      <c r="KY5" s="560">
        <v>43588</v>
      </c>
      <c r="KZ5" s="561">
        <v>18620.16</v>
      </c>
      <c r="LA5" s="558">
        <v>20</v>
      </c>
      <c r="LB5" s="693">
        <v>18638.53</v>
      </c>
      <c r="LC5" s="208">
        <f>KZ5-LB5</f>
        <v>-18.369999999998981</v>
      </c>
      <c r="LE5" s="102" t="s">
        <v>98</v>
      </c>
      <c r="LF5" s="627" t="s">
        <v>279</v>
      </c>
      <c r="LG5" s="167" t="s">
        <v>528</v>
      </c>
      <c r="LH5" s="204">
        <v>43588</v>
      </c>
      <c r="LI5" s="128">
        <v>19368.849999999999</v>
      </c>
      <c r="LJ5" s="97">
        <v>21</v>
      </c>
      <c r="LK5" s="693">
        <v>19454.86</v>
      </c>
      <c r="LL5" s="208">
        <f>LI5-LK5</f>
        <v>-86.010000000002037</v>
      </c>
      <c r="LN5" s="102" t="s">
        <v>98</v>
      </c>
      <c r="LO5" s="627" t="s">
        <v>279</v>
      </c>
      <c r="LP5" s="167" t="s">
        <v>529</v>
      </c>
      <c r="LQ5" s="204">
        <v>43589</v>
      </c>
      <c r="LR5" s="128">
        <v>19313.009999999998</v>
      </c>
      <c r="LS5" s="97">
        <v>21</v>
      </c>
      <c r="LT5" s="52">
        <v>19371.8</v>
      </c>
      <c r="LU5" s="208">
        <f>LR5-LT5</f>
        <v>-58.790000000000873</v>
      </c>
      <c r="LX5" s="97"/>
      <c r="LY5" s="148"/>
      <c r="LZ5" s="204"/>
      <c r="MA5" s="128"/>
      <c r="MB5" s="97"/>
      <c r="MC5" s="52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3"/>
      <c r="QC5" s="148"/>
      <c r="QD5" s="204"/>
      <c r="QE5" s="128"/>
      <c r="QF5" s="97"/>
      <c r="QG5" s="52"/>
      <c r="QH5" s="208">
        <f>QE5-QG5</f>
        <v>0</v>
      </c>
      <c r="QK5" s="313"/>
      <c r="QL5" s="148"/>
      <c r="QM5" s="203"/>
      <c r="QN5" s="128"/>
      <c r="QO5" s="97"/>
      <c r="QP5" s="52"/>
      <c r="QQ5" s="208">
        <f>QN5-QP5</f>
        <v>0</v>
      </c>
      <c r="QS5" s="193"/>
      <c r="QT5" s="313"/>
      <c r="QU5" s="148"/>
      <c r="QV5" s="203"/>
      <c r="QW5" s="128"/>
      <c r="QX5" s="97"/>
      <c r="QY5" s="52"/>
      <c r="QZ5" s="208">
        <f>QW5-QY5</f>
        <v>0</v>
      </c>
      <c r="RB5" s="193"/>
      <c r="RC5" s="463"/>
      <c r="RD5" s="148"/>
      <c r="RE5" s="203"/>
      <c r="RF5" s="128"/>
      <c r="RG5" s="97"/>
      <c r="RH5" s="52"/>
      <c r="RI5" s="208">
        <f>RF5-RH5</f>
        <v>0</v>
      </c>
      <c r="RK5" s="193"/>
      <c r="RL5" s="313"/>
      <c r="RM5" s="148"/>
      <c r="RN5" s="204"/>
      <c r="RO5" s="128"/>
      <c r="RP5" s="97"/>
      <c r="RQ5" s="52"/>
      <c r="RR5" s="208">
        <f>RO5-RQ5</f>
        <v>0</v>
      </c>
      <c r="RU5" s="313"/>
      <c r="RV5" s="148"/>
      <c r="RW5" s="203"/>
      <c r="RX5" s="128"/>
      <c r="RY5" s="97"/>
      <c r="RZ5" s="52"/>
      <c r="SA5" s="208">
        <f>RX5-RZ5</f>
        <v>0</v>
      </c>
      <c r="SD5" s="274"/>
      <c r="SE5" s="148"/>
      <c r="SF5" s="204"/>
      <c r="SG5" s="128"/>
      <c r="SH5" s="97"/>
      <c r="SI5" s="52"/>
      <c r="SJ5" s="208">
        <f>SG5-SI5</f>
        <v>0</v>
      </c>
      <c r="SM5" s="313"/>
      <c r="SN5" s="148"/>
      <c r="SO5" s="203"/>
      <c r="SP5" s="128"/>
      <c r="SQ5" s="97"/>
      <c r="SR5" s="52"/>
      <c r="SS5" s="208">
        <f>SP5-SR5</f>
        <v>0</v>
      </c>
      <c r="SV5" s="274"/>
      <c r="SW5" s="148"/>
      <c r="SX5" s="204"/>
      <c r="SY5" s="128"/>
      <c r="SZ5" s="97"/>
      <c r="TA5" s="52"/>
      <c r="TB5" s="208">
        <f>SY5-TA5</f>
        <v>0</v>
      </c>
      <c r="TD5" s="193"/>
      <c r="TE5" s="274"/>
      <c r="TF5" s="148"/>
      <c r="TG5" s="203"/>
      <c r="TH5" s="128"/>
      <c r="TI5" s="97"/>
      <c r="TJ5" s="52"/>
      <c r="TK5" s="208">
        <f>TH5-TJ5</f>
        <v>0</v>
      </c>
      <c r="TN5" s="274"/>
      <c r="TO5" s="148"/>
      <c r="TP5" s="203"/>
      <c r="TQ5" s="128"/>
      <c r="TR5" s="97"/>
      <c r="TS5" s="52"/>
      <c r="TT5" s="208">
        <f>TQ5-TS5</f>
        <v>0</v>
      </c>
      <c r="TW5" s="274"/>
      <c r="TX5" s="148"/>
      <c r="TY5" s="203"/>
      <c r="TZ5" s="128"/>
      <c r="UA5" s="97"/>
      <c r="UB5" s="52"/>
      <c r="UC5" s="208">
        <f>TZ5-UB5</f>
        <v>0</v>
      </c>
      <c r="UF5" s="274"/>
      <c r="UG5" s="148"/>
      <c r="UH5" s="203"/>
      <c r="UI5" s="128"/>
      <c r="UJ5" s="97"/>
      <c r="UK5" s="52"/>
      <c r="UL5" s="208">
        <f>UI5-UK5</f>
        <v>0</v>
      </c>
      <c r="UO5" s="274"/>
      <c r="UP5" s="148"/>
      <c r="UQ5" s="203"/>
      <c r="UR5" s="128"/>
      <c r="US5" s="97"/>
      <c r="UT5" s="52"/>
      <c r="UU5" s="208">
        <f>UR5-UT5</f>
        <v>0</v>
      </c>
      <c r="UX5" s="274"/>
      <c r="UY5" s="148"/>
      <c r="UZ5" s="203"/>
      <c r="VA5" s="128"/>
      <c r="VB5" s="97"/>
      <c r="VC5" s="52"/>
      <c r="VD5" s="208">
        <f>VA5-VC5</f>
        <v>0</v>
      </c>
      <c r="VF5" s="193"/>
      <c r="VG5" s="274"/>
      <c r="VH5" s="148"/>
      <c r="VI5" s="203"/>
      <c r="VJ5" s="128"/>
      <c r="VK5" s="97"/>
      <c r="VL5" s="52"/>
      <c r="VM5" s="208">
        <f>VJ5-VL5</f>
        <v>0</v>
      </c>
      <c r="VP5" s="274"/>
      <c r="VQ5" s="148"/>
      <c r="VR5" s="203"/>
      <c r="VS5" s="128"/>
      <c r="VT5" s="97"/>
      <c r="VU5" s="52"/>
      <c r="VV5" s="208">
        <f>VS5-VU5</f>
        <v>0</v>
      </c>
      <c r="VY5" s="274"/>
      <c r="VZ5" s="148"/>
      <c r="WA5" s="203"/>
      <c r="WB5" s="128"/>
      <c r="WC5" s="97"/>
      <c r="WD5" s="52"/>
      <c r="WE5" s="208">
        <f>WB5-WD5</f>
        <v>0</v>
      </c>
      <c r="WH5" s="274"/>
      <c r="WI5" s="148"/>
      <c r="WJ5" s="203"/>
      <c r="WK5" s="128"/>
      <c r="WL5" s="97"/>
      <c r="WM5" s="52"/>
      <c r="WN5" s="208">
        <f>WK5-WM5</f>
        <v>0</v>
      </c>
      <c r="WP5" s="192"/>
      <c r="WQ5" s="313"/>
      <c r="WR5" s="148"/>
      <c r="WS5" s="203"/>
      <c r="WT5" s="128"/>
      <c r="WU5" s="97"/>
      <c r="WV5" s="52"/>
      <c r="WW5" s="208">
        <f>WT5-WV5</f>
        <v>0</v>
      </c>
      <c r="WZ5" s="274"/>
      <c r="XA5" s="148"/>
      <c r="XB5" s="203"/>
      <c r="XC5" s="128"/>
      <c r="XD5" s="97"/>
      <c r="XE5" s="52"/>
      <c r="XF5" s="208">
        <f>XC5-XE5</f>
        <v>0</v>
      </c>
      <c r="XI5" s="274"/>
      <c r="XJ5" s="148"/>
      <c r="XK5" s="203"/>
      <c r="XL5" s="128"/>
      <c r="XM5" s="97"/>
      <c r="XN5" s="52"/>
      <c r="XO5" s="208">
        <f>XL5-XN5</f>
        <v>0</v>
      </c>
      <c r="XR5" s="274"/>
      <c r="XS5" s="148"/>
      <c r="XT5" s="203"/>
      <c r="XU5" s="128"/>
      <c r="XV5" s="97"/>
      <c r="XW5" s="52"/>
      <c r="XX5" s="208">
        <f>XU5-XW5</f>
        <v>0</v>
      </c>
      <c r="YA5" s="274"/>
      <c r="YB5" s="148"/>
      <c r="YC5" s="203"/>
      <c r="YD5" s="128"/>
      <c r="YE5" s="97"/>
      <c r="YF5" s="52"/>
      <c r="YG5" s="208">
        <f>YD5-YF5</f>
        <v>0</v>
      </c>
      <c r="YI5" s="193"/>
      <c r="YJ5" s="274"/>
      <c r="YK5" s="148"/>
      <c r="YL5" s="203"/>
      <c r="YM5" s="128"/>
      <c r="YN5" s="97"/>
      <c r="YO5" s="52"/>
      <c r="YP5" s="208">
        <f>YM5-YO5</f>
        <v>0</v>
      </c>
      <c r="YS5" s="274"/>
      <c r="YT5" s="148"/>
      <c r="YU5" s="203"/>
      <c r="YV5" s="128"/>
      <c r="YW5" s="97"/>
      <c r="YX5" s="52"/>
      <c r="YY5" s="208">
        <f>YV5-YX5</f>
        <v>0</v>
      </c>
      <c r="ZB5" s="274"/>
      <c r="ZC5" s="148"/>
      <c r="ZD5" s="203"/>
      <c r="ZE5" s="128"/>
      <c r="ZF5" s="97"/>
      <c r="ZG5" s="52"/>
      <c r="ZH5" s="208">
        <f>ZE5-ZG5</f>
        <v>0</v>
      </c>
      <c r="ZK5" s="274"/>
      <c r="ZL5" s="148"/>
      <c r="ZM5" s="203"/>
      <c r="ZN5" s="128"/>
      <c r="ZO5" s="97"/>
      <c r="ZP5" s="52"/>
      <c r="ZQ5" s="208">
        <f>ZN5-ZP5</f>
        <v>0</v>
      </c>
      <c r="ZT5" s="274"/>
      <c r="ZU5" s="148"/>
      <c r="ZV5" s="203"/>
      <c r="ZW5" s="128"/>
      <c r="ZX5" s="97"/>
      <c r="ZY5" s="52"/>
      <c r="ZZ5" s="208">
        <f>ZW5-ZY5</f>
        <v>0</v>
      </c>
      <c r="AAC5" s="274"/>
      <c r="AAD5" s="148"/>
      <c r="AAE5" s="203"/>
      <c r="AAF5" s="128"/>
      <c r="AAG5" s="97"/>
      <c r="AAH5" s="52"/>
      <c r="AAI5" s="208">
        <f>AAF5-AAH5</f>
        <v>0</v>
      </c>
      <c r="AAL5" s="274"/>
      <c r="AAM5" s="148"/>
      <c r="AAN5" s="203"/>
      <c r="AAO5" s="128"/>
      <c r="AAP5" s="97"/>
      <c r="AAQ5" s="52"/>
      <c r="AAR5" s="208">
        <f>AAO5-AAQ5</f>
        <v>0</v>
      </c>
      <c r="AAU5" s="274"/>
      <c r="AAV5" s="148"/>
      <c r="AAW5" s="203"/>
      <c r="AAX5" s="128"/>
      <c r="AAY5" s="97"/>
      <c r="AAZ5" s="52"/>
      <c r="ABA5" s="208">
        <f>AAX5-AAZ5</f>
        <v>0</v>
      </c>
      <c r="ABC5" s="193"/>
      <c r="ABD5" s="274"/>
      <c r="ABE5" s="148"/>
      <c r="ABF5" s="203"/>
      <c r="ABG5" s="128"/>
      <c r="ABH5" s="97"/>
      <c r="ABI5" s="52"/>
      <c r="ABJ5" s="208">
        <f>ABG5-ABI5</f>
        <v>0</v>
      </c>
      <c r="ABL5" s="193"/>
      <c r="ABM5" s="274"/>
      <c r="ABN5" s="148"/>
      <c r="ABO5" s="203"/>
      <c r="ABP5" s="128"/>
      <c r="ABQ5" s="97"/>
      <c r="ABR5" s="52"/>
      <c r="ABS5" s="208">
        <f>ABP5-ABR5</f>
        <v>0</v>
      </c>
      <c r="ABU5" s="193"/>
      <c r="ABV5" s="274"/>
      <c r="ABW5" s="148"/>
      <c r="ABX5" s="203"/>
      <c r="ABY5" s="128"/>
      <c r="ABZ5" s="97"/>
      <c r="ACA5" s="52"/>
      <c r="ACB5" s="208">
        <f>ABY5-ACA5</f>
        <v>0</v>
      </c>
      <c r="ACD5" s="193"/>
      <c r="ACE5" s="274"/>
      <c r="ACF5" s="148"/>
      <c r="ACG5" s="203"/>
      <c r="ACH5" s="128"/>
      <c r="ACI5" s="97"/>
      <c r="ACJ5" s="52"/>
      <c r="ACK5" s="208">
        <f>ACH5-ACJ5</f>
        <v>0</v>
      </c>
      <c r="ACN5" s="274"/>
      <c r="ACO5" s="148"/>
      <c r="ACP5" s="203"/>
      <c r="ACQ5" s="128"/>
      <c r="ACR5" s="97"/>
      <c r="ACS5" s="52"/>
      <c r="ACT5" s="208">
        <f>ACQ5-ACS5</f>
        <v>0</v>
      </c>
      <c r="ACW5" s="274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SMITHFIELD FRESH MEATS</v>
      </c>
      <c r="C6" t="str">
        <f t="shared" si="2"/>
        <v>Smithfield</v>
      </c>
      <c r="D6" s="56" t="str">
        <f t="shared" si="2"/>
        <v>PED. 36112501</v>
      </c>
      <c r="E6" s="124">
        <f t="shared" si="2"/>
        <v>43557</v>
      </c>
      <c r="F6" s="58">
        <f t="shared" si="2"/>
        <v>19564.509999999998</v>
      </c>
      <c r="G6" s="13">
        <f t="shared" si="2"/>
        <v>20</v>
      </c>
      <c r="H6" s="52">
        <f t="shared" si="2"/>
        <v>19363.259999999998</v>
      </c>
      <c r="I6" s="6">
        <f t="shared" si="2"/>
        <v>201.25</v>
      </c>
      <c r="L6" s="17"/>
      <c r="Q6" s="97"/>
      <c r="S6" s="531"/>
      <c r="T6" s="531"/>
      <c r="U6" s="567"/>
      <c r="V6" s="531"/>
      <c r="W6" s="531"/>
      <c r="X6" s="531"/>
      <c r="Y6" s="531"/>
      <c r="Z6" s="558"/>
      <c r="AA6" s="531"/>
      <c r="AB6" s="531"/>
      <c r="AC6" s="531"/>
      <c r="AD6" s="568"/>
      <c r="AE6" s="531"/>
      <c r="AF6" s="531"/>
      <c r="AG6" s="531"/>
      <c r="AH6" s="531"/>
      <c r="AI6" s="558"/>
      <c r="AJ6" s="531"/>
      <c r="AK6" s="531"/>
      <c r="AL6" s="531"/>
      <c r="AM6" s="567"/>
      <c r="AN6" s="531"/>
      <c r="AO6" s="531"/>
      <c r="AP6" s="531"/>
      <c r="AQ6" s="531"/>
      <c r="AR6" s="558"/>
      <c r="AS6" s="531"/>
      <c r="AT6" s="531"/>
      <c r="AU6" s="569"/>
      <c r="AV6" s="567"/>
      <c r="AW6" s="531"/>
      <c r="AX6" s="531"/>
      <c r="AY6" s="531"/>
      <c r="AZ6" s="531"/>
      <c r="BA6" s="558"/>
      <c r="BB6" s="531"/>
      <c r="BC6" s="531"/>
      <c r="BD6" s="531"/>
      <c r="BE6" s="567"/>
      <c r="BF6" s="531"/>
      <c r="BG6" s="531"/>
      <c r="BH6" s="531"/>
      <c r="BI6" s="531"/>
      <c r="BJ6" s="558"/>
      <c r="BK6" s="531"/>
      <c r="BL6" s="531"/>
      <c r="BM6" s="570"/>
      <c r="BN6" s="567"/>
      <c r="BO6" s="531"/>
      <c r="BP6" s="531"/>
      <c r="BQ6" s="531"/>
      <c r="BR6" s="531"/>
      <c r="BS6" s="558"/>
      <c r="BT6" s="531"/>
      <c r="BU6" s="531"/>
      <c r="BV6" s="531"/>
      <c r="BW6" s="567"/>
      <c r="BX6" s="531"/>
      <c r="BY6" s="531"/>
      <c r="BZ6" s="531"/>
      <c r="CA6" s="531"/>
      <c r="CB6" s="558"/>
      <c r="CC6" s="531"/>
      <c r="CD6" s="531"/>
      <c r="CE6" s="531"/>
      <c r="CF6" s="567"/>
      <c r="CG6" s="531"/>
      <c r="CH6" s="531"/>
      <c r="CI6" s="531"/>
      <c r="CJ6" s="531"/>
      <c r="CK6" s="558"/>
      <c r="CL6" s="531"/>
      <c r="CM6" s="531"/>
      <c r="CN6" s="531"/>
      <c r="CO6" s="567"/>
      <c r="CP6" s="531"/>
      <c r="CQ6" s="531"/>
      <c r="CR6" s="531"/>
      <c r="CS6" s="531"/>
      <c r="CT6" s="558"/>
      <c r="CU6" s="531"/>
      <c r="CV6" s="531"/>
      <c r="CW6" s="571"/>
      <c r="CX6" s="567"/>
      <c r="CY6" s="531"/>
      <c r="CZ6" s="531"/>
      <c r="DA6" s="531"/>
      <c r="DB6" s="531"/>
      <c r="DC6" s="558"/>
      <c r="DD6" s="531"/>
      <c r="DE6" s="531"/>
      <c r="DF6" s="571"/>
      <c r="DG6" s="567"/>
      <c r="DH6" s="531"/>
      <c r="DI6" s="531"/>
      <c r="DJ6" s="531"/>
      <c r="DK6" s="531"/>
      <c r="DL6" s="558"/>
      <c r="DM6" s="531"/>
      <c r="DN6" s="531"/>
      <c r="DO6" s="531"/>
      <c r="DP6" s="567"/>
      <c r="DQ6" s="531"/>
      <c r="DR6" s="531"/>
      <c r="DS6" s="531"/>
      <c r="DT6" s="531"/>
      <c r="DU6" s="558"/>
      <c r="DV6" s="531"/>
      <c r="DW6" s="531"/>
      <c r="DX6" s="531"/>
      <c r="DY6" s="531"/>
      <c r="DZ6" s="531"/>
      <c r="EA6" s="531"/>
      <c r="EB6" s="531"/>
      <c r="EC6" s="531"/>
      <c r="ED6" s="558"/>
      <c r="EE6" s="626"/>
      <c r="EF6" s="531"/>
      <c r="EG6" s="570"/>
      <c r="EH6" s="567"/>
      <c r="EI6" s="531"/>
      <c r="EJ6" s="531"/>
      <c r="EK6" s="531"/>
      <c r="EL6" s="531"/>
      <c r="EM6" s="558"/>
      <c r="EN6" s="531"/>
      <c r="EO6" s="531"/>
      <c r="EP6" s="531"/>
      <c r="EQ6" s="567"/>
      <c r="ER6" s="531"/>
      <c r="ES6" s="531"/>
      <c r="ET6" s="531"/>
      <c r="EU6" s="531"/>
      <c r="EV6" s="558"/>
      <c r="EW6" s="531"/>
      <c r="EX6" s="531"/>
      <c r="EY6" s="531"/>
      <c r="EZ6" s="572"/>
      <c r="FA6" s="531"/>
      <c r="FB6" s="531"/>
      <c r="FC6" s="531"/>
      <c r="FD6" s="531"/>
      <c r="FE6" s="558"/>
      <c r="FF6" s="531"/>
      <c r="FG6" s="531"/>
      <c r="FH6" s="531"/>
      <c r="FI6" s="567"/>
      <c r="FJ6" s="531"/>
      <c r="FK6" s="531"/>
      <c r="FL6" s="531"/>
      <c r="FM6" s="531"/>
      <c r="FN6" s="558"/>
      <c r="FO6" s="531"/>
      <c r="FP6" s="531"/>
      <c r="FQ6" s="531"/>
      <c r="FR6" s="567"/>
      <c r="FS6" s="531"/>
      <c r="FT6" s="531"/>
      <c r="FU6" s="531"/>
      <c r="FV6" s="531"/>
      <c r="FW6" s="558"/>
      <c r="FX6" s="531"/>
      <c r="FY6" s="531"/>
      <c r="FZ6" s="557"/>
      <c r="GA6" s="568"/>
      <c r="GB6" s="531"/>
      <c r="GC6" s="531"/>
      <c r="GD6" s="531"/>
      <c r="GE6" s="531"/>
      <c r="GF6" s="558"/>
      <c r="GG6" s="531"/>
      <c r="GH6" s="531"/>
      <c r="GI6" s="557"/>
      <c r="GJ6" s="572"/>
      <c r="GK6" s="531"/>
      <c r="GL6" s="531"/>
      <c r="GM6" s="531"/>
      <c r="GN6" s="531"/>
      <c r="GO6" s="558"/>
      <c r="GP6" s="531"/>
      <c r="GQ6" s="531"/>
      <c r="GR6" s="570"/>
      <c r="GS6" s="567"/>
      <c r="GT6" s="531"/>
      <c r="GU6" s="531"/>
      <c r="GV6" s="531"/>
      <c r="GW6" s="531"/>
      <c r="GX6" s="558"/>
      <c r="GY6" s="531"/>
      <c r="GZ6" s="531"/>
      <c r="HA6" s="557"/>
      <c r="HB6" s="531"/>
      <c r="HC6" s="531"/>
      <c r="HD6" s="531"/>
      <c r="HE6" s="531"/>
      <c r="HF6" s="531"/>
      <c r="HG6" s="558"/>
      <c r="HH6" s="531"/>
      <c r="HI6" s="531"/>
      <c r="HJ6" s="565"/>
      <c r="HK6" s="567"/>
      <c r="HL6" s="531"/>
      <c r="HM6" s="531"/>
      <c r="HN6" s="531"/>
      <c r="HO6" s="531"/>
      <c r="HP6" s="558"/>
      <c r="HQ6" s="531"/>
      <c r="HR6" s="531"/>
      <c r="HS6" s="531"/>
      <c r="HT6" s="531"/>
      <c r="HU6" s="531"/>
      <c r="HV6" s="531"/>
      <c r="HW6" s="531"/>
      <c r="HX6" s="531"/>
      <c r="HY6" s="558"/>
      <c r="HZ6" s="531"/>
      <c r="IA6" s="531"/>
      <c r="IB6" s="570"/>
      <c r="IC6" s="567"/>
      <c r="ID6" s="531"/>
      <c r="IE6" s="531"/>
      <c r="IF6" s="531"/>
      <c r="IG6" s="531"/>
      <c r="IH6" s="558"/>
      <c r="II6" s="531"/>
      <c r="IJ6" s="531"/>
      <c r="IK6" s="531"/>
      <c r="IL6" s="567"/>
      <c r="IM6" s="531"/>
      <c r="IN6" s="531"/>
      <c r="IO6" s="531"/>
      <c r="IP6" s="531"/>
      <c r="IQ6" s="686"/>
      <c r="IR6" s="531"/>
      <c r="IS6" s="531"/>
      <c r="IT6" s="531"/>
      <c r="IU6" s="573"/>
      <c r="IV6" s="531"/>
      <c r="IW6" s="531"/>
      <c r="IX6" s="531"/>
      <c r="IY6" s="531"/>
      <c r="IZ6" s="558"/>
      <c r="JA6" s="531"/>
      <c r="JB6" s="531"/>
      <c r="JC6" s="557"/>
      <c r="JD6" s="572"/>
      <c r="JE6" s="531"/>
      <c r="JF6" s="531"/>
      <c r="JG6" s="531"/>
      <c r="JH6" s="531"/>
      <c r="JI6" s="558"/>
      <c r="JJ6" s="531"/>
      <c r="JK6" s="531"/>
      <c r="JL6" s="566"/>
      <c r="JM6" s="573"/>
      <c r="JN6" s="531"/>
      <c r="JO6" s="531"/>
      <c r="JP6" s="531"/>
      <c r="JQ6" s="531"/>
      <c r="JR6" s="558"/>
      <c r="JS6" s="531"/>
      <c r="JT6" s="531"/>
      <c r="JU6" s="531"/>
      <c r="JV6" s="567"/>
      <c r="JW6" s="531"/>
      <c r="JX6" s="531"/>
      <c r="JY6" s="531"/>
      <c r="JZ6" s="531"/>
      <c r="KA6" s="558"/>
      <c r="KE6" s="17"/>
      <c r="KJ6" s="97"/>
      <c r="KN6" s="17"/>
      <c r="KS6" s="97"/>
      <c r="KW6" s="17"/>
      <c r="LB6" s="97"/>
      <c r="LF6" s="325"/>
      <c r="LK6" s="97"/>
      <c r="LO6" s="17"/>
      <c r="LT6" s="97"/>
      <c r="LX6" s="17"/>
      <c r="MC6" s="97"/>
      <c r="MF6" s="342"/>
      <c r="MG6" s="17"/>
      <c r="ML6" s="97"/>
      <c r="MP6" s="17"/>
      <c r="MU6" s="97"/>
      <c r="MX6" s="342"/>
      <c r="MY6" s="17"/>
      <c r="ND6" s="97"/>
      <c r="NG6" s="342"/>
      <c r="NH6" s="17"/>
      <c r="NM6" s="97"/>
      <c r="NV6" s="97"/>
      <c r="OH6" s="342"/>
      <c r="ON6" s="97"/>
      <c r="OR6" s="326"/>
      <c r="OW6" s="97"/>
      <c r="PA6" s="326"/>
      <c r="PF6" s="97"/>
      <c r="PI6" s="326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7" t="str">
        <f>AL5</f>
        <v>TYSON FRESH MEATS</v>
      </c>
      <c r="C7" t="str">
        <f t="shared" ref="C7:I7" si="3">AM5</f>
        <v xml:space="preserve">I B P </v>
      </c>
      <c r="D7" s="56" t="str">
        <f t="shared" si="3"/>
        <v>PED. 36111398</v>
      </c>
      <c r="E7" s="124">
        <f t="shared" si="3"/>
        <v>43557</v>
      </c>
      <c r="F7" s="58">
        <f t="shared" si="3"/>
        <v>18843.330000000002</v>
      </c>
      <c r="G7" s="13">
        <f t="shared" si="3"/>
        <v>20</v>
      </c>
      <c r="H7" s="52">
        <f t="shared" si="3"/>
        <v>18916.52</v>
      </c>
      <c r="I7" s="6">
        <f t="shared" si="3"/>
        <v>-73.18999999999869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25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93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93" t="s">
        <v>7</v>
      </c>
      <c r="HC7" s="28" t="s">
        <v>8</v>
      </c>
      <c r="HD7" s="29" t="s">
        <v>17</v>
      </c>
      <c r="HE7" s="24" t="s">
        <v>2</v>
      </c>
      <c r="HF7" s="27" t="s">
        <v>88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93" t="s">
        <v>7</v>
      </c>
      <c r="HU7" s="28" t="s">
        <v>8</v>
      </c>
      <c r="HV7" s="29" t="s">
        <v>17</v>
      </c>
      <c r="HW7" s="24" t="s">
        <v>2</v>
      </c>
      <c r="HX7" s="27" t="s">
        <v>85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 xml:space="preserve">SEABOARD FOODS </v>
      </c>
      <c r="C8" t="str">
        <f t="shared" ref="C8:I8" si="4">AV5</f>
        <v>Seaboard</v>
      </c>
      <c r="D8" s="56" t="str">
        <f t="shared" si="4"/>
        <v>PED. 36221613</v>
      </c>
      <c r="E8" s="124">
        <f t="shared" si="4"/>
        <v>43559</v>
      </c>
      <c r="F8" s="58">
        <f t="shared" si="4"/>
        <v>19030.93</v>
      </c>
      <c r="G8" s="13">
        <f t="shared" si="4"/>
        <v>21</v>
      </c>
      <c r="H8" s="52">
        <f t="shared" si="4"/>
        <v>19062.2</v>
      </c>
      <c r="I8" s="6">
        <f t="shared" si="4"/>
        <v>-31.270000000000437</v>
      </c>
      <c r="K8" s="71"/>
      <c r="L8" s="2"/>
      <c r="M8" s="16">
        <v>1</v>
      </c>
      <c r="N8" s="15">
        <v>923.06</v>
      </c>
      <c r="O8" s="315">
        <v>43558</v>
      </c>
      <c r="P8" s="629">
        <v>923.06</v>
      </c>
      <c r="Q8" s="630" t="s">
        <v>372</v>
      </c>
      <c r="R8" s="316">
        <v>44</v>
      </c>
      <c r="T8" s="71"/>
      <c r="U8" s="2"/>
      <c r="V8" s="16">
        <v>1</v>
      </c>
      <c r="W8" s="151">
        <v>906.5</v>
      </c>
      <c r="X8" s="14">
        <v>43557</v>
      </c>
      <c r="Y8" s="151">
        <v>906.5</v>
      </c>
      <c r="Z8" s="32" t="s">
        <v>367</v>
      </c>
      <c r="AA8" s="18">
        <v>44</v>
      </c>
      <c r="AC8" s="71"/>
      <c r="AD8" s="2"/>
      <c r="AE8" s="16">
        <v>1</v>
      </c>
      <c r="AF8" s="15">
        <v>965.53</v>
      </c>
      <c r="AG8" s="14">
        <v>43558</v>
      </c>
      <c r="AH8" s="15">
        <v>965.53</v>
      </c>
      <c r="AI8" s="32" t="s">
        <v>370</v>
      </c>
      <c r="AJ8" s="18">
        <v>44</v>
      </c>
      <c r="AL8" s="71"/>
      <c r="AM8" s="2"/>
      <c r="AN8" s="16">
        <v>1</v>
      </c>
      <c r="AO8" s="279">
        <v>955.71</v>
      </c>
      <c r="AP8" s="119">
        <v>43559</v>
      </c>
      <c r="AQ8" s="279">
        <v>955.71</v>
      </c>
      <c r="AR8" s="137" t="s">
        <v>381</v>
      </c>
      <c r="AS8" s="91">
        <v>43</v>
      </c>
      <c r="AU8" s="71"/>
      <c r="AV8" s="2"/>
      <c r="AW8" s="16">
        <v>1</v>
      </c>
      <c r="AX8" s="15">
        <v>933</v>
      </c>
      <c r="AY8" s="85">
        <v>43560</v>
      </c>
      <c r="AZ8" s="15">
        <v>933</v>
      </c>
      <c r="BA8" s="101" t="s">
        <v>384</v>
      </c>
      <c r="BB8" s="317">
        <v>43</v>
      </c>
      <c r="BD8" s="71"/>
      <c r="BE8" s="2"/>
      <c r="BF8" s="16">
        <v>1</v>
      </c>
      <c r="BG8" s="15">
        <v>932.88</v>
      </c>
      <c r="BH8" s="308">
        <v>43561</v>
      </c>
      <c r="BI8" s="7">
        <v>932.88</v>
      </c>
      <c r="BJ8" s="310" t="s">
        <v>392</v>
      </c>
      <c r="BK8" s="311">
        <v>43</v>
      </c>
      <c r="BM8" s="71"/>
      <c r="BN8" s="2"/>
      <c r="BO8" s="16">
        <v>1</v>
      </c>
      <c r="BP8" s="15">
        <v>951.63</v>
      </c>
      <c r="BQ8" s="308">
        <v>43560</v>
      </c>
      <c r="BR8" s="15">
        <v>951.63</v>
      </c>
      <c r="BS8" s="374" t="s">
        <v>386</v>
      </c>
      <c r="BT8" s="311">
        <v>43</v>
      </c>
      <c r="BV8" s="71"/>
      <c r="BW8" s="2"/>
      <c r="BX8" s="16">
        <v>1</v>
      </c>
      <c r="BY8" s="15">
        <v>878.6</v>
      </c>
      <c r="BZ8" s="308">
        <v>43563</v>
      </c>
      <c r="CA8" s="15">
        <v>878.6</v>
      </c>
      <c r="CB8" s="374" t="s">
        <v>393</v>
      </c>
      <c r="CC8" s="311">
        <v>40</v>
      </c>
      <c r="CE8" s="71"/>
      <c r="CF8" s="2"/>
      <c r="CG8" s="16">
        <v>1</v>
      </c>
      <c r="CH8" s="15">
        <v>896</v>
      </c>
      <c r="CI8" s="14">
        <v>43564</v>
      </c>
      <c r="CJ8" s="15">
        <v>896</v>
      </c>
      <c r="CK8" s="32" t="s">
        <v>398</v>
      </c>
      <c r="CL8" s="18">
        <v>40</v>
      </c>
      <c r="CN8" s="71"/>
      <c r="CO8" s="2"/>
      <c r="CP8" s="16">
        <v>1</v>
      </c>
      <c r="CQ8" s="15">
        <v>924.72</v>
      </c>
      <c r="CR8" s="14">
        <v>43566</v>
      </c>
      <c r="CS8" s="15">
        <v>924.72</v>
      </c>
      <c r="CT8" s="32" t="s">
        <v>406</v>
      </c>
      <c r="CU8" s="18">
        <v>40</v>
      </c>
      <c r="CW8" s="71"/>
      <c r="CX8" s="2"/>
      <c r="CY8" s="16">
        <v>1</v>
      </c>
      <c r="CZ8" s="15">
        <v>973.86</v>
      </c>
      <c r="DA8" s="308">
        <v>43565</v>
      </c>
      <c r="DB8" s="15">
        <v>973.86</v>
      </c>
      <c r="DC8" s="310" t="s">
        <v>403</v>
      </c>
      <c r="DD8" s="311">
        <v>40</v>
      </c>
      <c r="DF8" s="71"/>
      <c r="DG8" s="2"/>
      <c r="DH8" s="16">
        <v>1</v>
      </c>
      <c r="DI8" s="15">
        <v>939.4</v>
      </c>
      <c r="DJ8" s="308">
        <v>43567</v>
      </c>
      <c r="DK8" s="664">
        <v>939.4</v>
      </c>
      <c r="DL8" s="310" t="s">
        <v>412</v>
      </c>
      <c r="DM8" s="311">
        <v>39</v>
      </c>
      <c r="DO8" s="71"/>
      <c r="DP8" s="2"/>
      <c r="DQ8" s="16">
        <v>1</v>
      </c>
      <c r="DR8" s="15">
        <v>944.83</v>
      </c>
      <c r="DS8" s="47">
        <v>43568</v>
      </c>
      <c r="DT8" s="7">
        <v>944.83</v>
      </c>
      <c r="DU8" s="60" t="s">
        <v>426</v>
      </c>
      <c r="DV8" s="18">
        <v>40</v>
      </c>
      <c r="DX8" s="71"/>
      <c r="DY8" s="2"/>
      <c r="DZ8" s="16">
        <v>1</v>
      </c>
      <c r="EA8" s="15">
        <v>947.39</v>
      </c>
      <c r="EB8" s="47">
        <v>43568</v>
      </c>
      <c r="EC8" s="7">
        <v>947.39</v>
      </c>
      <c r="ED8" s="60" t="s">
        <v>418</v>
      </c>
      <c r="EE8" s="18">
        <v>39</v>
      </c>
      <c r="EG8" s="71"/>
      <c r="EH8" s="2"/>
      <c r="EI8" s="16">
        <v>1</v>
      </c>
      <c r="EJ8" s="15">
        <v>873.2</v>
      </c>
      <c r="EK8" s="14">
        <v>43568</v>
      </c>
      <c r="EL8" s="15">
        <v>873.2</v>
      </c>
      <c r="EM8" s="57" t="s">
        <v>422</v>
      </c>
      <c r="EN8" s="18">
        <v>40</v>
      </c>
      <c r="EP8" s="71"/>
      <c r="EQ8" s="2"/>
      <c r="ER8" s="16">
        <v>1</v>
      </c>
      <c r="ES8" s="15">
        <v>935.76</v>
      </c>
      <c r="ET8" s="14">
        <v>43571</v>
      </c>
      <c r="EU8" s="15">
        <v>935.76</v>
      </c>
      <c r="EV8" s="35" t="s">
        <v>429</v>
      </c>
      <c r="EW8" s="18">
        <v>40</v>
      </c>
      <c r="EY8" s="71"/>
      <c r="EZ8" s="2"/>
      <c r="FA8" s="16">
        <v>1</v>
      </c>
      <c r="FB8" s="134">
        <v>934.24</v>
      </c>
      <c r="FC8" s="119">
        <v>43571</v>
      </c>
      <c r="FD8" s="134">
        <v>934.24</v>
      </c>
      <c r="FE8" s="90" t="s">
        <v>432</v>
      </c>
      <c r="FF8" s="91">
        <v>40</v>
      </c>
      <c r="FH8" s="71"/>
      <c r="FI8" s="2"/>
      <c r="FJ8" s="16">
        <v>1</v>
      </c>
      <c r="FK8" s="15">
        <v>941.65</v>
      </c>
      <c r="FL8" s="47">
        <v>43573</v>
      </c>
      <c r="FM8" s="15">
        <v>941.65</v>
      </c>
      <c r="FN8" s="60" t="s">
        <v>452</v>
      </c>
      <c r="FO8" s="18">
        <v>40</v>
      </c>
      <c r="FQ8" s="71"/>
      <c r="FR8" s="2"/>
      <c r="FS8" s="16">
        <v>1</v>
      </c>
      <c r="FT8" s="15">
        <v>930.77</v>
      </c>
      <c r="FU8" s="119">
        <v>43572</v>
      </c>
      <c r="FV8" s="134">
        <v>930.77</v>
      </c>
      <c r="FW8" s="137" t="s">
        <v>440</v>
      </c>
      <c r="FX8" s="91">
        <v>40</v>
      </c>
      <c r="FZ8" s="71"/>
      <c r="GA8" s="2"/>
      <c r="GB8" s="16">
        <v>1</v>
      </c>
      <c r="GC8" s="15">
        <v>913.38</v>
      </c>
      <c r="GD8" s="14">
        <v>43572</v>
      </c>
      <c r="GE8" s="15">
        <v>913.38</v>
      </c>
      <c r="GF8" s="32" t="s">
        <v>443</v>
      </c>
      <c r="GG8" s="18">
        <v>40</v>
      </c>
      <c r="GI8" s="71"/>
      <c r="GJ8" s="2"/>
      <c r="GK8" s="16">
        <v>1</v>
      </c>
      <c r="GL8" s="15">
        <v>871.3</v>
      </c>
      <c r="GM8" s="14">
        <v>43573</v>
      </c>
      <c r="GN8" s="15">
        <v>871.3</v>
      </c>
      <c r="GO8" s="32" t="s">
        <v>450</v>
      </c>
      <c r="GP8" s="18">
        <v>40</v>
      </c>
      <c r="GR8" s="71"/>
      <c r="GS8" s="2"/>
      <c r="GT8" s="16">
        <v>1</v>
      </c>
      <c r="GU8" s="15">
        <v>922.6</v>
      </c>
      <c r="GV8" s="14">
        <v>43575</v>
      </c>
      <c r="GW8" s="15">
        <v>922.6</v>
      </c>
      <c r="GX8" s="239" t="s">
        <v>456</v>
      </c>
      <c r="GY8" s="18">
        <v>40</v>
      </c>
      <c r="HA8" s="71"/>
      <c r="HB8" s="2"/>
      <c r="HC8" s="16">
        <v>1</v>
      </c>
      <c r="HD8" s="15">
        <v>994.56</v>
      </c>
      <c r="HE8" s="47">
        <v>43578</v>
      </c>
      <c r="HF8" s="15">
        <v>994.56</v>
      </c>
      <c r="HG8" s="447" t="s">
        <v>462</v>
      </c>
      <c r="HH8" s="18">
        <v>42</v>
      </c>
      <c r="HJ8" s="71"/>
      <c r="HK8" s="2"/>
      <c r="HL8" s="16">
        <v>1</v>
      </c>
      <c r="HM8" s="15">
        <v>862</v>
      </c>
      <c r="HN8" s="14">
        <v>43578</v>
      </c>
      <c r="HO8" s="15">
        <v>862</v>
      </c>
      <c r="HP8" s="419" t="s">
        <v>441</v>
      </c>
      <c r="HQ8" s="18">
        <v>42</v>
      </c>
      <c r="HR8" s="15"/>
      <c r="HS8" s="71"/>
      <c r="HT8" s="2"/>
      <c r="HU8" s="16">
        <v>1</v>
      </c>
      <c r="HV8" s="15">
        <v>951.02</v>
      </c>
      <c r="HW8" s="47">
        <v>43579</v>
      </c>
      <c r="HX8" s="15">
        <v>951.02</v>
      </c>
      <c r="HY8" s="60" t="s">
        <v>467</v>
      </c>
      <c r="HZ8" s="18">
        <v>42</v>
      </c>
      <c r="IA8" s="15"/>
      <c r="IB8" s="71"/>
      <c r="IC8" s="2"/>
      <c r="ID8" s="16">
        <v>1</v>
      </c>
      <c r="IE8" s="15">
        <v>946.19</v>
      </c>
      <c r="IF8" s="14">
        <v>43579</v>
      </c>
      <c r="IG8" s="15">
        <v>946.19</v>
      </c>
      <c r="IH8" s="57" t="s">
        <v>498</v>
      </c>
      <c r="II8" s="18">
        <v>42</v>
      </c>
      <c r="IK8" s="71"/>
      <c r="IL8" s="2"/>
      <c r="IM8" s="16">
        <v>1</v>
      </c>
      <c r="IN8" s="318">
        <v>899.9</v>
      </c>
      <c r="IO8" s="430">
        <v>43580</v>
      </c>
      <c r="IP8" s="318">
        <v>899.1</v>
      </c>
      <c r="IQ8" s="60" t="s">
        <v>503</v>
      </c>
      <c r="IR8" s="18">
        <v>42</v>
      </c>
      <c r="IT8" s="71"/>
      <c r="IU8" s="2"/>
      <c r="IV8" s="16">
        <v>1</v>
      </c>
      <c r="IW8" s="15">
        <v>948.46</v>
      </c>
      <c r="IX8" s="14">
        <v>43581</v>
      </c>
      <c r="IY8" s="15">
        <v>948.46</v>
      </c>
      <c r="IZ8" s="32" t="s">
        <v>507</v>
      </c>
      <c r="JA8" s="18">
        <v>44</v>
      </c>
      <c r="JC8" s="71"/>
      <c r="JD8" s="2"/>
      <c r="JE8" s="16">
        <v>1</v>
      </c>
      <c r="JF8" s="15">
        <v>880.4</v>
      </c>
      <c r="JG8" s="14">
        <v>43582</v>
      </c>
      <c r="JH8" s="15">
        <v>880.4</v>
      </c>
      <c r="JI8" s="32" t="s">
        <v>512</v>
      </c>
      <c r="JJ8" s="18">
        <v>44</v>
      </c>
      <c r="JL8" s="71"/>
      <c r="JM8" s="2"/>
      <c r="JN8" s="16">
        <v>1</v>
      </c>
      <c r="JO8" s="15">
        <v>901.5</v>
      </c>
      <c r="JP8" s="14">
        <v>43585</v>
      </c>
      <c r="JQ8" s="15">
        <v>901.5</v>
      </c>
      <c r="JR8" s="32" t="s">
        <v>519</v>
      </c>
      <c r="JS8" s="18">
        <v>46</v>
      </c>
      <c r="JU8" s="71"/>
      <c r="JV8" s="2"/>
      <c r="JW8" s="16">
        <v>1</v>
      </c>
      <c r="JX8" s="15">
        <v>987.76</v>
      </c>
      <c r="JY8" s="14">
        <v>43585</v>
      </c>
      <c r="JZ8" s="15">
        <v>987.76</v>
      </c>
      <c r="KA8" s="32" t="s">
        <v>522</v>
      </c>
      <c r="KB8" s="18">
        <v>45</v>
      </c>
      <c r="KD8" s="71"/>
      <c r="KE8" s="2"/>
      <c r="KF8" s="16">
        <v>1</v>
      </c>
      <c r="KG8" s="15">
        <v>969.32</v>
      </c>
      <c r="KH8" s="14">
        <v>43586</v>
      </c>
      <c r="KI8" s="15">
        <v>969.32</v>
      </c>
      <c r="KJ8" s="32" t="s">
        <v>538</v>
      </c>
      <c r="KK8" s="18">
        <v>45</v>
      </c>
      <c r="KM8" s="71"/>
      <c r="KN8" s="2"/>
      <c r="KO8" s="16">
        <v>1</v>
      </c>
      <c r="KP8" s="151">
        <v>921.09</v>
      </c>
      <c r="KQ8" s="85">
        <v>43586</v>
      </c>
      <c r="KR8" s="279">
        <v>921.09</v>
      </c>
      <c r="KS8" s="101" t="s">
        <v>540</v>
      </c>
      <c r="KT8" s="83">
        <v>45</v>
      </c>
      <c r="KV8" s="71"/>
      <c r="KW8" s="2"/>
      <c r="KX8" s="16">
        <v>1</v>
      </c>
      <c r="KY8" s="151">
        <v>923.51</v>
      </c>
      <c r="KZ8" s="14">
        <v>43588</v>
      </c>
      <c r="LA8" s="151">
        <v>923.51</v>
      </c>
      <c r="LB8" s="32" t="s">
        <v>546</v>
      </c>
      <c r="LC8" s="18">
        <v>46</v>
      </c>
      <c r="LE8" s="71"/>
      <c r="LF8" s="2"/>
      <c r="LG8" s="16">
        <v>1</v>
      </c>
      <c r="LH8" s="15">
        <v>914</v>
      </c>
      <c r="LI8" s="14">
        <v>43588</v>
      </c>
      <c r="LJ8" s="15">
        <v>914</v>
      </c>
      <c r="LK8" s="32" t="s">
        <v>544</v>
      </c>
      <c r="LL8" s="18">
        <v>46</v>
      </c>
      <c r="LN8" s="71"/>
      <c r="LO8" s="2"/>
      <c r="LP8" s="16">
        <v>1</v>
      </c>
      <c r="LQ8" s="279">
        <v>920.8</v>
      </c>
      <c r="LR8" s="119">
        <v>43591</v>
      </c>
      <c r="LS8" s="279">
        <v>920.8</v>
      </c>
      <c r="LT8" s="137" t="s">
        <v>561</v>
      </c>
      <c r="LU8" s="91">
        <v>45</v>
      </c>
      <c r="LW8" s="71"/>
      <c r="LX8" s="2"/>
      <c r="LY8" s="16">
        <v>1</v>
      </c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7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8"/>
      <c r="RP8" s="309"/>
      <c r="RQ8" s="310"/>
      <c r="RR8" s="311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SMITHFIELD FARMLAND</v>
      </c>
      <c r="C9" t="str">
        <f t="shared" ref="C9:I9" si="5">BE5</f>
        <v>Smithfield</v>
      </c>
      <c r="D9" s="56" t="str">
        <f t="shared" si="5"/>
        <v>PED. 36268909</v>
      </c>
      <c r="E9" s="124">
        <f t="shared" si="5"/>
        <v>43560</v>
      </c>
      <c r="F9" s="58">
        <f t="shared" si="5"/>
        <v>18875.439999999999</v>
      </c>
      <c r="G9" s="13">
        <f t="shared" si="5"/>
        <v>20</v>
      </c>
      <c r="H9" s="52">
        <f t="shared" si="5"/>
        <v>18733.79</v>
      </c>
      <c r="I9" s="6">
        <f t="shared" si="5"/>
        <v>141.64999999999782</v>
      </c>
      <c r="K9" s="102"/>
      <c r="L9" s="136"/>
      <c r="M9" s="16">
        <v>2</v>
      </c>
      <c r="N9" s="15">
        <v>919.43</v>
      </c>
      <c r="O9" s="315">
        <v>43556</v>
      </c>
      <c r="P9" s="629">
        <v>919.43</v>
      </c>
      <c r="Q9" s="630" t="s">
        <v>365</v>
      </c>
      <c r="R9" s="316">
        <v>44</v>
      </c>
      <c r="T9" s="102"/>
      <c r="U9" s="136"/>
      <c r="V9" s="16">
        <v>2</v>
      </c>
      <c r="W9" s="152">
        <v>897</v>
      </c>
      <c r="X9" s="14">
        <v>43557</v>
      </c>
      <c r="Y9" s="152">
        <v>897</v>
      </c>
      <c r="Z9" s="32" t="s">
        <v>367</v>
      </c>
      <c r="AA9" s="18">
        <v>44</v>
      </c>
      <c r="AC9" s="102"/>
      <c r="AD9" s="136"/>
      <c r="AE9" s="16">
        <v>2</v>
      </c>
      <c r="AF9" s="15">
        <v>951.02</v>
      </c>
      <c r="AG9" s="14">
        <v>43558</v>
      </c>
      <c r="AH9" s="15">
        <v>951.02</v>
      </c>
      <c r="AI9" s="32" t="s">
        <v>370</v>
      </c>
      <c r="AJ9" s="18">
        <v>44</v>
      </c>
      <c r="AL9" s="102"/>
      <c r="AM9" s="136"/>
      <c r="AN9" s="16">
        <v>2</v>
      </c>
      <c r="AO9" s="152">
        <v>952.09</v>
      </c>
      <c r="AP9" s="119">
        <v>43559</v>
      </c>
      <c r="AQ9" s="476">
        <v>952.09</v>
      </c>
      <c r="AR9" s="137" t="s">
        <v>381</v>
      </c>
      <c r="AS9" s="91">
        <v>43</v>
      </c>
      <c r="AU9" s="102"/>
      <c r="AV9" s="136"/>
      <c r="AW9" s="16">
        <v>2</v>
      </c>
      <c r="AX9" s="15">
        <v>875</v>
      </c>
      <c r="AY9" s="85">
        <v>43560</v>
      </c>
      <c r="AZ9" s="15">
        <v>875</v>
      </c>
      <c r="BA9" s="101" t="s">
        <v>384</v>
      </c>
      <c r="BB9" s="317">
        <v>43</v>
      </c>
      <c r="BD9" s="102"/>
      <c r="BE9" s="136"/>
      <c r="BF9" s="16">
        <v>2</v>
      </c>
      <c r="BG9" s="15">
        <v>909.3</v>
      </c>
      <c r="BH9" s="308">
        <v>43561</v>
      </c>
      <c r="BI9" s="7">
        <v>909.3</v>
      </c>
      <c r="BJ9" s="310" t="s">
        <v>391</v>
      </c>
      <c r="BK9" s="311">
        <v>43</v>
      </c>
      <c r="BM9" s="102"/>
      <c r="BN9" s="136"/>
      <c r="BO9" s="16">
        <v>2</v>
      </c>
      <c r="BP9" s="15">
        <v>925.78</v>
      </c>
      <c r="BQ9" s="308">
        <v>43560</v>
      </c>
      <c r="BR9" s="15">
        <v>925.78</v>
      </c>
      <c r="BS9" s="310" t="s">
        <v>386</v>
      </c>
      <c r="BT9" s="311">
        <v>43</v>
      </c>
      <c r="BV9" s="102"/>
      <c r="BW9" s="136"/>
      <c r="BX9" s="16">
        <v>2</v>
      </c>
      <c r="BY9" s="15">
        <v>894.9</v>
      </c>
      <c r="BZ9" s="308">
        <v>43563</v>
      </c>
      <c r="CA9" s="15">
        <v>894.9</v>
      </c>
      <c r="CB9" s="310" t="s">
        <v>394</v>
      </c>
      <c r="CC9" s="311">
        <v>40</v>
      </c>
      <c r="CE9" s="102"/>
      <c r="CF9" s="136"/>
      <c r="CG9" s="16">
        <v>2</v>
      </c>
      <c r="CH9" s="15">
        <v>904.5</v>
      </c>
      <c r="CI9" s="14">
        <v>43564</v>
      </c>
      <c r="CJ9" s="15">
        <v>904.5</v>
      </c>
      <c r="CK9" s="32" t="s">
        <v>398</v>
      </c>
      <c r="CL9" s="18">
        <v>40</v>
      </c>
      <c r="CN9" s="102"/>
      <c r="CO9" s="136"/>
      <c r="CP9" s="16">
        <v>2</v>
      </c>
      <c r="CQ9" s="15">
        <v>974.6</v>
      </c>
      <c r="CR9" s="14">
        <v>43566</v>
      </c>
      <c r="CS9" s="15">
        <v>974.6</v>
      </c>
      <c r="CT9" s="32" t="s">
        <v>408</v>
      </c>
      <c r="CU9" s="18">
        <v>39</v>
      </c>
      <c r="CW9" s="102"/>
      <c r="CX9" s="136"/>
      <c r="CY9" s="16">
        <v>2</v>
      </c>
      <c r="CZ9" s="15">
        <v>937.12</v>
      </c>
      <c r="DA9" s="308">
        <v>43565</v>
      </c>
      <c r="DB9" s="15">
        <v>937.12</v>
      </c>
      <c r="DC9" s="310" t="s">
        <v>403</v>
      </c>
      <c r="DD9" s="311">
        <v>40</v>
      </c>
      <c r="DF9" s="102"/>
      <c r="DG9" s="136"/>
      <c r="DH9" s="16">
        <v>2</v>
      </c>
      <c r="DI9" s="15">
        <v>893.6</v>
      </c>
      <c r="DJ9" s="308">
        <v>43567</v>
      </c>
      <c r="DK9" s="664">
        <v>893.6</v>
      </c>
      <c r="DL9" s="310" t="s">
        <v>412</v>
      </c>
      <c r="DM9" s="311">
        <v>39</v>
      </c>
      <c r="DO9" s="102"/>
      <c r="DP9" s="136"/>
      <c r="DQ9" s="16">
        <v>2</v>
      </c>
      <c r="DR9" s="7">
        <v>884.95</v>
      </c>
      <c r="DS9" s="47">
        <v>43568</v>
      </c>
      <c r="DT9" s="7">
        <v>884.95</v>
      </c>
      <c r="DU9" s="60" t="s">
        <v>426</v>
      </c>
      <c r="DV9" s="18">
        <v>40</v>
      </c>
      <c r="DX9" s="102"/>
      <c r="DY9" s="136"/>
      <c r="DZ9" s="16">
        <v>2</v>
      </c>
      <c r="EA9" s="7">
        <v>936.51</v>
      </c>
      <c r="EB9" s="47">
        <v>43568</v>
      </c>
      <c r="EC9" s="7">
        <v>936.51</v>
      </c>
      <c r="ED9" s="60" t="s">
        <v>418</v>
      </c>
      <c r="EE9" s="18">
        <v>39</v>
      </c>
      <c r="EG9" s="102"/>
      <c r="EH9" s="136"/>
      <c r="EI9" s="16">
        <v>2</v>
      </c>
      <c r="EJ9" s="15">
        <v>922.6</v>
      </c>
      <c r="EK9" s="14">
        <v>43568</v>
      </c>
      <c r="EL9" s="15">
        <v>922.6</v>
      </c>
      <c r="EM9" s="35" t="s">
        <v>422</v>
      </c>
      <c r="EN9" s="18">
        <v>40</v>
      </c>
      <c r="EP9" s="102"/>
      <c r="EQ9" s="136"/>
      <c r="ER9" s="16">
        <v>2</v>
      </c>
      <c r="ES9" s="15">
        <v>954.35</v>
      </c>
      <c r="ET9" s="14">
        <v>43571</v>
      </c>
      <c r="EU9" s="15">
        <v>954.35</v>
      </c>
      <c r="EV9" s="35" t="s">
        <v>429</v>
      </c>
      <c r="EW9" s="18">
        <v>40</v>
      </c>
      <c r="EY9" s="102"/>
      <c r="EZ9" s="136"/>
      <c r="FA9" s="16">
        <v>2</v>
      </c>
      <c r="FB9" s="134">
        <v>936.96</v>
      </c>
      <c r="FC9" s="119">
        <v>43571</v>
      </c>
      <c r="FD9" s="134">
        <v>936.96</v>
      </c>
      <c r="FE9" s="90" t="s">
        <v>432</v>
      </c>
      <c r="FF9" s="91">
        <v>40</v>
      </c>
      <c r="FH9" s="102"/>
      <c r="FI9" s="136"/>
      <c r="FJ9" s="16">
        <v>2</v>
      </c>
      <c r="FK9" s="7">
        <v>932.58</v>
      </c>
      <c r="FL9" s="47">
        <v>43573</v>
      </c>
      <c r="FM9" s="7">
        <v>932.58</v>
      </c>
      <c r="FN9" s="60" t="s">
        <v>452</v>
      </c>
      <c r="FO9" s="18">
        <v>40</v>
      </c>
      <c r="FQ9" s="102"/>
      <c r="FR9" s="136"/>
      <c r="FS9" s="16">
        <v>2</v>
      </c>
      <c r="FT9" s="6">
        <v>928.04</v>
      </c>
      <c r="FU9" s="119">
        <v>43572</v>
      </c>
      <c r="FV9" s="154">
        <v>928.04</v>
      </c>
      <c r="FW9" s="137" t="s">
        <v>440</v>
      </c>
      <c r="FX9" s="91">
        <v>40</v>
      </c>
      <c r="FZ9" s="102"/>
      <c r="GA9" s="136"/>
      <c r="GB9" s="16">
        <v>2</v>
      </c>
      <c r="GC9" s="15">
        <v>944.22</v>
      </c>
      <c r="GD9" s="14">
        <v>43572</v>
      </c>
      <c r="GE9" s="15">
        <v>944.22</v>
      </c>
      <c r="GF9" s="32" t="s">
        <v>443</v>
      </c>
      <c r="GG9" s="18">
        <v>40</v>
      </c>
      <c r="GJ9" s="136"/>
      <c r="GK9" s="16">
        <v>2</v>
      </c>
      <c r="GL9" s="15">
        <v>888.6</v>
      </c>
      <c r="GM9" s="14">
        <v>43573</v>
      </c>
      <c r="GN9" s="15">
        <v>888.6</v>
      </c>
      <c r="GO9" s="32" t="s">
        <v>450</v>
      </c>
      <c r="GP9" s="18">
        <v>40</v>
      </c>
      <c r="GR9" s="102"/>
      <c r="GS9" s="136"/>
      <c r="GT9" s="16">
        <v>2</v>
      </c>
      <c r="GU9" s="15">
        <v>920.8</v>
      </c>
      <c r="GV9" s="14">
        <v>43575</v>
      </c>
      <c r="GW9" s="15">
        <v>920.8</v>
      </c>
      <c r="GX9" s="239" t="s">
        <v>456</v>
      </c>
      <c r="GY9" s="18">
        <v>40</v>
      </c>
      <c r="HA9" s="102"/>
      <c r="HB9" s="136"/>
      <c r="HC9" s="16">
        <v>2</v>
      </c>
      <c r="HD9" s="7">
        <v>984.58</v>
      </c>
      <c r="HE9" s="47">
        <v>43578</v>
      </c>
      <c r="HF9" s="7">
        <v>984.58</v>
      </c>
      <c r="HG9" s="60" t="s">
        <v>462</v>
      </c>
      <c r="HH9" s="18">
        <v>42</v>
      </c>
      <c r="HJ9" s="102"/>
      <c r="HK9" s="136"/>
      <c r="HL9" s="16">
        <v>2</v>
      </c>
      <c r="HM9" s="15">
        <v>899</v>
      </c>
      <c r="HN9" s="14">
        <v>43578</v>
      </c>
      <c r="HO9" s="15">
        <v>899</v>
      </c>
      <c r="HP9" s="419" t="s">
        <v>441</v>
      </c>
      <c r="HQ9" s="18">
        <v>42</v>
      </c>
      <c r="HR9" s="15"/>
      <c r="HS9" s="15"/>
      <c r="HT9" s="136"/>
      <c r="HU9" s="16">
        <v>2</v>
      </c>
      <c r="HV9" s="15">
        <v>945.58</v>
      </c>
      <c r="HW9" s="47">
        <v>43579</v>
      </c>
      <c r="HX9" s="15">
        <v>945.58</v>
      </c>
      <c r="HY9" s="60" t="s">
        <v>467</v>
      </c>
      <c r="HZ9" s="18">
        <v>42</v>
      </c>
      <c r="IA9" s="7"/>
      <c r="IB9" s="102"/>
      <c r="IC9" s="136"/>
      <c r="ID9" s="16">
        <v>2</v>
      </c>
      <c r="IE9" s="15">
        <v>918.07</v>
      </c>
      <c r="IF9" s="14">
        <v>43579</v>
      </c>
      <c r="IG9" s="15">
        <v>918.07</v>
      </c>
      <c r="IH9" s="35" t="s">
        <v>498</v>
      </c>
      <c r="II9" s="18">
        <v>42</v>
      </c>
      <c r="IK9" s="102"/>
      <c r="IL9" s="136"/>
      <c r="IM9" s="16">
        <v>2</v>
      </c>
      <c r="IN9" s="7">
        <v>879.1</v>
      </c>
      <c r="IO9" s="430">
        <v>43580</v>
      </c>
      <c r="IP9" s="7">
        <v>879.1</v>
      </c>
      <c r="IQ9" s="60" t="s">
        <v>503</v>
      </c>
      <c r="IR9" s="18">
        <v>42</v>
      </c>
      <c r="IT9" s="102"/>
      <c r="IU9" s="136"/>
      <c r="IV9" s="16">
        <v>2</v>
      </c>
      <c r="IW9" s="15">
        <v>946.19</v>
      </c>
      <c r="IX9" s="14">
        <v>43581</v>
      </c>
      <c r="IY9" s="15">
        <v>946.19</v>
      </c>
      <c r="IZ9" s="32" t="s">
        <v>507</v>
      </c>
      <c r="JA9" s="18">
        <v>44</v>
      </c>
      <c r="JC9" s="102"/>
      <c r="JD9" s="136"/>
      <c r="JE9" s="16">
        <v>2</v>
      </c>
      <c r="JF9" s="15">
        <v>937.1</v>
      </c>
      <c r="JG9" s="14">
        <v>43582</v>
      </c>
      <c r="JH9" s="15">
        <v>937.1</v>
      </c>
      <c r="JI9" s="32" t="s">
        <v>512</v>
      </c>
      <c r="JJ9" s="18">
        <v>44</v>
      </c>
      <c r="JL9" s="102"/>
      <c r="JM9" s="136"/>
      <c r="JN9" s="16">
        <v>2</v>
      </c>
      <c r="JO9" s="15">
        <v>903.5</v>
      </c>
      <c r="JP9" s="14">
        <v>43585</v>
      </c>
      <c r="JQ9" s="15">
        <v>903.5</v>
      </c>
      <c r="JR9" s="32" t="s">
        <v>519</v>
      </c>
      <c r="JS9" s="18">
        <v>46</v>
      </c>
      <c r="JU9" s="102"/>
      <c r="JV9" s="136"/>
      <c r="JW9" s="16">
        <v>2</v>
      </c>
      <c r="JX9" s="15">
        <v>926.08</v>
      </c>
      <c r="JY9" s="14">
        <v>43585</v>
      </c>
      <c r="JZ9" s="15">
        <v>926.08</v>
      </c>
      <c r="KA9" s="32" t="s">
        <v>522</v>
      </c>
      <c r="KB9" s="18">
        <v>45</v>
      </c>
      <c r="KD9" s="102"/>
      <c r="KE9" s="136"/>
      <c r="KF9" s="16">
        <v>2</v>
      </c>
      <c r="KG9" s="15">
        <v>941.2</v>
      </c>
      <c r="KH9" s="14">
        <v>43586</v>
      </c>
      <c r="KI9" s="15">
        <v>941.2</v>
      </c>
      <c r="KJ9" s="32" t="s">
        <v>538</v>
      </c>
      <c r="KK9" s="18">
        <v>45</v>
      </c>
      <c r="KM9" s="102"/>
      <c r="KN9" s="136"/>
      <c r="KO9" s="16">
        <v>2</v>
      </c>
      <c r="KP9" s="240">
        <v>945.12</v>
      </c>
      <c r="KQ9" s="85">
        <v>43586</v>
      </c>
      <c r="KR9" s="240">
        <v>945.12</v>
      </c>
      <c r="KS9" s="101" t="s">
        <v>540</v>
      </c>
      <c r="KT9" s="83">
        <v>45</v>
      </c>
      <c r="KV9" s="102"/>
      <c r="KW9" s="136"/>
      <c r="KX9" s="16">
        <v>2</v>
      </c>
      <c r="KY9" s="152">
        <v>920.79</v>
      </c>
      <c r="KZ9" s="14">
        <v>43588</v>
      </c>
      <c r="LA9" s="152">
        <v>920.79</v>
      </c>
      <c r="LB9" s="32" t="s">
        <v>546</v>
      </c>
      <c r="LC9" s="18">
        <v>46</v>
      </c>
      <c r="LE9" s="102"/>
      <c r="LF9" s="136"/>
      <c r="LG9" s="16">
        <v>2</v>
      </c>
      <c r="LH9" s="15">
        <v>921.2</v>
      </c>
      <c r="LI9" s="14">
        <v>43588</v>
      </c>
      <c r="LJ9" s="15">
        <v>921.2</v>
      </c>
      <c r="LK9" s="32" t="s">
        <v>544</v>
      </c>
      <c r="LL9" s="18">
        <v>46</v>
      </c>
      <c r="LN9" s="102"/>
      <c r="LO9" s="136"/>
      <c r="LP9" s="16">
        <v>2</v>
      </c>
      <c r="LQ9" s="152">
        <v>936.7</v>
      </c>
      <c r="LR9" s="14">
        <v>43591</v>
      </c>
      <c r="LS9" s="152">
        <v>936.7</v>
      </c>
      <c r="LT9" s="32" t="s">
        <v>561</v>
      </c>
      <c r="LU9" s="18">
        <v>45</v>
      </c>
      <c r="LW9" s="102"/>
      <c r="LX9" s="136"/>
      <c r="LY9" s="16">
        <v>2</v>
      </c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8"/>
      <c r="RP9" s="309"/>
      <c r="RQ9" s="310"/>
      <c r="RR9" s="311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TYSON FRESH MEATS</v>
      </c>
      <c r="C10" t="str">
        <f t="shared" si="6"/>
        <v xml:space="preserve">I B P </v>
      </c>
      <c r="D10" s="56" t="str">
        <f t="shared" si="6"/>
        <v>PED. 36271547</v>
      </c>
      <c r="E10" s="124">
        <f t="shared" si="6"/>
        <v>43560</v>
      </c>
      <c r="F10" s="58">
        <f t="shared" si="6"/>
        <v>18790.650000000001</v>
      </c>
      <c r="G10" s="13">
        <f t="shared" si="6"/>
        <v>20</v>
      </c>
      <c r="H10" s="52">
        <f t="shared" si="6"/>
        <v>18864.830000000002</v>
      </c>
      <c r="I10" s="6">
        <f t="shared" si="6"/>
        <v>-74.180000000000291</v>
      </c>
      <c r="L10" s="136"/>
      <c r="M10" s="16">
        <v>3</v>
      </c>
      <c r="N10" s="15">
        <v>924.42</v>
      </c>
      <c r="O10" s="14">
        <v>43554</v>
      </c>
      <c r="P10" s="15">
        <v>924.42</v>
      </c>
      <c r="Q10" s="32" t="s">
        <v>237</v>
      </c>
      <c r="R10" s="18">
        <v>44</v>
      </c>
      <c r="U10" s="136"/>
      <c r="V10" s="16">
        <v>3</v>
      </c>
      <c r="W10" s="152">
        <v>901.5</v>
      </c>
      <c r="X10" s="14">
        <v>43557</v>
      </c>
      <c r="Y10" s="152">
        <v>901.5</v>
      </c>
      <c r="Z10" s="32" t="s">
        <v>367</v>
      </c>
      <c r="AA10" s="18">
        <v>44</v>
      </c>
      <c r="AD10" s="136"/>
      <c r="AE10" s="16">
        <v>3</v>
      </c>
      <c r="AF10" s="15">
        <v>932.43</v>
      </c>
      <c r="AG10" s="14">
        <v>43558</v>
      </c>
      <c r="AH10" s="15">
        <v>932.43</v>
      </c>
      <c r="AI10" s="32" t="s">
        <v>370</v>
      </c>
      <c r="AJ10" s="18">
        <v>44</v>
      </c>
      <c r="AL10" s="102"/>
      <c r="AM10" s="136"/>
      <c r="AN10" s="16">
        <v>3</v>
      </c>
      <c r="AO10" s="152">
        <v>966.6</v>
      </c>
      <c r="AP10" s="119">
        <v>43559</v>
      </c>
      <c r="AQ10" s="476">
        <v>966.6</v>
      </c>
      <c r="AR10" s="137" t="s">
        <v>381</v>
      </c>
      <c r="AS10" s="91">
        <v>43</v>
      </c>
      <c r="AV10" s="136"/>
      <c r="AW10" s="16">
        <v>3</v>
      </c>
      <c r="AX10" s="15">
        <v>876.8</v>
      </c>
      <c r="AY10" s="85">
        <v>43561</v>
      </c>
      <c r="AZ10" s="15">
        <v>876.8</v>
      </c>
      <c r="BA10" s="101" t="s">
        <v>389</v>
      </c>
      <c r="BB10" s="317">
        <v>43</v>
      </c>
      <c r="BE10" s="136"/>
      <c r="BF10" s="16">
        <v>3</v>
      </c>
      <c r="BG10" s="15">
        <v>935.6</v>
      </c>
      <c r="BH10" s="308">
        <v>43561</v>
      </c>
      <c r="BI10" s="7">
        <v>935.6</v>
      </c>
      <c r="BJ10" s="310" t="s">
        <v>391</v>
      </c>
      <c r="BK10" s="311">
        <v>43</v>
      </c>
      <c r="BN10" s="136"/>
      <c r="BO10" s="16">
        <v>3</v>
      </c>
      <c r="BP10" s="15">
        <v>924.42</v>
      </c>
      <c r="BQ10" s="308">
        <v>43560</v>
      </c>
      <c r="BR10" s="15">
        <v>924.42</v>
      </c>
      <c r="BS10" s="310" t="s">
        <v>386</v>
      </c>
      <c r="BT10" s="311">
        <v>43</v>
      </c>
      <c r="BW10" s="136"/>
      <c r="BX10" s="16">
        <v>3</v>
      </c>
      <c r="BY10" s="15">
        <v>888.6</v>
      </c>
      <c r="BZ10" s="308">
        <v>43563</v>
      </c>
      <c r="CA10" s="15">
        <v>888.6</v>
      </c>
      <c r="CB10" s="310" t="s">
        <v>394</v>
      </c>
      <c r="CC10" s="311">
        <v>40</v>
      </c>
      <c r="CF10" s="136"/>
      <c r="CG10" s="16">
        <v>3</v>
      </c>
      <c r="CH10" s="15">
        <v>907</v>
      </c>
      <c r="CI10" s="14">
        <v>43564</v>
      </c>
      <c r="CJ10" s="15">
        <v>907</v>
      </c>
      <c r="CK10" s="32" t="s">
        <v>398</v>
      </c>
      <c r="CL10" s="18">
        <v>40</v>
      </c>
      <c r="CO10" s="136"/>
      <c r="CP10" s="16">
        <v>3</v>
      </c>
      <c r="CQ10" s="15">
        <v>953.74</v>
      </c>
      <c r="CR10" s="14">
        <v>43566</v>
      </c>
      <c r="CS10" s="15">
        <v>953.74</v>
      </c>
      <c r="CT10" s="32" t="s">
        <v>406</v>
      </c>
      <c r="CU10" s="18">
        <v>40</v>
      </c>
      <c r="CX10" s="136"/>
      <c r="CY10" s="16">
        <v>3</v>
      </c>
      <c r="CZ10" s="15">
        <v>959.34</v>
      </c>
      <c r="DA10" s="308">
        <v>43565</v>
      </c>
      <c r="DB10" s="15">
        <v>959.34</v>
      </c>
      <c r="DC10" s="310" t="s">
        <v>403</v>
      </c>
      <c r="DD10" s="311">
        <v>40</v>
      </c>
      <c r="DG10" s="136"/>
      <c r="DH10" s="16">
        <v>3</v>
      </c>
      <c r="DI10" s="15">
        <v>869.5</v>
      </c>
      <c r="DJ10" s="308">
        <v>43567</v>
      </c>
      <c r="DK10" s="664">
        <v>869.5</v>
      </c>
      <c r="DL10" s="310" t="s">
        <v>412</v>
      </c>
      <c r="DM10" s="311">
        <v>39</v>
      </c>
      <c r="DP10" s="136"/>
      <c r="DQ10" s="16">
        <v>3</v>
      </c>
      <c r="DR10" s="7">
        <v>957.53</v>
      </c>
      <c r="DS10" s="47">
        <v>43568</v>
      </c>
      <c r="DT10" s="7">
        <v>957.53</v>
      </c>
      <c r="DU10" s="60" t="s">
        <v>426</v>
      </c>
      <c r="DV10" s="18">
        <v>40</v>
      </c>
      <c r="DY10" s="136"/>
      <c r="DZ10" s="16">
        <v>3</v>
      </c>
      <c r="EA10" s="7">
        <v>976.42</v>
      </c>
      <c r="EB10" s="47">
        <v>43568</v>
      </c>
      <c r="EC10" s="7">
        <v>976.42</v>
      </c>
      <c r="ED10" s="60" t="s">
        <v>418</v>
      </c>
      <c r="EE10" s="18">
        <v>39</v>
      </c>
      <c r="EH10" s="136"/>
      <c r="EI10" s="16">
        <v>3</v>
      </c>
      <c r="EJ10" s="15">
        <v>909</v>
      </c>
      <c r="EK10" s="14">
        <v>43568</v>
      </c>
      <c r="EL10" s="15">
        <v>909</v>
      </c>
      <c r="EM10" s="35" t="s">
        <v>422</v>
      </c>
      <c r="EN10" s="18">
        <v>40</v>
      </c>
      <c r="EQ10" s="136"/>
      <c r="ER10" s="16">
        <v>3</v>
      </c>
      <c r="ES10" s="15">
        <v>931.67</v>
      </c>
      <c r="ET10" s="14">
        <v>43571</v>
      </c>
      <c r="EU10" s="15">
        <v>931.67</v>
      </c>
      <c r="EV10" s="35" t="s">
        <v>429</v>
      </c>
      <c r="EW10" s="18">
        <v>40</v>
      </c>
      <c r="EZ10" s="136"/>
      <c r="FA10" s="16">
        <v>3</v>
      </c>
      <c r="FB10" s="134">
        <v>978.68</v>
      </c>
      <c r="FC10" s="119">
        <v>43571</v>
      </c>
      <c r="FD10" s="134">
        <v>978.68</v>
      </c>
      <c r="FE10" s="90" t="s">
        <v>432</v>
      </c>
      <c r="FF10" s="91">
        <v>40</v>
      </c>
      <c r="FI10" s="136"/>
      <c r="FJ10" s="16">
        <v>3</v>
      </c>
      <c r="FK10" s="7">
        <v>938.93</v>
      </c>
      <c r="FL10" s="47">
        <v>43573</v>
      </c>
      <c r="FM10" s="7">
        <v>938.93</v>
      </c>
      <c r="FN10" s="60" t="s">
        <v>452</v>
      </c>
      <c r="FO10" s="18">
        <v>40</v>
      </c>
      <c r="FR10" s="136"/>
      <c r="FS10" s="16">
        <v>3</v>
      </c>
      <c r="FT10" s="15">
        <v>947.1</v>
      </c>
      <c r="FU10" s="119">
        <v>43572</v>
      </c>
      <c r="FV10" s="134">
        <v>947.1</v>
      </c>
      <c r="FW10" s="137" t="s">
        <v>440</v>
      </c>
      <c r="FX10" s="91">
        <v>40</v>
      </c>
      <c r="GA10" s="136"/>
      <c r="GB10" s="16">
        <v>3</v>
      </c>
      <c r="GC10" s="15">
        <v>912.02</v>
      </c>
      <c r="GD10" s="14">
        <v>43572</v>
      </c>
      <c r="GE10" s="15">
        <v>912.02</v>
      </c>
      <c r="GF10" s="32" t="s">
        <v>443</v>
      </c>
      <c r="GG10" s="18">
        <v>40</v>
      </c>
      <c r="GI10"/>
      <c r="GJ10" s="136"/>
      <c r="GK10" s="16">
        <v>3</v>
      </c>
      <c r="GL10" s="15">
        <v>912.2</v>
      </c>
      <c r="GM10" s="14">
        <v>43573</v>
      </c>
      <c r="GN10" s="15">
        <v>912.2</v>
      </c>
      <c r="GO10" s="32" t="s">
        <v>450</v>
      </c>
      <c r="GP10" s="18">
        <v>40</v>
      </c>
      <c r="GS10" s="136"/>
      <c r="GT10" s="16">
        <v>3</v>
      </c>
      <c r="GU10" s="15">
        <v>913.1</v>
      </c>
      <c r="GV10" s="14">
        <v>43575</v>
      </c>
      <c r="GW10" s="15">
        <v>913.1</v>
      </c>
      <c r="GX10" s="239" t="s">
        <v>456</v>
      </c>
      <c r="GY10" s="18">
        <v>40</v>
      </c>
      <c r="HB10" s="136"/>
      <c r="HC10" s="16">
        <v>3</v>
      </c>
      <c r="HD10" s="7">
        <v>962.36</v>
      </c>
      <c r="HE10" s="47">
        <v>43578</v>
      </c>
      <c r="HF10" s="7">
        <v>962.36</v>
      </c>
      <c r="HG10" s="60" t="s">
        <v>462</v>
      </c>
      <c r="HH10" s="18">
        <v>42</v>
      </c>
      <c r="HK10" s="136"/>
      <c r="HL10" s="16">
        <v>3</v>
      </c>
      <c r="HM10" s="15">
        <v>887</v>
      </c>
      <c r="HN10" s="14">
        <v>43578</v>
      </c>
      <c r="HO10" s="15">
        <v>887</v>
      </c>
      <c r="HP10" s="419" t="s">
        <v>441</v>
      </c>
      <c r="HQ10" s="18">
        <v>42</v>
      </c>
      <c r="HR10" s="15"/>
      <c r="HS10" s="7"/>
      <c r="HT10" s="136"/>
      <c r="HU10" s="16">
        <v>3</v>
      </c>
      <c r="HV10" s="15">
        <v>970.07</v>
      </c>
      <c r="HW10" s="47">
        <v>43579</v>
      </c>
      <c r="HX10" s="15">
        <v>970.07</v>
      </c>
      <c r="HY10" s="60" t="s">
        <v>467</v>
      </c>
      <c r="HZ10" s="18">
        <v>42</v>
      </c>
      <c r="IA10" s="7"/>
      <c r="IC10" s="136"/>
      <c r="ID10" s="16">
        <v>3</v>
      </c>
      <c r="IE10" s="15">
        <v>917.61</v>
      </c>
      <c r="IF10" s="14">
        <v>43579</v>
      </c>
      <c r="IG10" s="15">
        <v>917.61</v>
      </c>
      <c r="IH10" s="35" t="s">
        <v>498</v>
      </c>
      <c r="II10" s="18">
        <v>42</v>
      </c>
      <c r="IL10" s="136"/>
      <c r="IM10" s="16">
        <v>3</v>
      </c>
      <c r="IN10" s="7">
        <v>882.7</v>
      </c>
      <c r="IO10" s="430">
        <v>43580</v>
      </c>
      <c r="IP10" s="7">
        <v>882.7</v>
      </c>
      <c r="IQ10" s="60" t="s">
        <v>503</v>
      </c>
      <c r="IR10" s="18">
        <v>42</v>
      </c>
      <c r="IU10" s="136"/>
      <c r="IV10" s="16">
        <v>3</v>
      </c>
      <c r="IW10" s="15">
        <v>921.69</v>
      </c>
      <c r="IX10" s="14">
        <v>43581</v>
      </c>
      <c r="IY10" s="15">
        <v>921.69</v>
      </c>
      <c r="IZ10" s="32" t="s">
        <v>507</v>
      </c>
      <c r="JA10" s="18">
        <v>44</v>
      </c>
      <c r="JD10" s="136"/>
      <c r="JE10" s="16">
        <v>3</v>
      </c>
      <c r="JF10" s="15">
        <v>886.8</v>
      </c>
      <c r="JG10" s="14">
        <v>43582</v>
      </c>
      <c r="JH10" s="15">
        <v>886.8</v>
      </c>
      <c r="JI10" s="32" t="s">
        <v>512</v>
      </c>
      <c r="JJ10" s="18">
        <v>44</v>
      </c>
      <c r="JM10" s="136"/>
      <c r="JN10" s="16">
        <v>3</v>
      </c>
      <c r="JO10" s="15">
        <v>905</v>
      </c>
      <c r="JP10" s="14">
        <v>43585</v>
      </c>
      <c r="JQ10" s="15">
        <v>905</v>
      </c>
      <c r="JR10" s="32" t="s">
        <v>519</v>
      </c>
      <c r="JS10" s="18">
        <v>46</v>
      </c>
      <c r="JV10" s="136"/>
      <c r="JW10" s="16">
        <v>3</v>
      </c>
      <c r="JX10" s="15">
        <v>986.85</v>
      </c>
      <c r="JY10" s="14">
        <v>43585</v>
      </c>
      <c r="JZ10" s="15">
        <v>986.85</v>
      </c>
      <c r="KA10" s="32" t="s">
        <v>522</v>
      </c>
      <c r="KB10" s="18">
        <v>45</v>
      </c>
      <c r="KE10" s="136"/>
      <c r="KF10" s="16">
        <v>3</v>
      </c>
      <c r="KG10" s="15">
        <v>911.72</v>
      </c>
      <c r="KH10" s="14">
        <v>43586</v>
      </c>
      <c r="KI10" s="15">
        <v>911.72</v>
      </c>
      <c r="KJ10" s="32" t="s">
        <v>538</v>
      </c>
      <c r="KK10" s="18">
        <v>45</v>
      </c>
      <c r="KN10" s="136"/>
      <c r="KO10" s="16">
        <v>3</v>
      </c>
      <c r="KP10" s="152">
        <v>907.94</v>
      </c>
      <c r="KQ10" s="85">
        <v>43586</v>
      </c>
      <c r="KR10" s="152">
        <v>907.94</v>
      </c>
      <c r="KS10" s="101" t="s">
        <v>540</v>
      </c>
      <c r="KT10" s="83">
        <v>45</v>
      </c>
      <c r="KW10" s="136"/>
      <c r="KX10" s="16">
        <v>3</v>
      </c>
      <c r="KY10" s="152">
        <v>967.96</v>
      </c>
      <c r="KZ10" s="14">
        <v>43588</v>
      </c>
      <c r="LA10" s="152">
        <v>967.96</v>
      </c>
      <c r="LB10" s="32" t="s">
        <v>546</v>
      </c>
      <c r="LC10" s="18">
        <v>46</v>
      </c>
      <c r="LF10" s="136"/>
      <c r="LG10" s="16">
        <v>3</v>
      </c>
      <c r="LH10" s="15">
        <v>925.8</v>
      </c>
      <c r="LI10" s="14">
        <v>43588</v>
      </c>
      <c r="LJ10" s="15">
        <v>925.8</v>
      </c>
      <c r="LK10" s="32" t="s">
        <v>544</v>
      </c>
      <c r="LL10" s="18">
        <v>46</v>
      </c>
      <c r="LN10" s="102"/>
      <c r="LO10" s="136"/>
      <c r="LP10" s="16">
        <v>3</v>
      </c>
      <c r="LQ10" s="152">
        <v>934.4</v>
      </c>
      <c r="LR10" s="14">
        <v>43591</v>
      </c>
      <c r="LS10" s="152">
        <v>934.4</v>
      </c>
      <c r="LT10" s="32" t="s">
        <v>561</v>
      </c>
      <c r="LU10" s="18">
        <v>45</v>
      </c>
      <c r="LW10" s="102"/>
      <c r="LX10" s="136"/>
      <c r="LY10" s="16">
        <v>3</v>
      </c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8"/>
      <c r="RP10" s="309"/>
      <c r="RQ10" s="310"/>
      <c r="RR10" s="311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SEABOARD FOODS</v>
      </c>
      <c r="C11" t="str">
        <f t="shared" si="7"/>
        <v>Seaboard</v>
      </c>
      <c r="D11" s="56" t="str">
        <f t="shared" si="7"/>
        <v>PED. 36333839</v>
      </c>
      <c r="E11" s="124">
        <f t="shared" si="7"/>
        <v>43561</v>
      </c>
      <c r="F11" s="58">
        <f t="shared" si="7"/>
        <v>18493.3</v>
      </c>
      <c r="G11" s="13">
        <f t="shared" si="7"/>
        <v>21</v>
      </c>
      <c r="H11" s="52">
        <f t="shared" si="7"/>
        <v>18578.5</v>
      </c>
      <c r="I11" s="6">
        <f t="shared" si="7"/>
        <v>-85.200000000000728</v>
      </c>
      <c r="K11" s="71"/>
      <c r="L11" s="2"/>
      <c r="M11" s="16">
        <v>4</v>
      </c>
      <c r="N11" s="15">
        <v>946.64</v>
      </c>
      <c r="O11" s="315">
        <v>43557</v>
      </c>
      <c r="P11" s="629">
        <v>946.64</v>
      </c>
      <c r="Q11" s="630" t="s">
        <v>363</v>
      </c>
      <c r="R11" s="316">
        <v>44</v>
      </c>
      <c r="T11" s="71"/>
      <c r="U11" s="2"/>
      <c r="V11" s="16">
        <v>4</v>
      </c>
      <c r="W11" s="152">
        <v>899.5</v>
      </c>
      <c r="X11" s="14">
        <v>43557</v>
      </c>
      <c r="Y11" s="152">
        <v>899.5</v>
      </c>
      <c r="Z11" s="32" t="s">
        <v>367</v>
      </c>
      <c r="AA11" s="18">
        <v>44</v>
      </c>
      <c r="AC11" s="71"/>
      <c r="AD11" s="2"/>
      <c r="AE11" s="16">
        <v>4</v>
      </c>
      <c r="AF11" s="15">
        <v>977.32</v>
      </c>
      <c r="AG11" s="14">
        <v>43558</v>
      </c>
      <c r="AH11" s="15">
        <v>977.32</v>
      </c>
      <c r="AI11" s="32" t="s">
        <v>370</v>
      </c>
      <c r="AJ11" s="18">
        <v>44</v>
      </c>
      <c r="AL11" s="71"/>
      <c r="AM11" s="2"/>
      <c r="AN11" s="16">
        <v>4</v>
      </c>
      <c r="AO11" s="152">
        <v>975.22</v>
      </c>
      <c r="AP11" s="14">
        <v>43559</v>
      </c>
      <c r="AQ11" s="152">
        <v>975.22</v>
      </c>
      <c r="AR11" s="32" t="s">
        <v>379</v>
      </c>
      <c r="AS11" s="18">
        <v>44</v>
      </c>
      <c r="AU11" s="71"/>
      <c r="AV11" s="2"/>
      <c r="AW11" s="16">
        <v>4</v>
      </c>
      <c r="AX11" s="15">
        <v>911.3</v>
      </c>
      <c r="AY11" s="85">
        <v>43560</v>
      </c>
      <c r="AZ11" s="15">
        <v>911.3</v>
      </c>
      <c r="BA11" s="101" t="s">
        <v>384</v>
      </c>
      <c r="BB11" s="317">
        <v>43</v>
      </c>
      <c r="BD11" s="71"/>
      <c r="BE11" s="2"/>
      <c r="BF11" s="16">
        <v>4</v>
      </c>
      <c r="BG11" s="15">
        <v>945.58</v>
      </c>
      <c r="BH11" s="308">
        <v>43561</v>
      </c>
      <c r="BI11" s="7">
        <v>945.58</v>
      </c>
      <c r="BJ11" s="310" t="s">
        <v>391</v>
      </c>
      <c r="BK11" s="311">
        <v>43</v>
      </c>
      <c r="BM11" s="71"/>
      <c r="BN11" s="2"/>
      <c r="BO11" s="16">
        <v>4</v>
      </c>
      <c r="BP11" s="15">
        <v>942.56</v>
      </c>
      <c r="BQ11" s="308">
        <v>43560</v>
      </c>
      <c r="BR11" s="15">
        <v>942.56</v>
      </c>
      <c r="BS11" s="310" t="s">
        <v>386</v>
      </c>
      <c r="BT11" s="311">
        <v>43</v>
      </c>
      <c r="BV11" s="71"/>
      <c r="BW11" s="2"/>
      <c r="BX11" s="16">
        <v>4</v>
      </c>
      <c r="BY11" s="15">
        <v>875.9</v>
      </c>
      <c r="BZ11" s="308">
        <v>43563</v>
      </c>
      <c r="CA11" s="15">
        <v>875.9</v>
      </c>
      <c r="CB11" s="310" t="s">
        <v>394</v>
      </c>
      <c r="CC11" s="311">
        <v>40</v>
      </c>
      <c r="CE11" s="71"/>
      <c r="CF11" s="2"/>
      <c r="CG11" s="16">
        <v>4</v>
      </c>
      <c r="CH11" s="15">
        <v>897.5</v>
      </c>
      <c r="CI11" s="14">
        <v>43564</v>
      </c>
      <c r="CJ11" s="15">
        <v>897.5</v>
      </c>
      <c r="CK11" s="32" t="s">
        <v>398</v>
      </c>
      <c r="CL11" s="18">
        <v>40</v>
      </c>
      <c r="CN11" s="71"/>
      <c r="CO11" s="2"/>
      <c r="CP11" s="16">
        <v>4</v>
      </c>
      <c r="CQ11" s="15">
        <v>931.07</v>
      </c>
      <c r="CR11" s="14">
        <v>43566</v>
      </c>
      <c r="CS11" s="15">
        <v>931.07</v>
      </c>
      <c r="CT11" s="32" t="s">
        <v>406</v>
      </c>
      <c r="CU11" s="18">
        <v>40</v>
      </c>
      <c r="CW11" s="71"/>
      <c r="CX11" s="2"/>
      <c r="CY11" s="16">
        <v>4</v>
      </c>
      <c r="CZ11" s="15">
        <v>923.51</v>
      </c>
      <c r="DA11" s="308">
        <v>43565</v>
      </c>
      <c r="DB11" s="15">
        <v>923.51</v>
      </c>
      <c r="DC11" s="310" t="s">
        <v>403</v>
      </c>
      <c r="DD11" s="311">
        <v>40</v>
      </c>
      <c r="DF11" s="71"/>
      <c r="DG11" s="2"/>
      <c r="DH11" s="16">
        <v>4</v>
      </c>
      <c r="DI11" s="15">
        <v>924</v>
      </c>
      <c r="DJ11" s="308">
        <v>43567</v>
      </c>
      <c r="DK11" s="664">
        <v>924</v>
      </c>
      <c r="DL11" s="310" t="s">
        <v>412</v>
      </c>
      <c r="DM11" s="311">
        <v>39</v>
      </c>
      <c r="DO11" s="71"/>
      <c r="DP11" s="2"/>
      <c r="DQ11" s="16">
        <v>4</v>
      </c>
      <c r="DR11" s="7">
        <v>916.71</v>
      </c>
      <c r="DS11" s="47">
        <v>43568</v>
      </c>
      <c r="DT11" s="7">
        <v>916.71</v>
      </c>
      <c r="DU11" s="60" t="s">
        <v>426</v>
      </c>
      <c r="DV11" s="18">
        <v>40</v>
      </c>
      <c r="DX11" s="71"/>
      <c r="DY11" s="2"/>
      <c r="DZ11" s="16">
        <v>4</v>
      </c>
      <c r="EA11" s="7">
        <v>959.18</v>
      </c>
      <c r="EB11" s="47">
        <v>43568</v>
      </c>
      <c r="EC11" s="7">
        <v>959.18</v>
      </c>
      <c r="ED11" s="60" t="s">
        <v>418</v>
      </c>
      <c r="EE11" s="18">
        <v>39</v>
      </c>
      <c r="EG11" s="71"/>
      <c r="EH11" s="2"/>
      <c r="EI11" s="16">
        <v>4</v>
      </c>
      <c r="EJ11" s="15">
        <v>926.2</v>
      </c>
      <c r="EK11" s="14">
        <v>43568</v>
      </c>
      <c r="EL11" s="15">
        <v>926.2</v>
      </c>
      <c r="EM11" s="35" t="s">
        <v>422</v>
      </c>
      <c r="EN11" s="18">
        <v>40</v>
      </c>
      <c r="EP11" s="71"/>
      <c r="EQ11" s="2"/>
      <c r="ER11" s="16">
        <v>4</v>
      </c>
      <c r="ES11" s="15">
        <v>938.93</v>
      </c>
      <c r="ET11" s="14">
        <v>43571</v>
      </c>
      <c r="EU11" s="15">
        <v>938.93</v>
      </c>
      <c r="EV11" s="35" t="s">
        <v>429</v>
      </c>
      <c r="EW11" s="18">
        <v>40</v>
      </c>
      <c r="EY11" s="71"/>
      <c r="EZ11" s="2"/>
      <c r="FA11" s="16">
        <v>4</v>
      </c>
      <c r="FB11" s="134">
        <v>952.83</v>
      </c>
      <c r="FC11" s="119">
        <v>43571</v>
      </c>
      <c r="FD11" s="134">
        <v>952.83</v>
      </c>
      <c r="FE11" s="90" t="s">
        <v>432</v>
      </c>
      <c r="FF11" s="91">
        <v>40</v>
      </c>
      <c r="FH11" s="71"/>
      <c r="FI11" s="2"/>
      <c r="FJ11" s="16">
        <v>4</v>
      </c>
      <c r="FK11" s="7">
        <v>938.93</v>
      </c>
      <c r="FL11" s="47">
        <v>43573</v>
      </c>
      <c r="FM11" s="7">
        <v>938.93</v>
      </c>
      <c r="FN11" s="60" t="s">
        <v>452</v>
      </c>
      <c r="FO11" s="18">
        <v>40</v>
      </c>
      <c r="FQ11" s="71"/>
      <c r="FR11" s="2"/>
      <c r="FS11" s="16">
        <v>4</v>
      </c>
      <c r="FT11" s="15">
        <v>957.07</v>
      </c>
      <c r="FU11" s="119">
        <v>43572</v>
      </c>
      <c r="FV11" s="134">
        <v>957.07</v>
      </c>
      <c r="FW11" s="137" t="s">
        <v>440</v>
      </c>
      <c r="FX11" s="91">
        <v>40</v>
      </c>
      <c r="FZ11" s="71"/>
      <c r="GA11" s="2"/>
      <c r="GB11" s="16">
        <v>4</v>
      </c>
      <c r="GC11" s="15">
        <v>983.67</v>
      </c>
      <c r="GD11" s="14">
        <v>43572</v>
      </c>
      <c r="GE11" s="15">
        <v>983.67</v>
      </c>
      <c r="GF11" s="32" t="s">
        <v>443</v>
      </c>
      <c r="GG11" s="18">
        <v>40</v>
      </c>
      <c r="GI11" s="71"/>
      <c r="GJ11" s="2"/>
      <c r="GK11" s="16">
        <v>4</v>
      </c>
      <c r="GL11" s="15">
        <v>903.6</v>
      </c>
      <c r="GM11" s="14">
        <v>43573</v>
      </c>
      <c r="GN11" s="15">
        <v>903.6</v>
      </c>
      <c r="GO11" s="32" t="s">
        <v>450</v>
      </c>
      <c r="GP11" s="18">
        <v>40</v>
      </c>
      <c r="GR11" s="71"/>
      <c r="GS11" s="2"/>
      <c r="GT11" s="16">
        <v>4</v>
      </c>
      <c r="GU11" s="15">
        <v>923.1</v>
      </c>
      <c r="GV11" s="14">
        <v>43575</v>
      </c>
      <c r="GW11" s="15">
        <v>923.1</v>
      </c>
      <c r="GX11" s="239" t="s">
        <v>456</v>
      </c>
      <c r="GY11" s="18">
        <v>40</v>
      </c>
      <c r="HA11" s="71"/>
      <c r="HB11" s="2"/>
      <c r="HC11" s="16">
        <v>4</v>
      </c>
      <c r="HD11" s="7">
        <v>981.41</v>
      </c>
      <c r="HE11" s="47">
        <v>43578</v>
      </c>
      <c r="HF11" s="7">
        <v>981.41</v>
      </c>
      <c r="HG11" s="60" t="s">
        <v>462</v>
      </c>
      <c r="HH11" s="18">
        <v>42</v>
      </c>
      <c r="HJ11" s="71"/>
      <c r="HK11" s="2"/>
      <c r="HL11" s="16">
        <v>4</v>
      </c>
      <c r="HM11" s="15">
        <v>899</v>
      </c>
      <c r="HN11" s="14">
        <v>43578</v>
      </c>
      <c r="HO11" s="15">
        <v>899</v>
      </c>
      <c r="HP11" s="419" t="s">
        <v>441</v>
      </c>
      <c r="HQ11" s="18">
        <v>42</v>
      </c>
      <c r="HR11" s="15"/>
      <c r="HS11" s="7"/>
      <c r="HT11" s="2"/>
      <c r="HU11" s="16">
        <v>4</v>
      </c>
      <c r="HV11" s="15">
        <v>916.1</v>
      </c>
      <c r="HW11" s="47">
        <v>43579</v>
      </c>
      <c r="HX11" s="15">
        <v>916.1</v>
      </c>
      <c r="HY11" s="60" t="s">
        <v>467</v>
      </c>
      <c r="HZ11" s="18">
        <v>42</v>
      </c>
      <c r="IA11" s="7"/>
      <c r="IB11" s="71"/>
      <c r="IC11" s="2"/>
      <c r="ID11" s="16">
        <v>4</v>
      </c>
      <c r="IE11" s="15">
        <v>913.08</v>
      </c>
      <c r="IF11" s="14">
        <v>43579</v>
      </c>
      <c r="IG11" s="15">
        <v>913.08</v>
      </c>
      <c r="IH11" s="35" t="s">
        <v>498</v>
      </c>
      <c r="II11" s="18">
        <v>42</v>
      </c>
      <c r="IK11" s="71"/>
      <c r="IL11" s="2"/>
      <c r="IM11" s="16">
        <v>4</v>
      </c>
      <c r="IN11" s="7">
        <v>904.9</v>
      </c>
      <c r="IO11" s="430">
        <v>43580</v>
      </c>
      <c r="IP11" s="7">
        <v>904.9</v>
      </c>
      <c r="IQ11" s="60" t="s">
        <v>503</v>
      </c>
      <c r="IR11" s="18">
        <v>42</v>
      </c>
      <c r="IT11" s="71"/>
      <c r="IU11" s="2"/>
      <c r="IV11" s="16">
        <v>4</v>
      </c>
      <c r="IW11" s="15">
        <v>926.88</v>
      </c>
      <c r="IX11" s="14">
        <v>43581</v>
      </c>
      <c r="IY11" s="15">
        <v>926.88</v>
      </c>
      <c r="IZ11" s="32" t="s">
        <v>507</v>
      </c>
      <c r="JA11" s="18">
        <v>44</v>
      </c>
      <c r="JC11" s="71"/>
      <c r="JD11" s="2"/>
      <c r="JE11" s="16">
        <v>4</v>
      </c>
      <c r="JF11" s="15">
        <v>931.2</v>
      </c>
      <c r="JG11" s="14">
        <v>43582</v>
      </c>
      <c r="JH11" s="15">
        <v>931.2</v>
      </c>
      <c r="JI11" s="32" t="s">
        <v>512</v>
      </c>
      <c r="JJ11" s="18">
        <v>44</v>
      </c>
      <c r="JL11" s="71"/>
      <c r="JM11" s="2"/>
      <c r="JN11" s="16">
        <v>4</v>
      </c>
      <c r="JO11" s="15">
        <v>897.5</v>
      </c>
      <c r="JP11" s="14">
        <v>43585</v>
      </c>
      <c r="JQ11" s="15">
        <v>897.5</v>
      </c>
      <c r="JR11" s="32" t="s">
        <v>519</v>
      </c>
      <c r="JS11" s="18">
        <v>46</v>
      </c>
      <c r="JU11" s="71"/>
      <c r="JV11" s="2"/>
      <c r="JW11" s="16">
        <v>4</v>
      </c>
      <c r="JX11" s="15">
        <v>990.93</v>
      </c>
      <c r="JY11" s="14">
        <v>43585</v>
      </c>
      <c r="JZ11" s="15">
        <v>990.93</v>
      </c>
      <c r="KA11" s="32" t="s">
        <v>522</v>
      </c>
      <c r="KB11" s="18">
        <v>45</v>
      </c>
      <c r="KD11" s="71"/>
      <c r="KE11" s="2"/>
      <c r="KF11" s="16">
        <v>4</v>
      </c>
      <c r="KG11" s="15">
        <v>953.45</v>
      </c>
      <c r="KH11" s="14">
        <v>43586</v>
      </c>
      <c r="KI11" s="15">
        <v>953.45</v>
      </c>
      <c r="KJ11" s="32" t="s">
        <v>538</v>
      </c>
      <c r="KK11" s="18">
        <v>45</v>
      </c>
      <c r="KM11" s="71"/>
      <c r="KN11" s="2"/>
      <c r="KO11" s="16">
        <v>4</v>
      </c>
      <c r="KP11" s="152">
        <v>973.7</v>
      </c>
      <c r="KQ11" s="85">
        <v>43586</v>
      </c>
      <c r="KR11" s="152">
        <v>973.7</v>
      </c>
      <c r="KS11" s="101" t="s">
        <v>540</v>
      </c>
      <c r="KT11" s="83">
        <v>45</v>
      </c>
      <c r="KV11" s="71"/>
      <c r="KW11" s="2"/>
      <c r="KX11" s="16">
        <v>4</v>
      </c>
      <c r="KY11" s="152">
        <v>956.17</v>
      </c>
      <c r="KZ11" s="14">
        <v>43588</v>
      </c>
      <c r="LA11" s="152">
        <v>956.17</v>
      </c>
      <c r="LB11" s="32" t="s">
        <v>546</v>
      </c>
      <c r="LC11" s="18">
        <v>46</v>
      </c>
      <c r="LE11" s="71"/>
      <c r="LF11" s="2"/>
      <c r="LG11" s="16">
        <v>4</v>
      </c>
      <c r="LH11" s="15">
        <v>954.4</v>
      </c>
      <c r="LI11" s="14">
        <v>43588</v>
      </c>
      <c r="LJ11" s="15">
        <v>954.4</v>
      </c>
      <c r="LK11" s="32" t="s">
        <v>544</v>
      </c>
      <c r="LL11" s="18">
        <v>46</v>
      </c>
      <c r="LN11" s="71"/>
      <c r="LO11" s="2"/>
      <c r="LP11" s="16">
        <v>4</v>
      </c>
      <c r="LQ11" s="152">
        <v>881.8</v>
      </c>
      <c r="LR11" s="14">
        <v>43591</v>
      </c>
      <c r="LS11" s="712">
        <v>881.8</v>
      </c>
      <c r="LT11" s="713" t="s">
        <v>556</v>
      </c>
      <c r="LU11" s="18">
        <v>45</v>
      </c>
      <c r="LW11" s="71"/>
      <c r="LX11" s="2"/>
      <c r="LY11" s="16">
        <v>4</v>
      </c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8"/>
      <c r="RP11" s="309"/>
      <c r="RQ11" s="310"/>
      <c r="RR11" s="311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SIOUXPREME PACKING</v>
      </c>
      <c r="C12" t="str">
        <f t="shared" si="8"/>
        <v>SIOUX</v>
      </c>
      <c r="D12" s="56" t="str">
        <f t="shared" si="8"/>
        <v>PED. 36406557</v>
      </c>
      <c r="E12" s="124">
        <f t="shared" si="8"/>
        <v>43564</v>
      </c>
      <c r="F12" s="58">
        <f t="shared" si="8"/>
        <v>18727.43</v>
      </c>
      <c r="G12" s="13">
        <f t="shared" si="8"/>
        <v>21</v>
      </c>
      <c r="H12" s="52">
        <f t="shared" si="8"/>
        <v>18815</v>
      </c>
      <c r="I12" s="6">
        <f t="shared" si="8"/>
        <v>-87.569999999999709</v>
      </c>
      <c r="K12" s="102"/>
      <c r="L12" s="2"/>
      <c r="M12" s="16">
        <v>5</v>
      </c>
      <c r="N12" s="15">
        <v>908.99</v>
      </c>
      <c r="O12" s="14">
        <v>43554</v>
      </c>
      <c r="P12" s="15">
        <v>908.99</v>
      </c>
      <c r="Q12" s="32" t="s">
        <v>238</v>
      </c>
      <c r="R12" s="18">
        <v>44</v>
      </c>
      <c r="T12" s="102"/>
      <c r="U12" s="2"/>
      <c r="V12" s="16">
        <v>5</v>
      </c>
      <c r="W12" s="152">
        <v>904</v>
      </c>
      <c r="X12" s="14">
        <v>43557</v>
      </c>
      <c r="Y12" s="152">
        <v>904</v>
      </c>
      <c r="Z12" s="32" t="s">
        <v>367</v>
      </c>
      <c r="AA12" s="18">
        <v>44</v>
      </c>
      <c r="AC12" s="102"/>
      <c r="AD12" s="2"/>
      <c r="AE12" s="16">
        <v>5</v>
      </c>
      <c r="AF12" s="15">
        <v>951.93</v>
      </c>
      <c r="AG12" s="14">
        <v>43558</v>
      </c>
      <c r="AH12" s="15">
        <v>951.93</v>
      </c>
      <c r="AI12" s="32" t="s">
        <v>370</v>
      </c>
      <c r="AJ12" s="18">
        <v>44</v>
      </c>
      <c r="AL12" s="102"/>
      <c r="AM12" s="2"/>
      <c r="AN12" s="16">
        <v>5</v>
      </c>
      <c r="AO12" s="152">
        <v>935.3</v>
      </c>
      <c r="AP12" s="14">
        <v>43559</v>
      </c>
      <c r="AQ12" s="152">
        <v>935.3</v>
      </c>
      <c r="AR12" s="32" t="s">
        <v>379</v>
      </c>
      <c r="AS12" s="18">
        <v>44</v>
      </c>
      <c r="AU12" s="102"/>
      <c r="AV12" s="2"/>
      <c r="AW12" s="16">
        <v>5</v>
      </c>
      <c r="AX12" s="15">
        <v>864.1</v>
      </c>
      <c r="AY12" s="85">
        <v>43560</v>
      </c>
      <c r="AZ12" s="15">
        <v>864.1</v>
      </c>
      <c r="BA12" s="101" t="s">
        <v>384</v>
      </c>
      <c r="BB12" s="317">
        <v>43</v>
      </c>
      <c r="BD12" s="102"/>
      <c r="BE12" s="2"/>
      <c r="BF12" s="16">
        <v>5</v>
      </c>
      <c r="BG12" s="15">
        <v>907.03</v>
      </c>
      <c r="BH12" s="308">
        <v>43561</v>
      </c>
      <c r="BI12" s="7">
        <v>907.03</v>
      </c>
      <c r="BJ12" s="310" t="s">
        <v>391</v>
      </c>
      <c r="BK12" s="311">
        <v>43</v>
      </c>
      <c r="BM12" s="102"/>
      <c r="BN12" s="2"/>
      <c r="BO12" s="16">
        <v>5</v>
      </c>
      <c r="BP12" s="15">
        <v>958.89</v>
      </c>
      <c r="BQ12" s="308">
        <v>43560</v>
      </c>
      <c r="BR12" s="15">
        <v>958.89</v>
      </c>
      <c r="BS12" s="310" t="s">
        <v>386</v>
      </c>
      <c r="BT12" s="311">
        <v>43</v>
      </c>
      <c r="BV12" s="102"/>
      <c r="BW12" s="2"/>
      <c r="BX12" s="16">
        <v>5</v>
      </c>
      <c r="BY12" s="15">
        <v>879.5</v>
      </c>
      <c r="BZ12" s="308">
        <v>43563</v>
      </c>
      <c r="CA12" s="15">
        <v>879.5</v>
      </c>
      <c r="CB12" s="310" t="s">
        <v>394</v>
      </c>
      <c r="CC12" s="311">
        <v>40</v>
      </c>
      <c r="CE12" s="102"/>
      <c r="CF12" s="2"/>
      <c r="CG12" s="16">
        <v>5</v>
      </c>
      <c r="CH12" s="15">
        <v>906.5</v>
      </c>
      <c r="CI12" s="14">
        <v>43564</v>
      </c>
      <c r="CJ12" s="15">
        <v>906.5</v>
      </c>
      <c r="CK12" s="32" t="s">
        <v>398</v>
      </c>
      <c r="CL12" s="18">
        <v>40</v>
      </c>
      <c r="CN12" s="102"/>
      <c r="CO12" s="2"/>
      <c r="CP12" s="16">
        <v>5</v>
      </c>
      <c r="CQ12" s="15">
        <v>937.41</v>
      </c>
      <c r="CR12" s="14">
        <v>43566</v>
      </c>
      <c r="CS12" s="15">
        <v>937.41</v>
      </c>
      <c r="CT12" s="32" t="s">
        <v>408</v>
      </c>
      <c r="CU12" s="18">
        <v>40</v>
      </c>
      <c r="CW12" s="102"/>
      <c r="CX12" s="2"/>
      <c r="CY12" s="16">
        <v>5</v>
      </c>
      <c r="CZ12" s="15">
        <v>918.07</v>
      </c>
      <c r="DA12" s="308">
        <v>43565</v>
      </c>
      <c r="DB12" s="15">
        <v>918.07</v>
      </c>
      <c r="DC12" s="310" t="s">
        <v>403</v>
      </c>
      <c r="DD12" s="311">
        <v>40</v>
      </c>
      <c r="DF12" s="102"/>
      <c r="DG12" s="2"/>
      <c r="DH12" s="16">
        <v>5</v>
      </c>
      <c r="DI12" s="15">
        <v>924</v>
      </c>
      <c r="DJ12" s="308">
        <v>43567</v>
      </c>
      <c r="DK12" s="664">
        <v>924</v>
      </c>
      <c r="DL12" s="310" t="s">
        <v>421</v>
      </c>
      <c r="DM12" s="311">
        <v>39</v>
      </c>
      <c r="DO12" s="102"/>
      <c r="DP12" s="2"/>
      <c r="DQ12" s="16">
        <v>5</v>
      </c>
      <c r="DR12" s="7">
        <v>972.5</v>
      </c>
      <c r="DS12" s="47">
        <v>43568</v>
      </c>
      <c r="DT12" s="7">
        <v>972.5</v>
      </c>
      <c r="DU12" s="60" t="s">
        <v>426</v>
      </c>
      <c r="DV12" s="18">
        <v>40</v>
      </c>
      <c r="DX12" s="102"/>
      <c r="DY12" s="2"/>
      <c r="DZ12" s="16">
        <v>5</v>
      </c>
      <c r="EA12" s="7">
        <v>942.86</v>
      </c>
      <c r="EB12" s="47">
        <v>43568</v>
      </c>
      <c r="EC12" s="7">
        <v>942.86</v>
      </c>
      <c r="ED12" s="60" t="s">
        <v>418</v>
      </c>
      <c r="EE12" s="18">
        <v>39</v>
      </c>
      <c r="EG12" s="102"/>
      <c r="EH12" s="2"/>
      <c r="EI12" s="16">
        <v>5</v>
      </c>
      <c r="EJ12" s="15">
        <v>899.5</v>
      </c>
      <c r="EK12" s="14">
        <v>43568</v>
      </c>
      <c r="EL12" s="15">
        <v>899.5</v>
      </c>
      <c r="EM12" s="35" t="s">
        <v>422</v>
      </c>
      <c r="EN12" s="18">
        <v>40</v>
      </c>
      <c r="EP12" s="102"/>
      <c r="EQ12" s="2"/>
      <c r="ER12" s="16">
        <v>5</v>
      </c>
      <c r="ES12" s="15">
        <v>935.76</v>
      </c>
      <c r="ET12" s="14">
        <v>43571</v>
      </c>
      <c r="EU12" s="15">
        <v>935.76</v>
      </c>
      <c r="EV12" s="35" t="s">
        <v>429</v>
      </c>
      <c r="EW12" s="18">
        <v>40</v>
      </c>
      <c r="EY12" s="102"/>
      <c r="EZ12" s="2"/>
      <c r="FA12" s="16">
        <v>5</v>
      </c>
      <c r="FB12" s="134">
        <v>960.54</v>
      </c>
      <c r="FC12" s="119">
        <v>43571</v>
      </c>
      <c r="FD12" s="134">
        <v>960.54</v>
      </c>
      <c r="FE12" s="90" t="s">
        <v>432</v>
      </c>
      <c r="FF12" s="91">
        <v>40</v>
      </c>
      <c r="FH12" s="102"/>
      <c r="FI12" s="2"/>
      <c r="FJ12" s="16">
        <v>5</v>
      </c>
      <c r="FK12" s="7">
        <v>915.35</v>
      </c>
      <c r="FL12" s="47">
        <v>43573</v>
      </c>
      <c r="FM12" s="673">
        <v>915.34</v>
      </c>
      <c r="FN12" s="60" t="s">
        <v>452</v>
      </c>
      <c r="FO12" s="18">
        <v>40</v>
      </c>
      <c r="FQ12" s="102"/>
      <c r="FR12" s="2"/>
      <c r="FS12" s="16">
        <v>5</v>
      </c>
      <c r="FT12" s="15">
        <v>923.51</v>
      </c>
      <c r="FU12" s="119">
        <v>43572</v>
      </c>
      <c r="FV12" s="134">
        <v>923.51</v>
      </c>
      <c r="FW12" s="137" t="s">
        <v>440</v>
      </c>
      <c r="FX12" s="91">
        <v>40</v>
      </c>
      <c r="FZ12" s="102"/>
      <c r="GA12" s="2"/>
      <c r="GB12" s="16">
        <v>5</v>
      </c>
      <c r="GC12" s="15">
        <v>970.52</v>
      </c>
      <c r="GD12" s="14">
        <v>43572</v>
      </c>
      <c r="GE12" s="15">
        <v>970.52</v>
      </c>
      <c r="GF12" s="32" t="s">
        <v>443</v>
      </c>
      <c r="GG12" s="18">
        <v>40</v>
      </c>
      <c r="GJ12" s="2"/>
      <c r="GK12" s="16">
        <v>5</v>
      </c>
      <c r="GL12" s="15">
        <v>871.8</v>
      </c>
      <c r="GM12" s="14">
        <v>43573</v>
      </c>
      <c r="GN12" s="15">
        <v>871.8</v>
      </c>
      <c r="GO12" s="32" t="s">
        <v>450</v>
      </c>
      <c r="GP12" s="18">
        <v>40</v>
      </c>
      <c r="GR12" s="102"/>
      <c r="GS12" s="2"/>
      <c r="GT12" s="16">
        <v>5</v>
      </c>
      <c r="GU12" s="15">
        <v>929.4</v>
      </c>
      <c r="GV12" s="14">
        <v>43575</v>
      </c>
      <c r="GW12" s="15">
        <v>929.4</v>
      </c>
      <c r="GX12" s="239" t="s">
        <v>456</v>
      </c>
      <c r="GY12" s="18">
        <v>40</v>
      </c>
      <c r="HA12" s="102"/>
      <c r="HB12" s="2"/>
      <c r="HC12" s="16">
        <v>5</v>
      </c>
      <c r="HD12" s="7">
        <v>980.05</v>
      </c>
      <c r="HE12" s="47">
        <v>43578</v>
      </c>
      <c r="HF12" s="7">
        <v>980.05</v>
      </c>
      <c r="HG12" s="60" t="s">
        <v>462</v>
      </c>
      <c r="HH12" s="18">
        <v>42</v>
      </c>
      <c r="HJ12" s="102"/>
      <c r="HK12" s="2"/>
      <c r="HL12" s="16">
        <v>5</v>
      </c>
      <c r="HM12" s="318">
        <v>867.5</v>
      </c>
      <c r="HN12" s="14">
        <v>43578</v>
      </c>
      <c r="HO12" s="318">
        <v>867.5</v>
      </c>
      <c r="HP12" s="419" t="s">
        <v>441</v>
      </c>
      <c r="HQ12" s="18">
        <v>42</v>
      </c>
      <c r="HR12" s="318"/>
      <c r="HS12" s="7"/>
      <c r="HT12" s="2"/>
      <c r="HU12" s="16">
        <v>5</v>
      </c>
      <c r="HV12" s="318">
        <v>972.79</v>
      </c>
      <c r="HW12" s="47">
        <v>43579</v>
      </c>
      <c r="HX12" s="318">
        <v>972.79</v>
      </c>
      <c r="HY12" s="60" t="s">
        <v>467</v>
      </c>
      <c r="HZ12" s="18">
        <v>42</v>
      </c>
      <c r="IA12" s="7"/>
      <c r="IB12" s="102"/>
      <c r="IC12" s="2"/>
      <c r="ID12" s="16">
        <v>5</v>
      </c>
      <c r="IE12" s="15">
        <v>934.85</v>
      </c>
      <c r="IF12" s="14">
        <v>43579</v>
      </c>
      <c r="IG12" s="15">
        <v>934.85</v>
      </c>
      <c r="IH12" s="35" t="s">
        <v>498</v>
      </c>
      <c r="II12" s="18">
        <v>42</v>
      </c>
      <c r="IK12" s="102"/>
      <c r="IL12" s="2"/>
      <c r="IM12" s="16">
        <v>5</v>
      </c>
      <c r="IN12" s="7">
        <v>887.7</v>
      </c>
      <c r="IO12" s="430">
        <v>43580</v>
      </c>
      <c r="IP12" s="7">
        <v>887.7</v>
      </c>
      <c r="IQ12" s="60" t="s">
        <v>503</v>
      </c>
      <c r="IR12" s="18">
        <v>42</v>
      </c>
      <c r="IT12" s="102"/>
      <c r="IU12" s="2"/>
      <c r="IV12" s="16">
        <v>5</v>
      </c>
      <c r="IW12" s="15">
        <v>973.4</v>
      </c>
      <c r="IX12" s="14">
        <v>43581</v>
      </c>
      <c r="IY12" s="15">
        <v>973.4</v>
      </c>
      <c r="IZ12" s="32" t="s">
        <v>507</v>
      </c>
      <c r="JA12" s="18">
        <v>44</v>
      </c>
      <c r="JC12" s="102"/>
      <c r="JD12" s="2"/>
      <c r="JE12" s="16">
        <v>5</v>
      </c>
      <c r="JF12" s="15">
        <v>895.4</v>
      </c>
      <c r="JG12" s="14">
        <v>43582</v>
      </c>
      <c r="JH12" s="15">
        <v>895.4</v>
      </c>
      <c r="JI12" s="32" t="s">
        <v>512</v>
      </c>
      <c r="JJ12" s="18">
        <v>44</v>
      </c>
      <c r="JL12" s="102"/>
      <c r="JM12" s="2"/>
      <c r="JN12" s="16">
        <v>5</v>
      </c>
      <c r="JO12" s="15">
        <v>905.5</v>
      </c>
      <c r="JP12" s="14">
        <v>43585</v>
      </c>
      <c r="JQ12" s="15">
        <v>905.5</v>
      </c>
      <c r="JR12" s="32" t="s">
        <v>519</v>
      </c>
      <c r="JS12" s="18">
        <v>46</v>
      </c>
      <c r="JU12" s="102"/>
      <c r="JV12" s="2"/>
      <c r="JW12" s="16">
        <v>5</v>
      </c>
      <c r="JX12" s="15">
        <v>956.46</v>
      </c>
      <c r="JY12" s="14">
        <v>43585</v>
      </c>
      <c r="JZ12" s="15">
        <v>956.46</v>
      </c>
      <c r="KA12" s="32" t="s">
        <v>522</v>
      </c>
      <c r="KB12" s="18">
        <v>45</v>
      </c>
      <c r="KD12" s="102"/>
      <c r="KE12" s="2"/>
      <c r="KF12" s="16">
        <v>5</v>
      </c>
      <c r="KG12" s="15">
        <v>929.86</v>
      </c>
      <c r="KH12" s="14">
        <v>43586</v>
      </c>
      <c r="KI12" s="15">
        <v>929.86</v>
      </c>
      <c r="KJ12" s="32" t="s">
        <v>538</v>
      </c>
      <c r="KK12" s="18">
        <v>45</v>
      </c>
      <c r="KM12" s="102"/>
      <c r="KN12" s="2"/>
      <c r="KO12" s="16">
        <v>5</v>
      </c>
      <c r="KP12" s="152">
        <v>960.09</v>
      </c>
      <c r="KQ12" s="85">
        <v>43586</v>
      </c>
      <c r="KR12" s="152">
        <v>960.09</v>
      </c>
      <c r="KS12" s="101" t="s">
        <v>540</v>
      </c>
      <c r="KT12" s="83">
        <v>45</v>
      </c>
      <c r="KV12" s="102"/>
      <c r="KW12" s="2"/>
      <c r="KX12" s="16">
        <v>5</v>
      </c>
      <c r="KY12" s="152">
        <v>931.22</v>
      </c>
      <c r="KZ12" s="14">
        <v>43588</v>
      </c>
      <c r="LA12" s="152">
        <v>931.22</v>
      </c>
      <c r="LB12" s="32" t="s">
        <v>546</v>
      </c>
      <c r="LC12" s="18">
        <v>46</v>
      </c>
      <c r="LE12" s="102"/>
      <c r="LF12" s="2"/>
      <c r="LG12" s="16">
        <v>5</v>
      </c>
      <c r="LH12" s="15">
        <v>937.1</v>
      </c>
      <c r="LI12" s="14">
        <v>43588</v>
      </c>
      <c r="LJ12" s="15">
        <v>937.1</v>
      </c>
      <c r="LK12" s="32" t="s">
        <v>544</v>
      </c>
      <c r="LL12" s="18">
        <v>46</v>
      </c>
      <c r="LN12" s="102"/>
      <c r="LO12" s="2"/>
      <c r="LP12" s="16">
        <v>5</v>
      </c>
      <c r="LQ12" s="152">
        <v>968</v>
      </c>
      <c r="LR12" s="14">
        <v>43591</v>
      </c>
      <c r="LS12" s="712">
        <v>968</v>
      </c>
      <c r="LT12" s="713" t="s">
        <v>556</v>
      </c>
      <c r="LU12" s="18">
        <v>45</v>
      </c>
      <c r="LW12" s="102"/>
      <c r="LX12" s="2"/>
      <c r="LY12" s="16">
        <v>5</v>
      </c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8"/>
      <c r="RP12" s="309"/>
      <c r="RQ12" s="310"/>
      <c r="RR12" s="311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SMITHFIELD FARMLAND</v>
      </c>
      <c r="C13" t="str">
        <f t="shared" si="9"/>
        <v>Smithfield</v>
      </c>
      <c r="D13" s="56" t="str">
        <f t="shared" si="9"/>
        <v>PED. 36406212</v>
      </c>
      <c r="E13" s="124">
        <f t="shared" si="9"/>
        <v>43564</v>
      </c>
      <c r="F13" s="58">
        <f t="shared" si="9"/>
        <v>18938.78</v>
      </c>
      <c r="G13" s="13">
        <f t="shared" si="9"/>
        <v>20</v>
      </c>
      <c r="H13" s="52">
        <f t="shared" si="9"/>
        <v>18783.22</v>
      </c>
      <c r="I13" s="6">
        <f t="shared" si="9"/>
        <v>155.55999999999767</v>
      </c>
      <c r="L13" s="2"/>
      <c r="M13" s="16">
        <v>6</v>
      </c>
      <c r="N13" s="15">
        <v>928.5</v>
      </c>
      <c r="O13" s="315">
        <v>43556</v>
      </c>
      <c r="P13" s="629">
        <v>928.5</v>
      </c>
      <c r="Q13" s="630" t="s">
        <v>365</v>
      </c>
      <c r="R13" s="316">
        <v>44</v>
      </c>
      <c r="U13" s="2"/>
      <c r="V13" s="16">
        <v>6</v>
      </c>
      <c r="W13" s="152">
        <v>906.5</v>
      </c>
      <c r="X13" s="14">
        <v>43557</v>
      </c>
      <c r="Y13" s="152">
        <v>906.5</v>
      </c>
      <c r="Z13" s="32" t="s">
        <v>367</v>
      </c>
      <c r="AA13" s="18">
        <v>44</v>
      </c>
      <c r="AD13" s="2"/>
      <c r="AE13" s="16">
        <v>6</v>
      </c>
      <c r="AF13" s="15">
        <v>983.67</v>
      </c>
      <c r="AG13" s="14">
        <v>43558</v>
      </c>
      <c r="AH13" s="15">
        <v>983.67</v>
      </c>
      <c r="AI13" s="32" t="s">
        <v>370</v>
      </c>
      <c r="AJ13" s="18">
        <v>44</v>
      </c>
      <c r="AL13" s="102"/>
      <c r="AM13" s="2"/>
      <c r="AN13" s="16">
        <v>6</v>
      </c>
      <c r="AO13" s="152">
        <v>961.61</v>
      </c>
      <c r="AP13" s="14">
        <v>43559</v>
      </c>
      <c r="AQ13" s="152">
        <v>961.61</v>
      </c>
      <c r="AR13" s="32" t="s">
        <v>379</v>
      </c>
      <c r="AS13" s="18">
        <v>44</v>
      </c>
      <c r="AV13" s="396"/>
      <c r="AW13" s="16">
        <v>6</v>
      </c>
      <c r="AX13" s="15">
        <v>885.9</v>
      </c>
      <c r="AY13" s="85">
        <v>43560</v>
      </c>
      <c r="AZ13" s="15">
        <v>885.9</v>
      </c>
      <c r="BA13" s="101" t="s">
        <v>384</v>
      </c>
      <c r="BB13" s="317">
        <v>43</v>
      </c>
      <c r="BE13" s="2"/>
      <c r="BF13" s="16">
        <v>6</v>
      </c>
      <c r="BG13" s="15">
        <v>921.09</v>
      </c>
      <c r="BH13" s="308">
        <v>43561</v>
      </c>
      <c r="BI13" s="7">
        <v>921.09</v>
      </c>
      <c r="BJ13" s="310" t="s">
        <v>391</v>
      </c>
      <c r="BK13" s="311">
        <v>43</v>
      </c>
      <c r="BN13" s="2"/>
      <c r="BO13" s="16">
        <v>6</v>
      </c>
      <c r="BP13" s="15">
        <v>951.18</v>
      </c>
      <c r="BQ13" s="308">
        <v>43560</v>
      </c>
      <c r="BR13" s="15">
        <v>951.18</v>
      </c>
      <c r="BS13" s="310" t="s">
        <v>386</v>
      </c>
      <c r="BT13" s="311">
        <v>43</v>
      </c>
      <c r="BW13" s="2"/>
      <c r="BX13" s="16">
        <v>6</v>
      </c>
      <c r="BY13" s="15">
        <v>892.2</v>
      </c>
      <c r="BZ13" s="308">
        <v>43563</v>
      </c>
      <c r="CA13" s="15">
        <v>892.2</v>
      </c>
      <c r="CB13" s="310" t="s">
        <v>394</v>
      </c>
      <c r="CC13" s="311">
        <v>40</v>
      </c>
      <c r="CF13" s="2"/>
      <c r="CG13" s="16">
        <v>6</v>
      </c>
      <c r="CH13" s="15">
        <v>903</v>
      </c>
      <c r="CI13" s="14">
        <v>43564</v>
      </c>
      <c r="CJ13" s="15">
        <v>903</v>
      </c>
      <c r="CK13" s="32" t="s">
        <v>398</v>
      </c>
      <c r="CL13" s="18">
        <v>40</v>
      </c>
      <c r="CO13" s="2"/>
      <c r="CP13" s="16">
        <v>6</v>
      </c>
      <c r="CQ13" s="15">
        <v>947.39</v>
      </c>
      <c r="CR13" s="14">
        <v>43566</v>
      </c>
      <c r="CS13" s="15">
        <v>947.39</v>
      </c>
      <c r="CT13" s="32" t="s">
        <v>408</v>
      </c>
      <c r="CU13" s="18">
        <v>39</v>
      </c>
      <c r="CX13" s="2"/>
      <c r="CY13" s="16">
        <v>6</v>
      </c>
      <c r="CZ13" s="15">
        <v>925.32</v>
      </c>
      <c r="DA13" s="308">
        <v>43565</v>
      </c>
      <c r="DB13" s="15">
        <v>925.32</v>
      </c>
      <c r="DC13" s="310" t="s">
        <v>403</v>
      </c>
      <c r="DD13" s="311">
        <v>40</v>
      </c>
      <c r="DG13" s="2"/>
      <c r="DH13" s="16">
        <v>6</v>
      </c>
      <c r="DI13" s="15">
        <v>904.9</v>
      </c>
      <c r="DJ13" s="308">
        <v>43567</v>
      </c>
      <c r="DK13" s="664">
        <v>904.9</v>
      </c>
      <c r="DL13" s="310" t="s">
        <v>412</v>
      </c>
      <c r="DM13" s="311">
        <v>39</v>
      </c>
      <c r="DP13" s="2"/>
      <c r="DQ13" s="16">
        <v>6</v>
      </c>
      <c r="DR13" s="7">
        <v>975.22</v>
      </c>
      <c r="DS13" s="47">
        <v>43568</v>
      </c>
      <c r="DT13" s="7">
        <v>975.22</v>
      </c>
      <c r="DU13" s="60" t="s">
        <v>426</v>
      </c>
      <c r="DV13" s="18">
        <v>40</v>
      </c>
      <c r="DY13" s="2"/>
      <c r="DZ13" s="16">
        <v>6</v>
      </c>
      <c r="EA13" s="7">
        <v>956.01</v>
      </c>
      <c r="EB13" s="47">
        <v>43568</v>
      </c>
      <c r="EC13" s="7">
        <v>956.01</v>
      </c>
      <c r="ED13" s="60" t="s">
        <v>418</v>
      </c>
      <c r="EE13" s="18">
        <v>39</v>
      </c>
      <c r="EH13" s="2"/>
      <c r="EI13" s="16">
        <v>6</v>
      </c>
      <c r="EJ13" s="15">
        <v>967.5</v>
      </c>
      <c r="EK13" s="14">
        <v>43568</v>
      </c>
      <c r="EL13" s="15">
        <v>967.5</v>
      </c>
      <c r="EM13" s="35" t="s">
        <v>422</v>
      </c>
      <c r="EN13" s="18">
        <v>40</v>
      </c>
      <c r="EQ13" s="2"/>
      <c r="ER13" s="16">
        <v>6</v>
      </c>
      <c r="ES13" s="15">
        <v>919.88</v>
      </c>
      <c r="ET13" s="14">
        <v>43571</v>
      </c>
      <c r="EU13" s="15">
        <v>919.88</v>
      </c>
      <c r="EV13" s="35" t="s">
        <v>429</v>
      </c>
      <c r="EW13" s="18">
        <v>40</v>
      </c>
      <c r="EZ13" s="2"/>
      <c r="FA13" s="16">
        <v>6</v>
      </c>
      <c r="FB13" s="134">
        <v>915.19</v>
      </c>
      <c r="FC13" s="119">
        <v>43571</v>
      </c>
      <c r="FD13" s="134">
        <v>915.19</v>
      </c>
      <c r="FE13" s="90" t="s">
        <v>432</v>
      </c>
      <c r="FF13" s="91">
        <v>40</v>
      </c>
      <c r="FI13" s="2"/>
      <c r="FJ13" s="16">
        <v>6</v>
      </c>
      <c r="FK13" s="7">
        <v>955.26</v>
      </c>
      <c r="FL13" s="47">
        <v>43573</v>
      </c>
      <c r="FM13" s="7">
        <v>955.26</v>
      </c>
      <c r="FN13" s="60" t="s">
        <v>452</v>
      </c>
      <c r="FO13" s="18">
        <v>40</v>
      </c>
      <c r="FR13" s="2"/>
      <c r="FS13" s="16">
        <v>6</v>
      </c>
      <c r="FT13" s="15">
        <v>914.44</v>
      </c>
      <c r="FU13" s="119">
        <v>43572</v>
      </c>
      <c r="FV13" s="134">
        <v>914.44</v>
      </c>
      <c r="FW13" s="137" t="s">
        <v>440</v>
      </c>
      <c r="FX13" s="91">
        <v>40</v>
      </c>
      <c r="GA13" s="2"/>
      <c r="GB13" s="16">
        <v>6</v>
      </c>
      <c r="GC13" s="15">
        <v>968.25</v>
      </c>
      <c r="GD13" s="14">
        <v>43572</v>
      </c>
      <c r="GE13" s="15">
        <v>968.25</v>
      </c>
      <c r="GF13" s="32" t="s">
        <v>443</v>
      </c>
      <c r="GG13" s="18">
        <v>40</v>
      </c>
      <c r="GI13"/>
      <c r="GJ13" s="2"/>
      <c r="GK13" s="16">
        <v>6</v>
      </c>
      <c r="GL13" s="15">
        <v>907.2</v>
      </c>
      <c r="GM13" s="14">
        <v>43573</v>
      </c>
      <c r="GN13" s="15">
        <v>907.2</v>
      </c>
      <c r="GO13" s="32" t="s">
        <v>450</v>
      </c>
      <c r="GP13" s="18">
        <v>40</v>
      </c>
      <c r="GS13" s="2"/>
      <c r="GT13" s="16">
        <v>6</v>
      </c>
      <c r="GU13" s="15">
        <v>913.5</v>
      </c>
      <c r="GV13" s="14">
        <v>43575</v>
      </c>
      <c r="GW13" s="15">
        <v>913.5</v>
      </c>
      <c r="GX13" s="239" t="s">
        <v>456</v>
      </c>
      <c r="GY13" s="18">
        <v>40</v>
      </c>
      <c r="HB13" s="2"/>
      <c r="HC13" s="16">
        <v>6</v>
      </c>
      <c r="HD13" s="7">
        <v>965.08</v>
      </c>
      <c r="HE13" s="47">
        <v>43578</v>
      </c>
      <c r="HF13" s="7">
        <v>965.08</v>
      </c>
      <c r="HG13" s="60" t="s">
        <v>462</v>
      </c>
      <c r="HH13" s="18">
        <v>42</v>
      </c>
      <c r="HK13" s="2"/>
      <c r="HL13" s="16">
        <v>6</v>
      </c>
      <c r="HM13" s="15">
        <v>901</v>
      </c>
      <c r="HN13" s="14">
        <v>43578</v>
      </c>
      <c r="HO13" s="15">
        <v>901</v>
      </c>
      <c r="HP13" s="419" t="s">
        <v>441</v>
      </c>
      <c r="HQ13" s="18">
        <v>42</v>
      </c>
      <c r="HR13" s="15"/>
      <c r="HS13" s="7"/>
      <c r="HT13" s="2"/>
      <c r="HU13" s="16">
        <v>6</v>
      </c>
      <c r="HV13" s="15">
        <v>974.6</v>
      </c>
      <c r="HW13" s="47">
        <v>43579</v>
      </c>
      <c r="HX13" s="15">
        <v>974.6</v>
      </c>
      <c r="HY13" s="60" t="s">
        <v>467</v>
      </c>
      <c r="HZ13" s="18">
        <v>42</v>
      </c>
      <c r="IA13" s="7"/>
      <c r="IC13" s="2"/>
      <c r="ID13" s="16">
        <v>6</v>
      </c>
      <c r="IE13" s="15">
        <v>920.79</v>
      </c>
      <c r="IF13" s="14">
        <v>43579</v>
      </c>
      <c r="IG13" s="15">
        <v>920.79</v>
      </c>
      <c r="IH13" s="35" t="s">
        <v>498</v>
      </c>
      <c r="II13" s="18">
        <v>42</v>
      </c>
      <c r="IL13" s="2"/>
      <c r="IM13" s="16">
        <v>6</v>
      </c>
      <c r="IN13" s="7">
        <v>882.2</v>
      </c>
      <c r="IO13" s="430">
        <v>43580</v>
      </c>
      <c r="IP13" s="7">
        <v>882.2</v>
      </c>
      <c r="IQ13" s="60" t="s">
        <v>503</v>
      </c>
      <c r="IR13" s="18">
        <v>42</v>
      </c>
      <c r="IU13" s="2"/>
      <c r="IV13" s="16">
        <v>6</v>
      </c>
      <c r="IW13" s="15">
        <v>890.4</v>
      </c>
      <c r="IX13" s="14">
        <v>43581</v>
      </c>
      <c r="IY13" s="15">
        <v>890.4</v>
      </c>
      <c r="IZ13" s="32" t="s">
        <v>507</v>
      </c>
      <c r="JA13" s="18">
        <v>44</v>
      </c>
      <c r="JD13" s="2"/>
      <c r="JE13" s="16">
        <v>6</v>
      </c>
      <c r="JF13" s="15">
        <v>921.2</v>
      </c>
      <c r="JG13" s="14">
        <v>43582</v>
      </c>
      <c r="JH13" s="15">
        <v>921.2</v>
      </c>
      <c r="JI13" s="32" t="s">
        <v>512</v>
      </c>
      <c r="JJ13" s="18">
        <v>44</v>
      </c>
      <c r="JM13" s="2"/>
      <c r="JN13" s="16">
        <v>6</v>
      </c>
      <c r="JO13" s="15">
        <v>899.5</v>
      </c>
      <c r="JP13" s="14">
        <v>43585</v>
      </c>
      <c r="JQ13" s="15">
        <v>899.5</v>
      </c>
      <c r="JR13" s="32" t="s">
        <v>519</v>
      </c>
      <c r="JS13" s="18">
        <v>46</v>
      </c>
      <c r="JV13" s="2"/>
      <c r="JW13" s="16">
        <v>6</v>
      </c>
      <c r="JX13" s="15">
        <v>915.65</v>
      </c>
      <c r="JY13" s="14">
        <v>43585</v>
      </c>
      <c r="JZ13" s="15">
        <v>915.65</v>
      </c>
      <c r="KA13" s="32" t="s">
        <v>522</v>
      </c>
      <c r="KB13" s="18">
        <v>45</v>
      </c>
      <c r="KE13" s="2"/>
      <c r="KF13" s="16">
        <v>6</v>
      </c>
      <c r="KG13" s="15">
        <v>949.82</v>
      </c>
      <c r="KH13" s="14">
        <v>43586</v>
      </c>
      <c r="KI13" s="15">
        <v>949.82</v>
      </c>
      <c r="KJ13" s="32" t="s">
        <v>538</v>
      </c>
      <c r="KK13" s="18">
        <v>45</v>
      </c>
      <c r="KL13" t="s">
        <v>36</v>
      </c>
      <c r="KN13" s="2"/>
      <c r="KO13" s="16">
        <v>6</v>
      </c>
      <c r="KP13" s="152">
        <v>941.04</v>
      </c>
      <c r="KQ13" s="85">
        <v>43586</v>
      </c>
      <c r="KR13" s="152">
        <v>941.04</v>
      </c>
      <c r="KS13" s="101" t="s">
        <v>540</v>
      </c>
      <c r="KT13" s="83">
        <v>45</v>
      </c>
      <c r="KW13" s="2"/>
      <c r="KX13" s="16">
        <v>6</v>
      </c>
      <c r="KY13" s="152">
        <v>956.17</v>
      </c>
      <c r="KZ13" s="14">
        <v>43588</v>
      </c>
      <c r="LA13" s="152">
        <v>956.17</v>
      </c>
      <c r="LB13" s="32" t="s">
        <v>546</v>
      </c>
      <c r="LC13" s="18">
        <v>46</v>
      </c>
      <c r="LF13" s="2"/>
      <c r="LG13" s="16">
        <v>6</v>
      </c>
      <c r="LH13" s="15">
        <v>971.6</v>
      </c>
      <c r="LI13" s="14">
        <v>43588</v>
      </c>
      <c r="LJ13" s="15">
        <v>971.6</v>
      </c>
      <c r="LK13" s="32" t="s">
        <v>544</v>
      </c>
      <c r="LL13" s="18">
        <v>46</v>
      </c>
      <c r="LN13" s="102"/>
      <c r="LO13" s="2"/>
      <c r="LP13" s="16">
        <v>6</v>
      </c>
      <c r="LQ13" s="152">
        <v>889.5</v>
      </c>
      <c r="LR13" s="14">
        <v>43591</v>
      </c>
      <c r="LS13" s="712">
        <v>889.5</v>
      </c>
      <c r="LT13" s="713" t="s">
        <v>556</v>
      </c>
      <c r="LU13" s="18">
        <v>45</v>
      </c>
      <c r="LW13" s="102"/>
      <c r="LX13" s="2"/>
      <c r="LY13" s="16">
        <v>6</v>
      </c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8"/>
      <c r="RP13" s="309"/>
      <c r="RQ13" s="310"/>
      <c r="RR13" s="311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 xml:space="preserve">TYSON FRESH MEATS </v>
      </c>
      <c r="C14" t="str">
        <f t="shared" si="10"/>
        <v xml:space="preserve">I B P </v>
      </c>
      <c r="D14" s="56" t="str">
        <f t="shared" si="10"/>
        <v>PED. 36452176</v>
      </c>
      <c r="E14" s="124">
        <f t="shared" si="10"/>
        <v>43565</v>
      </c>
      <c r="F14" s="58">
        <f t="shared" si="10"/>
        <v>18617.240000000002</v>
      </c>
      <c r="G14" s="13">
        <f t="shared" si="10"/>
        <v>20</v>
      </c>
      <c r="H14" s="52">
        <f t="shared" si="10"/>
        <v>18706.95</v>
      </c>
      <c r="I14" s="6">
        <f t="shared" si="10"/>
        <v>-89.709999999999127</v>
      </c>
      <c r="L14" s="2"/>
      <c r="M14" s="16">
        <v>7</v>
      </c>
      <c r="N14" s="15">
        <v>957.07</v>
      </c>
      <c r="O14" s="14">
        <v>43554</v>
      </c>
      <c r="P14" s="15">
        <v>957.07</v>
      </c>
      <c r="Q14" s="32" t="s">
        <v>237</v>
      </c>
      <c r="R14" s="18">
        <v>44</v>
      </c>
      <c r="S14" s="237"/>
      <c r="U14" s="2"/>
      <c r="V14" s="16">
        <v>7</v>
      </c>
      <c r="W14" s="152">
        <v>876.5</v>
      </c>
      <c r="X14" s="14">
        <v>43557</v>
      </c>
      <c r="Y14" s="152">
        <v>876.5</v>
      </c>
      <c r="Z14" s="32" t="s">
        <v>367</v>
      </c>
      <c r="AA14" s="18">
        <v>44</v>
      </c>
      <c r="AD14" s="2"/>
      <c r="AE14" s="16">
        <v>7</v>
      </c>
      <c r="AF14" s="15">
        <v>936.05</v>
      </c>
      <c r="AG14" s="14">
        <v>43558</v>
      </c>
      <c r="AH14" s="15">
        <v>936.05</v>
      </c>
      <c r="AI14" s="32" t="s">
        <v>374</v>
      </c>
      <c r="AJ14" s="18">
        <v>44</v>
      </c>
      <c r="AM14" s="2"/>
      <c r="AN14" s="16">
        <v>7</v>
      </c>
      <c r="AO14" s="152">
        <v>962.97</v>
      </c>
      <c r="AP14" s="14">
        <v>43559</v>
      </c>
      <c r="AQ14" s="152">
        <v>962.97</v>
      </c>
      <c r="AR14" s="32" t="s">
        <v>380</v>
      </c>
      <c r="AS14" s="18">
        <v>44</v>
      </c>
      <c r="AV14" s="2"/>
      <c r="AW14" s="16">
        <v>7</v>
      </c>
      <c r="AX14" s="15">
        <v>884</v>
      </c>
      <c r="AY14" s="85">
        <v>43560</v>
      </c>
      <c r="AZ14" s="15">
        <v>884</v>
      </c>
      <c r="BA14" s="101" t="s">
        <v>384</v>
      </c>
      <c r="BB14" s="317">
        <v>43</v>
      </c>
      <c r="BE14" s="2"/>
      <c r="BF14" s="16">
        <v>7</v>
      </c>
      <c r="BG14" s="15">
        <v>930.61</v>
      </c>
      <c r="BH14" s="308">
        <v>43561</v>
      </c>
      <c r="BI14" s="7">
        <v>930.61</v>
      </c>
      <c r="BJ14" s="310" t="s">
        <v>391</v>
      </c>
      <c r="BK14" s="311">
        <v>43</v>
      </c>
      <c r="BN14" s="2"/>
      <c r="BO14" s="16">
        <v>7</v>
      </c>
      <c r="BP14" s="15">
        <v>966.15</v>
      </c>
      <c r="BQ14" s="308">
        <v>43560</v>
      </c>
      <c r="BR14" s="15">
        <v>966.15</v>
      </c>
      <c r="BS14" s="310" t="s">
        <v>386</v>
      </c>
      <c r="BT14" s="311">
        <v>43</v>
      </c>
      <c r="BW14" s="2"/>
      <c r="BX14" s="16">
        <v>7</v>
      </c>
      <c r="BY14" s="15">
        <v>877.7</v>
      </c>
      <c r="BZ14" s="308">
        <v>43563</v>
      </c>
      <c r="CA14" s="15">
        <v>877.7</v>
      </c>
      <c r="CB14" s="310" t="s">
        <v>394</v>
      </c>
      <c r="CC14" s="311">
        <v>40</v>
      </c>
      <c r="CF14" s="2"/>
      <c r="CG14" s="16">
        <v>7</v>
      </c>
      <c r="CH14" s="15">
        <v>897</v>
      </c>
      <c r="CI14" s="14">
        <v>43564</v>
      </c>
      <c r="CJ14" s="15">
        <v>897</v>
      </c>
      <c r="CK14" s="32" t="s">
        <v>398</v>
      </c>
      <c r="CL14" s="18">
        <v>40</v>
      </c>
      <c r="CO14" s="2"/>
      <c r="CP14" s="16">
        <v>7</v>
      </c>
      <c r="CQ14" s="15">
        <v>953.74</v>
      </c>
      <c r="CR14" s="14">
        <v>43566</v>
      </c>
      <c r="CS14" s="15">
        <v>953.74</v>
      </c>
      <c r="CT14" s="32" t="s">
        <v>408</v>
      </c>
      <c r="CU14" s="18">
        <v>39</v>
      </c>
      <c r="CX14" s="2"/>
      <c r="CY14" s="16">
        <v>7</v>
      </c>
      <c r="CZ14" s="15">
        <v>925.32</v>
      </c>
      <c r="DA14" s="308">
        <v>43565</v>
      </c>
      <c r="DB14" s="15">
        <v>925.32</v>
      </c>
      <c r="DC14" s="310" t="s">
        <v>403</v>
      </c>
      <c r="DD14" s="311">
        <v>40</v>
      </c>
      <c r="DG14" s="2"/>
      <c r="DH14" s="16">
        <v>7</v>
      </c>
      <c r="DI14" s="15">
        <v>878.2</v>
      </c>
      <c r="DJ14" s="308">
        <v>43567</v>
      </c>
      <c r="DK14" s="664">
        <v>878.2</v>
      </c>
      <c r="DL14" s="310" t="s">
        <v>412</v>
      </c>
      <c r="DM14" s="311">
        <v>39</v>
      </c>
      <c r="DP14" s="2"/>
      <c r="DQ14" s="16">
        <v>7</v>
      </c>
      <c r="DR14" s="7">
        <v>943.01</v>
      </c>
      <c r="DS14" s="47">
        <v>43568</v>
      </c>
      <c r="DT14" s="7">
        <v>943.01</v>
      </c>
      <c r="DU14" s="60" t="s">
        <v>426</v>
      </c>
      <c r="DV14" s="18">
        <v>40</v>
      </c>
      <c r="DY14" s="2"/>
      <c r="DZ14" s="16">
        <v>7</v>
      </c>
      <c r="EA14" s="7">
        <v>943.31</v>
      </c>
      <c r="EB14" s="47">
        <v>43568</v>
      </c>
      <c r="EC14" s="7">
        <v>943.31</v>
      </c>
      <c r="ED14" s="60" t="s">
        <v>418</v>
      </c>
      <c r="EE14" s="18">
        <v>39</v>
      </c>
      <c r="EH14" s="2"/>
      <c r="EI14" s="16">
        <v>7</v>
      </c>
      <c r="EJ14" s="15">
        <v>906.7</v>
      </c>
      <c r="EK14" s="14">
        <v>43568</v>
      </c>
      <c r="EL14" s="15">
        <v>906.7</v>
      </c>
      <c r="EM14" s="35" t="s">
        <v>422</v>
      </c>
      <c r="EN14" s="18">
        <v>40</v>
      </c>
      <c r="EQ14" s="2"/>
      <c r="ER14" s="16">
        <v>7</v>
      </c>
      <c r="ES14" s="15">
        <v>966.6</v>
      </c>
      <c r="ET14" s="14">
        <v>43571</v>
      </c>
      <c r="EU14" s="15">
        <v>966.6</v>
      </c>
      <c r="EV14" s="35" t="s">
        <v>429</v>
      </c>
      <c r="EW14" s="18">
        <v>40</v>
      </c>
      <c r="EZ14" s="2"/>
      <c r="FA14" s="16">
        <v>7</v>
      </c>
      <c r="FB14" s="134">
        <v>927.89</v>
      </c>
      <c r="FC14" s="119">
        <v>43571</v>
      </c>
      <c r="FD14" s="134">
        <v>927.89</v>
      </c>
      <c r="FE14" s="90" t="s">
        <v>432</v>
      </c>
      <c r="FF14" s="91">
        <v>40</v>
      </c>
      <c r="FI14" s="2"/>
      <c r="FJ14" s="16">
        <v>7</v>
      </c>
      <c r="FK14" s="7">
        <v>937.12</v>
      </c>
      <c r="FL14" s="47">
        <v>43573</v>
      </c>
      <c r="FM14" s="7">
        <v>937.12</v>
      </c>
      <c r="FN14" s="60" t="s">
        <v>452</v>
      </c>
      <c r="FO14" s="18">
        <v>40</v>
      </c>
      <c r="FR14" s="2"/>
      <c r="FS14" s="16">
        <v>7</v>
      </c>
      <c r="FT14" s="15">
        <v>954.35</v>
      </c>
      <c r="FU14" s="119">
        <v>43572</v>
      </c>
      <c r="FV14" s="134">
        <v>954.35</v>
      </c>
      <c r="FW14" s="137" t="s">
        <v>440</v>
      </c>
      <c r="FX14" s="91">
        <v>40</v>
      </c>
      <c r="GA14" s="2"/>
      <c r="GB14" s="16">
        <v>7</v>
      </c>
      <c r="GC14" s="15">
        <v>971.43</v>
      </c>
      <c r="GD14" s="14">
        <v>43572</v>
      </c>
      <c r="GE14" s="15">
        <v>971.43</v>
      </c>
      <c r="GF14" s="32" t="s">
        <v>443</v>
      </c>
      <c r="GG14" s="18">
        <v>40</v>
      </c>
      <c r="GI14"/>
      <c r="GJ14" s="2"/>
      <c r="GK14" s="16">
        <v>7</v>
      </c>
      <c r="GL14" s="15">
        <v>890.4</v>
      </c>
      <c r="GM14" s="14">
        <v>43573</v>
      </c>
      <c r="GN14" s="15">
        <v>890.4</v>
      </c>
      <c r="GO14" s="32" t="s">
        <v>450</v>
      </c>
      <c r="GP14" s="18">
        <v>40</v>
      </c>
      <c r="GS14" s="2"/>
      <c r="GT14" s="16">
        <v>7</v>
      </c>
      <c r="GU14" s="15">
        <v>928.5</v>
      </c>
      <c r="GV14" s="14">
        <v>43575</v>
      </c>
      <c r="GW14" s="15">
        <v>928.5</v>
      </c>
      <c r="GX14" s="239" t="s">
        <v>456</v>
      </c>
      <c r="GY14" s="18">
        <v>40</v>
      </c>
      <c r="HB14" s="2"/>
      <c r="HC14" s="16">
        <v>7</v>
      </c>
      <c r="HD14" s="7">
        <v>972.34</v>
      </c>
      <c r="HE14" s="47">
        <v>43578</v>
      </c>
      <c r="HF14" s="7">
        <v>972.34</v>
      </c>
      <c r="HG14" s="60" t="s">
        <v>462</v>
      </c>
      <c r="HH14" s="18">
        <v>42</v>
      </c>
      <c r="HK14" s="2"/>
      <c r="HL14" s="16">
        <v>7</v>
      </c>
      <c r="HM14" s="15">
        <v>894</v>
      </c>
      <c r="HN14" s="14">
        <v>43578</v>
      </c>
      <c r="HO14" s="15">
        <v>894</v>
      </c>
      <c r="HP14" s="419" t="s">
        <v>441</v>
      </c>
      <c r="HQ14" s="18">
        <v>42</v>
      </c>
      <c r="HR14" s="15"/>
      <c r="HS14" s="7"/>
      <c r="HT14" s="2"/>
      <c r="HU14" s="16">
        <v>7</v>
      </c>
      <c r="HV14" s="15">
        <v>941.5</v>
      </c>
      <c r="HW14" s="47">
        <v>43579</v>
      </c>
      <c r="HX14" s="15">
        <v>941.5</v>
      </c>
      <c r="HY14" s="60" t="s">
        <v>467</v>
      </c>
      <c r="HZ14" s="18">
        <v>42</v>
      </c>
      <c r="IA14" s="7"/>
      <c r="IC14" s="2"/>
      <c r="ID14" s="16">
        <v>7</v>
      </c>
      <c r="IE14" s="15">
        <v>932.58</v>
      </c>
      <c r="IF14" s="14">
        <v>43579</v>
      </c>
      <c r="IG14" s="15">
        <v>932.58</v>
      </c>
      <c r="IH14" s="35" t="s">
        <v>498</v>
      </c>
      <c r="II14" s="18">
        <v>42</v>
      </c>
      <c r="IL14" s="2"/>
      <c r="IM14" s="16">
        <v>7</v>
      </c>
      <c r="IN14" s="7">
        <v>920.8</v>
      </c>
      <c r="IO14" s="430">
        <v>43580</v>
      </c>
      <c r="IP14" s="7">
        <v>920.8</v>
      </c>
      <c r="IQ14" s="60" t="s">
        <v>503</v>
      </c>
      <c r="IR14" s="18">
        <v>42</v>
      </c>
      <c r="IU14" s="2"/>
      <c r="IV14" s="16">
        <v>7</v>
      </c>
      <c r="IW14" s="15">
        <v>926.23</v>
      </c>
      <c r="IX14" s="14">
        <v>43581</v>
      </c>
      <c r="IY14" s="15">
        <v>926.23</v>
      </c>
      <c r="IZ14" s="32" t="s">
        <v>507</v>
      </c>
      <c r="JA14" s="18">
        <v>44</v>
      </c>
      <c r="JD14" s="2"/>
      <c r="JE14" s="16">
        <v>7</v>
      </c>
      <c r="JF14" s="15">
        <v>867.7</v>
      </c>
      <c r="JG14" s="14">
        <v>43582</v>
      </c>
      <c r="JH14" s="15">
        <v>867.7</v>
      </c>
      <c r="JI14" s="32" t="s">
        <v>512</v>
      </c>
      <c r="JJ14" s="18">
        <v>44</v>
      </c>
      <c r="JM14" s="2"/>
      <c r="JN14" s="16">
        <v>7</v>
      </c>
      <c r="JO14" s="15">
        <v>898</v>
      </c>
      <c r="JP14" s="14">
        <v>43585</v>
      </c>
      <c r="JQ14" s="15">
        <v>898</v>
      </c>
      <c r="JR14" s="32" t="s">
        <v>519</v>
      </c>
      <c r="JS14" s="18">
        <v>46</v>
      </c>
      <c r="JV14" s="2"/>
      <c r="JW14" s="16">
        <v>7</v>
      </c>
      <c r="JX14" s="15">
        <v>925.17</v>
      </c>
      <c r="JY14" s="14">
        <v>43585</v>
      </c>
      <c r="JZ14" s="15">
        <v>925.17</v>
      </c>
      <c r="KA14" s="32" t="s">
        <v>522</v>
      </c>
      <c r="KB14" s="18">
        <v>45</v>
      </c>
      <c r="KE14" s="2"/>
      <c r="KF14" s="16">
        <v>7</v>
      </c>
      <c r="KG14" s="15">
        <v>959.8</v>
      </c>
      <c r="KH14" s="14">
        <v>43586</v>
      </c>
      <c r="KI14" s="15">
        <v>959.8</v>
      </c>
      <c r="KJ14" s="32" t="s">
        <v>538</v>
      </c>
      <c r="KK14" s="18">
        <v>45</v>
      </c>
      <c r="KN14" s="2"/>
      <c r="KO14" s="16">
        <v>7</v>
      </c>
      <c r="KP14" s="152">
        <v>946.03</v>
      </c>
      <c r="KQ14" s="85">
        <v>43586</v>
      </c>
      <c r="KR14" s="152">
        <v>946.03</v>
      </c>
      <c r="KS14" s="101" t="s">
        <v>540</v>
      </c>
      <c r="KT14" s="83">
        <v>45</v>
      </c>
      <c r="KU14" s="237"/>
      <c r="KW14" s="2"/>
      <c r="KX14" s="16">
        <v>7</v>
      </c>
      <c r="KY14" s="152">
        <v>958.44</v>
      </c>
      <c r="KZ14" s="14">
        <v>43588</v>
      </c>
      <c r="LA14" s="152">
        <v>958.44</v>
      </c>
      <c r="LB14" s="32" t="s">
        <v>546</v>
      </c>
      <c r="LC14" s="18">
        <v>46</v>
      </c>
      <c r="LF14" s="2"/>
      <c r="LG14" s="16">
        <v>7</v>
      </c>
      <c r="LH14" s="15">
        <v>890.4</v>
      </c>
      <c r="LI14" s="14">
        <v>43588</v>
      </c>
      <c r="LJ14" s="15">
        <v>890.4</v>
      </c>
      <c r="LK14" s="32" t="s">
        <v>544</v>
      </c>
      <c r="LL14" s="18">
        <v>46</v>
      </c>
      <c r="LO14" s="2"/>
      <c r="LP14" s="16">
        <v>7</v>
      </c>
      <c r="LQ14" s="152">
        <v>928</v>
      </c>
      <c r="LR14" s="14">
        <v>43591</v>
      </c>
      <c r="LS14" s="712">
        <v>928</v>
      </c>
      <c r="LT14" s="713" t="s">
        <v>556</v>
      </c>
      <c r="LU14" s="18">
        <v>45</v>
      </c>
      <c r="LX14" s="2"/>
      <c r="LY14" s="16">
        <v>7</v>
      </c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8"/>
      <c r="RP14" s="309"/>
      <c r="RQ14" s="310"/>
      <c r="RR14" s="311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SEABOARD FOODS</v>
      </c>
      <c r="C15" t="str">
        <f t="shared" si="11"/>
        <v>Seaboard</v>
      </c>
      <c r="D15" s="56" t="str">
        <f t="shared" si="11"/>
        <v>PED. 36492290</v>
      </c>
      <c r="E15" s="124">
        <f t="shared" si="11"/>
        <v>43566</v>
      </c>
      <c r="F15" s="58">
        <f t="shared" si="11"/>
        <v>19138.349999999999</v>
      </c>
      <c r="G15" s="13">
        <f t="shared" si="11"/>
        <v>21</v>
      </c>
      <c r="H15" s="52">
        <f t="shared" si="11"/>
        <v>19209.3</v>
      </c>
      <c r="I15" s="6">
        <f t="shared" si="11"/>
        <v>-70.950000000000728</v>
      </c>
      <c r="L15" s="2"/>
      <c r="M15" s="16">
        <v>8</v>
      </c>
      <c r="N15" s="15">
        <v>912.17</v>
      </c>
      <c r="O15" s="14">
        <v>43554</v>
      </c>
      <c r="P15" s="15">
        <v>912.17</v>
      </c>
      <c r="Q15" s="32" t="s">
        <v>237</v>
      </c>
      <c r="R15" s="18">
        <v>44</v>
      </c>
      <c r="S15" s="237"/>
      <c r="U15" s="2"/>
      <c r="V15" s="16">
        <v>8</v>
      </c>
      <c r="W15" s="152">
        <v>901.5</v>
      </c>
      <c r="X15" s="14">
        <v>43557</v>
      </c>
      <c r="Y15" s="152">
        <v>901.5</v>
      </c>
      <c r="Z15" s="32" t="s">
        <v>367</v>
      </c>
      <c r="AA15" s="18">
        <v>44</v>
      </c>
      <c r="AD15" s="2"/>
      <c r="AE15" s="16">
        <v>8</v>
      </c>
      <c r="AF15" s="15">
        <v>992.29</v>
      </c>
      <c r="AG15" s="14">
        <v>43558</v>
      </c>
      <c r="AH15" s="15">
        <v>992.29</v>
      </c>
      <c r="AI15" s="32" t="s">
        <v>374</v>
      </c>
      <c r="AJ15" s="18">
        <v>44</v>
      </c>
      <c r="AM15" s="2"/>
      <c r="AN15" s="16">
        <v>8</v>
      </c>
      <c r="AO15" s="152">
        <v>947.1</v>
      </c>
      <c r="AP15" s="14">
        <v>43559</v>
      </c>
      <c r="AQ15" s="152">
        <v>947.1</v>
      </c>
      <c r="AR15" s="32" t="s">
        <v>379</v>
      </c>
      <c r="AS15" s="18">
        <v>44</v>
      </c>
      <c r="AV15" s="2"/>
      <c r="AW15" s="16">
        <v>8</v>
      </c>
      <c r="AX15" s="15">
        <v>933</v>
      </c>
      <c r="AY15" s="85">
        <v>43560</v>
      </c>
      <c r="AZ15" s="15">
        <v>933</v>
      </c>
      <c r="BA15" s="101" t="s">
        <v>384</v>
      </c>
      <c r="BB15" s="317">
        <v>43</v>
      </c>
      <c r="BE15" s="2"/>
      <c r="BF15" s="16">
        <v>8</v>
      </c>
      <c r="BG15" s="15">
        <v>948.75</v>
      </c>
      <c r="BH15" s="308">
        <v>43561</v>
      </c>
      <c r="BI15" s="7">
        <v>948.75</v>
      </c>
      <c r="BJ15" s="310" t="s">
        <v>391</v>
      </c>
      <c r="BK15" s="311">
        <v>43</v>
      </c>
      <c r="BN15" s="2"/>
      <c r="BO15" s="16">
        <v>8</v>
      </c>
      <c r="BP15" s="15">
        <v>961.61</v>
      </c>
      <c r="BQ15" s="308">
        <v>43560</v>
      </c>
      <c r="BR15" s="15">
        <v>961.61</v>
      </c>
      <c r="BS15" s="310" t="s">
        <v>386</v>
      </c>
      <c r="BT15" s="311">
        <v>43</v>
      </c>
      <c r="BW15" s="2"/>
      <c r="BX15" s="16">
        <v>8</v>
      </c>
      <c r="BY15" s="15">
        <v>929.4</v>
      </c>
      <c r="BZ15" s="308">
        <v>43563</v>
      </c>
      <c r="CA15" s="15">
        <v>929.4</v>
      </c>
      <c r="CB15" s="310" t="s">
        <v>394</v>
      </c>
      <c r="CC15" s="311">
        <v>40</v>
      </c>
      <c r="CF15" s="2"/>
      <c r="CG15" s="16">
        <v>8</v>
      </c>
      <c r="CH15" s="15">
        <v>892</v>
      </c>
      <c r="CI15" s="14">
        <v>43564</v>
      </c>
      <c r="CJ15" s="15">
        <v>892</v>
      </c>
      <c r="CK15" s="32" t="s">
        <v>398</v>
      </c>
      <c r="CL15" s="18">
        <v>40</v>
      </c>
      <c r="CO15" s="2"/>
      <c r="CP15" s="16">
        <v>8</v>
      </c>
      <c r="CQ15" s="15">
        <v>917.01</v>
      </c>
      <c r="CR15" s="14">
        <v>43566</v>
      </c>
      <c r="CS15" s="15">
        <v>917.01</v>
      </c>
      <c r="CT15" s="32" t="s">
        <v>408</v>
      </c>
      <c r="CU15" s="18">
        <v>39</v>
      </c>
      <c r="CX15" s="2"/>
      <c r="CY15" s="16">
        <v>8</v>
      </c>
      <c r="CZ15" s="15">
        <v>939.84</v>
      </c>
      <c r="DA15" s="308">
        <v>43565</v>
      </c>
      <c r="DB15" s="15">
        <v>939.84</v>
      </c>
      <c r="DC15" s="310" t="s">
        <v>403</v>
      </c>
      <c r="DD15" s="311">
        <v>40</v>
      </c>
      <c r="DG15" s="2"/>
      <c r="DH15" s="16">
        <v>8</v>
      </c>
      <c r="DI15" s="15">
        <v>914.9</v>
      </c>
      <c r="DJ15" s="308">
        <v>43567</v>
      </c>
      <c r="DK15" s="664">
        <v>914.9</v>
      </c>
      <c r="DL15" s="310" t="s">
        <v>412</v>
      </c>
      <c r="DM15" s="311">
        <v>39</v>
      </c>
      <c r="DP15" s="2"/>
      <c r="DQ15" s="16">
        <v>8</v>
      </c>
      <c r="DR15" s="7">
        <v>905.82</v>
      </c>
      <c r="DS15" s="47">
        <v>43568</v>
      </c>
      <c r="DT15" s="7">
        <v>905.82</v>
      </c>
      <c r="DU15" s="60" t="s">
        <v>426</v>
      </c>
      <c r="DV15" s="18">
        <v>40</v>
      </c>
      <c r="DY15" s="2"/>
      <c r="DZ15" s="16">
        <v>8</v>
      </c>
      <c r="EA15" s="7">
        <v>930.61</v>
      </c>
      <c r="EB15" s="47">
        <v>43568</v>
      </c>
      <c r="EC15" s="7">
        <v>930.61</v>
      </c>
      <c r="ED15" s="60" t="s">
        <v>418</v>
      </c>
      <c r="EE15" s="18">
        <v>39</v>
      </c>
      <c r="EH15" s="2"/>
      <c r="EI15" s="16">
        <v>8</v>
      </c>
      <c r="EJ15" s="15">
        <v>892.2</v>
      </c>
      <c r="EK15" s="14">
        <v>43568</v>
      </c>
      <c r="EL15" s="15">
        <v>892.2</v>
      </c>
      <c r="EM15" s="35" t="s">
        <v>422</v>
      </c>
      <c r="EN15" s="18">
        <v>40</v>
      </c>
      <c r="EQ15" s="2"/>
      <c r="ER15" s="16">
        <v>8</v>
      </c>
      <c r="ES15" s="15">
        <v>937.12</v>
      </c>
      <c r="ET15" s="14">
        <v>43571</v>
      </c>
      <c r="EU15" s="15">
        <v>937.12</v>
      </c>
      <c r="EV15" s="35" t="s">
        <v>429</v>
      </c>
      <c r="EW15" s="18">
        <v>40</v>
      </c>
      <c r="EZ15" s="2"/>
      <c r="FA15" s="16">
        <v>8</v>
      </c>
      <c r="FB15" s="134">
        <v>956.92</v>
      </c>
      <c r="FC15" s="119">
        <v>43571</v>
      </c>
      <c r="FD15" s="134">
        <v>956.92</v>
      </c>
      <c r="FE15" s="90" t="s">
        <v>432</v>
      </c>
      <c r="FF15" s="91">
        <v>40</v>
      </c>
      <c r="FI15" s="2"/>
      <c r="FJ15" s="16">
        <v>8</v>
      </c>
      <c r="FK15" s="7">
        <v>925.32</v>
      </c>
      <c r="FL15" s="47">
        <v>43573</v>
      </c>
      <c r="FM15" s="7">
        <v>925.32</v>
      </c>
      <c r="FN15" s="60" t="s">
        <v>452</v>
      </c>
      <c r="FO15" s="18">
        <v>40</v>
      </c>
      <c r="FR15" s="2"/>
      <c r="FS15" s="16">
        <v>8</v>
      </c>
      <c r="FT15" s="15">
        <v>931.67</v>
      </c>
      <c r="FU15" s="119">
        <v>43572</v>
      </c>
      <c r="FV15" s="134">
        <v>931.67</v>
      </c>
      <c r="FW15" s="137" t="s">
        <v>440</v>
      </c>
      <c r="FX15" s="91">
        <v>40</v>
      </c>
      <c r="GA15" s="2"/>
      <c r="GB15" s="16">
        <v>8</v>
      </c>
      <c r="GC15" s="15">
        <v>917.46</v>
      </c>
      <c r="GD15" s="14">
        <v>43572</v>
      </c>
      <c r="GE15" s="15">
        <v>917.46</v>
      </c>
      <c r="GF15" s="32" t="s">
        <v>443</v>
      </c>
      <c r="GG15" s="18">
        <v>40</v>
      </c>
      <c r="GI15"/>
      <c r="GJ15" s="2"/>
      <c r="GK15" s="16">
        <v>8</v>
      </c>
      <c r="GL15" s="15">
        <v>908.1</v>
      </c>
      <c r="GM15" s="14">
        <v>43573</v>
      </c>
      <c r="GN15" s="15">
        <v>908.1</v>
      </c>
      <c r="GO15" s="32" t="s">
        <v>450</v>
      </c>
      <c r="GP15" s="18">
        <v>40</v>
      </c>
      <c r="GS15" s="2"/>
      <c r="GT15" s="16">
        <v>8</v>
      </c>
      <c r="GU15" s="15">
        <v>872.3</v>
      </c>
      <c r="GV15" s="14">
        <v>43575</v>
      </c>
      <c r="GW15" s="15">
        <v>872.3</v>
      </c>
      <c r="GX15" s="239" t="s">
        <v>456</v>
      </c>
      <c r="GY15" s="18">
        <v>40</v>
      </c>
      <c r="HB15" s="2"/>
      <c r="HC15" s="16">
        <v>8</v>
      </c>
      <c r="HD15" s="7">
        <v>978.68</v>
      </c>
      <c r="HE15" s="47">
        <v>43578</v>
      </c>
      <c r="HF15" s="7">
        <v>978.68</v>
      </c>
      <c r="HG15" s="60" t="s">
        <v>462</v>
      </c>
      <c r="HH15" s="18">
        <v>42</v>
      </c>
      <c r="HK15" s="2"/>
      <c r="HL15" s="16">
        <v>8</v>
      </c>
      <c r="HM15" s="15">
        <v>880.5</v>
      </c>
      <c r="HN15" s="14">
        <v>43578</v>
      </c>
      <c r="HO15" s="15">
        <v>880.5</v>
      </c>
      <c r="HP15" s="419" t="s">
        <v>441</v>
      </c>
      <c r="HQ15" s="18">
        <v>42</v>
      </c>
      <c r="HR15" s="15"/>
      <c r="HS15" s="7"/>
      <c r="HT15" s="2"/>
      <c r="HU15" s="16">
        <v>8</v>
      </c>
      <c r="HV15" s="15">
        <v>951.47</v>
      </c>
      <c r="HW15" s="47">
        <v>43579</v>
      </c>
      <c r="HX15" s="15">
        <v>951.47</v>
      </c>
      <c r="HY15" s="60" t="s">
        <v>467</v>
      </c>
      <c r="HZ15" s="18">
        <v>42</v>
      </c>
      <c r="IA15" s="7"/>
      <c r="IC15" s="2"/>
      <c r="ID15" s="16">
        <v>8</v>
      </c>
      <c r="IE15" s="15">
        <v>918.52</v>
      </c>
      <c r="IF15" s="14">
        <v>43579</v>
      </c>
      <c r="IG15" s="15">
        <v>918.52</v>
      </c>
      <c r="IH15" s="35" t="s">
        <v>498</v>
      </c>
      <c r="II15" s="18">
        <v>42</v>
      </c>
      <c r="IL15" s="2"/>
      <c r="IM15" s="16">
        <v>8</v>
      </c>
      <c r="IN15" s="7">
        <v>890.9</v>
      </c>
      <c r="IO15" s="430">
        <v>43580</v>
      </c>
      <c r="IP15" s="7">
        <v>890.9</v>
      </c>
      <c r="IQ15" s="60" t="s">
        <v>503</v>
      </c>
      <c r="IR15" s="18">
        <v>42</v>
      </c>
      <c r="IU15" s="2"/>
      <c r="IV15" s="16">
        <v>8</v>
      </c>
      <c r="IW15" s="15">
        <v>922.6</v>
      </c>
      <c r="IX15" s="14">
        <v>43581</v>
      </c>
      <c r="IY15" s="15">
        <v>922.6</v>
      </c>
      <c r="IZ15" s="32" t="s">
        <v>507</v>
      </c>
      <c r="JA15" s="18">
        <v>44</v>
      </c>
      <c r="JD15" s="2"/>
      <c r="JE15" s="16">
        <v>8</v>
      </c>
      <c r="JF15" s="15">
        <v>864.1</v>
      </c>
      <c r="JG15" s="14">
        <v>43582</v>
      </c>
      <c r="JH15" s="15">
        <v>864.1</v>
      </c>
      <c r="JI15" s="32" t="s">
        <v>512</v>
      </c>
      <c r="JJ15" s="18">
        <v>44</v>
      </c>
      <c r="JM15" s="2"/>
      <c r="JN15" s="16">
        <v>8</v>
      </c>
      <c r="JO15" s="15">
        <v>896.5</v>
      </c>
      <c r="JP15" s="14">
        <v>43585</v>
      </c>
      <c r="JQ15" s="15">
        <v>896.5</v>
      </c>
      <c r="JR15" s="32" t="s">
        <v>519</v>
      </c>
      <c r="JS15" s="18">
        <v>46</v>
      </c>
      <c r="JV15" s="2"/>
      <c r="JW15" s="16">
        <v>8</v>
      </c>
      <c r="JX15" s="15">
        <v>970.07</v>
      </c>
      <c r="JY15" s="14">
        <v>43585</v>
      </c>
      <c r="JZ15" s="15">
        <v>970.07</v>
      </c>
      <c r="KA15" s="32" t="s">
        <v>522</v>
      </c>
      <c r="KB15" s="18">
        <v>45</v>
      </c>
      <c r="KE15" s="2"/>
      <c r="KF15" s="16">
        <v>8</v>
      </c>
      <c r="KG15" s="15">
        <v>947.55</v>
      </c>
      <c r="KH15" s="14">
        <v>43586</v>
      </c>
      <c r="KI15" s="15">
        <v>947.55</v>
      </c>
      <c r="KJ15" s="32" t="s">
        <v>538</v>
      </c>
      <c r="KK15" s="18">
        <v>45</v>
      </c>
      <c r="KN15" s="2"/>
      <c r="KO15" s="16">
        <v>8</v>
      </c>
      <c r="KP15" s="152">
        <v>928.12</v>
      </c>
      <c r="KQ15" s="85">
        <v>43586</v>
      </c>
      <c r="KR15" s="152">
        <v>928.12</v>
      </c>
      <c r="KS15" s="101" t="s">
        <v>540</v>
      </c>
      <c r="KT15" s="83">
        <v>45</v>
      </c>
      <c r="KU15" s="237"/>
      <c r="KW15" s="2"/>
      <c r="KX15" s="16">
        <v>8</v>
      </c>
      <c r="KY15" s="152">
        <v>913.53</v>
      </c>
      <c r="KZ15" s="14">
        <v>43588</v>
      </c>
      <c r="LA15" s="152">
        <v>913.53</v>
      </c>
      <c r="LB15" s="32" t="s">
        <v>546</v>
      </c>
      <c r="LC15" s="18">
        <v>46</v>
      </c>
      <c r="LF15" s="2"/>
      <c r="LG15" s="16">
        <v>8</v>
      </c>
      <c r="LH15" s="15">
        <v>919</v>
      </c>
      <c r="LI15" s="14">
        <v>43588</v>
      </c>
      <c r="LJ15" s="15">
        <v>919</v>
      </c>
      <c r="LK15" s="32" t="s">
        <v>544</v>
      </c>
      <c r="LL15" s="18">
        <v>46</v>
      </c>
      <c r="LO15" s="2"/>
      <c r="LP15" s="16">
        <v>8</v>
      </c>
      <c r="LQ15" s="152">
        <v>899.5</v>
      </c>
      <c r="LR15" s="14">
        <v>43591</v>
      </c>
      <c r="LS15" s="712">
        <v>899.5</v>
      </c>
      <c r="LT15" s="713" t="s">
        <v>556</v>
      </c>
      <c r="LU15" s="18">
        <v>45</v>
      </c>
      <c r="LX15" s="2"/>
      <c r="LY15" s="16">
        <v>8</v>
      </c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8"/>
      <c r="RP15" s="309"/>
      <c r="RQ15" s="310"/>
      <c r="RR15" s="311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TYSON FRESH MEATS</v>
      </c>
      <c r="C16" t="str">
        <f t="shared" si="12"/>
        <v xml:space="preserve">I B P </v>
      </c>
      <c r="D16" s="56" t="str">
        <f t="shared" si="12"/>
        <v>PED. 36560196</v>
      </c>
      <c r="E16" s="124">
        <f t="shared" si="12"/>
        <v>43567</v>
      </c>
      <c r="F16" s="58">
        <f t="shared" si="12"/>
        <v>18472.95</v>
      </c>
      <c r="G16" s="13">
        <f t="shared" si="12"/>
        <v>20</v>
      </c>
      <c r="H16" s="52">
        <f t="shared" si="12"/>
        <v>18584.95</v>
      </c>
      <c r="I16" s="6">
        <f t="shared" si="12"/>
        <v>-112</v>
      </c>
      <c r="L16" s="2"/>
      <c r="M16" s="16">
        <v>9</v>
      </c>
      <c r="N16" s="15">
        <v>952.09</v>
      </c>
      <c r="O16" s="315">
        <v>43557</v>
      </c>
      <c r="P16" s="629">
        <v>952.09</v>
      </c>
      <c r="Q16" s="630" t="s">
        <v>363</v>
      </c>
      <c r="R16" s="316">
        <v>44</v>
      </c>
      <c r="S16" s="237"/>
      <c r="U16" s="2"/>
      <c r="V16" s="16">
        <v>9</v>
      </c>
      <c r="W16" s="152">
        <v>897</v>
      </c>
      <c r="X16" s="14">
        <v>43557</v>
      </c>
      <c r="Y16" s="152">
        <v>897</v>
      </c>
      <c r="Z16" s="32" t="s">
        <v>367</v>
      </c>
      <c r="AA16" s="18">
        <v>44</v>
      </c>
      <c r="AD16" s="2"/>
      <c r="AE16" s="16">
        <v>9</v>
      </c>
      <c r="AF16" s="15">
        <v>985.94</v>
      </c>
      <c r="AG16" s="14">
        <v>43558</v>
      </c>
      <c r="AH16" s="15">
        <v>985.94</v>
      </c>
      <c r="AI16" s="32" t="s">
        <v>374</v>
      </c>
      <c r="AJ16" s="18">
        <v>44</v>
      </c>
      <c r="AM16" s="2"/>
      <c r="AN16" s="16">
        <v>9</v>
      </c>
      <c r="AO16" s="152">
        <v>930.77</v>
      </c>
      <c r="AP16" s="14">
        <v>43559</v>
      </c>
      <c r="AQ16" s="152">
        <v>930.77</v>
      </c>
      <c r="AR16" s="32" t="s">
        <v>378</v>
      </c>
      <c r="AS16" s="18">
        <v>44</v>
      </c>
      <c r="AV16" s="2"/>
      <c r="AW16" s="16">
        <v>9</v>
      </c>
      <c r="AX16" s="15">
        <v>892.2</v>
      </c>
      <c r="AY16" s="85">
        <v>43560</v>
      </c>
      <c r="AZ16" s="15">
        <v>892.2</v>
      </c>
      <c r="BA16" s="101" t="s">
        <v>384</v>
      </c>
      <c r="BB16" s="317">
        <v>43</v>
      </c>
      <c r="BE16" s="2"/>
      <c r="BF16" s="16">
        <v>9</v>
      </c>
      <c r="BG16" s="15">
        <v>915.19</v>
      </c>
      <c r="BH16" s="308">
        <v>43561</v>
      </c>
      <c r="BI16" s="7">
        <v>915.19</v>
      </c>
      <c r="BJ16" s="310" t="s">
        <v>391</v>
      </c>
      <c r="BK16" s="311">
        <v>43</v>
      </c>
      <c r="BN16" s="2"/>
      <c r="BO16" s="16">
        <v>9</v>
      </c>
      <c r="BP16" s="15">
        <v>969.32</v>
      </c>
      <c r="BQ16" s="308">
        <v>43560</v>
      </c>
      <c r="BR16" s="15">
        <v>969.32</v>
      </c>
      <c r="BS16" s="310" t="s">
        <v>386</v>
      </c>
      <c r="BT16" s="311">
        <v>43</v>
      </c>
      <c r="BW16" s="2"/>
      <c r="BX16" s="16">
        <v>9</v>
      </c>
      <c r="BY16" s="15">
        <v>936.7</v>
      </c>
      <c r="BZ16" s="308">
        <v>43563</v>
      </c>
      <c r="CA16" s="15">
        <v>936.7</v>
      </c>
      <c r="CB16" s="310" t="s">
        <v>396</v>
      </c>
      <c r="CC16" s="311">
        <v>40</v>
      </c>
      <c r="CF16" s="2"/>
      <c r="CG16" s="16">
        <v>9</v>
      </c>
      <c r="CH16" s="15">
        <v>902</v>
      </c>
      <c r="CI16" s="14">
        <v>43564</v>
      </c>
      <c r="CJ16" s="15">
        <v>902</v>
      </c>
      <c r="CK16" s="32" t="s">
        <v>398</v>
      </c>
      <c r="CL16" s="18">
        <v>40</v>
      </c>
      <c r="CO16" s="2"/>
      <c r="CP16" s="16">
        <v>9</v>
      </c>
      <c r="CQ16" s="15">
        <v>961</v>
      </c>
      <c r="CR16" s="14">
        <v>43566</v>
      </c>
      <c r="CS16" s="15">
        <v>961</v>
      </c>
      <c r="CT16" s="32" t="s">
        <v>408</v>
      </c>
      <c r="CU16" s="18">
        <v>39</v>
      </c>
      <c r="CX16" s="2"/>
      <c r="CY16" s="16">
        <v>9</v>
      </c>
      <c r="CZ16" s="15">
        <v>946.64</v>
      </c>
      <c r="DA16" s="308">
        <v>43565</v>
      </c>
      <c r="DB16" s="15">
        <v>946.64</v>
      </c>
      <c r="DC16" s="310" t="s">
        <v>403</v>
      </c>
      <c r="DD16" s="311">
        <v>40</v>
      </c>
      <c r="DG16" s="2"/>
      <c r="DH16" s="16">
        <v>9</v>
      </c>
      <c r="DI16" s="15">
        <v>929.9</v>
      </c>
      <c r="DJ16" s="308">
        <v>43567</v>
      </c>
      <c r="DK16" s="664">
        <v>929.9</v>
      </c>
      <c r="DL16" s="310" t="s">
        <v>412</v>
      </c>
      <c r="DM16" s="311">
        <v>39</v>
      </c>
      <c r="DP16" s="2"/>
      <c r="DQ16" s="16">
        <v>9</v>
      </c>
      <c r="DR16" s="7">
        <v>929.41</v>
      </c>
      <c r="DS16" s="47">
        <v>43568</v>
      </c>
      <c r="DT16" s="7">
        <v>929.41</v>
      </c>
      <c r="DU16" s="60" t="s">
        <v>426</v>
      </c>
      <c r="DV16" s="18">
        <v>40</v>
      </c>
      <c r="DY16" s="2"/>
      <c r="DZ16" s="16">
        <v>9</v>
      </c>
      <c r="EA16" s="7">
        <v>970.52</v>
      </c>
      <c r="EB16" s="47">
        <v>43568</v>
      </c>
      <c r="EC16" s="7">
        <v>970.52</v>
      </c>
      <c r="ED16" s="60" t="s">
        <v>418</v>
      </c>
      <c r="EE16" s="18">
        <v>39</v>
      </c>
      <c r="EH16" s="2"/>
      <c r="EI16" s="16">
        <v>9</v>
      </c>
      <c r="EJ16" s="15">
        <v>921.7</v>
      </c>
      <c r="EK16" s="14">
        <v>43568</v>
      </c>
      <c r="EL16" s="15">
        <v>921.7</v>
      </c>
      <c r="EM16" s="35" t="s">
        <v>422</v>
      </c>
      <c r="EN16" s="18">
        <v>40</v>
      </c>
      <c r="EQ16" s="2"/>
      <c r="ER16" s="16">
        <v>9</v>
      </c>
      <c r="ES16" s="15">
        <v>961.61</v>
      </c>
      <c r="ET16" s="14">
        <v>43571</v>
      </c>
      <c r="EU16" s="15">
        <v>961.61</v>
      </c>
      <c r="EV16" s="35" t="s">
        <v>429</v>
      </c>
      <c r="EW16" s="18">
        <v>40</v>
      </c>
      <c r="EZ16" s="2"/>
      <c r="FA16" s="16">
        <v>9</v>
      </c>
      <c r="FB16" s="134">
        <v>936.05</v>
      </c>
      <c r="FC16" s="119">
        <v>43571</v>
      </c>
      <c r="FD16" s="134">
        <v>936.05</v>
      </c>
      <c r="FE16" s="90" t="s">
        <v>432</v>
      </c>
      <c r="FF16" s="91">
        <v>40</v>
      </c>
      <c r="FI16" s="2"/>
      <c r="FJ16" s="16">
        <v>9</v>
      </c>
      <c r="FK16" s="7">
        <v>943.92</v>
      </c>
      <c r="FL16" s="47">
        <v>43573</v>
      </c>
      <c r="FM16" s="7">
        <v>943.92</v>
      </c>
      <c r="FN16" s="60" t="s">
        <v>452</v>
      </c>
      <c r="FO16" s="18">
        <v>40</v>
      </c>
      <c r="FR16" s="2"/>
      <c r="FS16" s="16">
        <v>9</v>
      </c>
      <c r="FT16" s="15">
        <v>918.97</v>
      </c>
      <c r="FU16" s="119">
        <v>43572</v>
      </c>
      <c r="FV16" s="134">
        <v>918.97</v>
      </c>
      <c r="FW16" s="137" t="s">
        <v>440</v>
      </c>
      <c r="FX16" s="91">
        <v>40</v>
      </c>
      <c r="GA16" s="2"/>
      <c r="GB16" s="16">
        <v>9</v>
      </c>
      <c r="GC16" s="15">
        <v>952.83</v>
      </c>
      <c r="GD16" s="14">
        <v>43572</v>
      </c>
      <c r="GE16" s="15">
        <v>952.83</v>
      </c>
      <c r="GF16" s="32" t="s">
        <v>443</v>
      </c>
      <c r="GG16" s="18">
        <v>40</v>
      </c>
      <c r="GI16"/>
      <c r="GJ16" s="2"/>
      <c r="GK16" s="16">
        <v>9</v>
      </c>
      <c r="GL16" s="15">
        <v>917.2</v>
      </c>
      <c r="GM16" s="14">
        <v>43573</v>
      </c>
      <c r="GN16" s="15">
        <v>917.2</v>
      </c>
      <c r="GO16" s="32" t="s">
        <v>450</v>
      </c>
      <c r="GP16" s="18">
        <v>40</v>
      </c>
      <c r="GS16" s="2"/>
      <c r="GT16" s="16">
        <v>9</v>
      </c>
      <c r="GU16" s="15">
        <v>904</v>
      </c>
      <c r="GV16" s="14">
        <v>43575</v>
      </c>
      <c r="GW16" s="15">
        <v>904</v>
      </c>
      <c r="GX16" s="239" t="s">
        <v>456</v>
      </c>
      <c r="GY16" s="18">
        <v>40</v>
      </c>
      <c r="HB16" s="2"/>
      <c r="HC16" s="16">
        <v>9</v>
      </c>
      <c r="HD16" s="7">
        <v>1004.08</v>
      </c>
      <c r="HE16" s="47">
        <v>43578</v>
      </c>
      <c r="HF16" s="7">
        <v>1004.08</v>
      </c>
      <c r="HG16" s="60" t="s">
        <v>462</v>
      </c>
      <c r="HH16" s="18">
        <v>42</v>
      </c>
      <c r="HK16" s="2"/>
      <c r="HL16" s="16">
        <v>9</v>
      </c>
      <c r="HM16" s="15">
        <v>904.5</v>
      </c>
      <c r="HN16" s="14">
        <v>43578</v>
      </c>
      <c r="HO16" s="15">
        <v>904.5</v>
      </c>
      <c r="HP16" s="419" t="s">
        <v>441</v>
      </c>
      <c r="HQ16" s="18">
        <v>42</v>
      </c>
      <c r="HR16" s="15"/>
      <c r="HS16" s="7"/>
      <c r="HT16" s="2"/>
      <c r="HU16" s="16">
        <v>9</v>
      </c>
      <c r="HV16" s="15">
        <v>946.03</v>
      </c>
      <c r="HW16" s="47">
        <v>43579</v>
      </c>
      <c r="HX16" s="15">
        <v>946.03</v>
      </c>
      <c r="HY16" s="60" t="s">
        <v>467</v>
      </c>
      <c r="HZ16" s="18">
        <v>42</v>
      </c>
      <c r="IA16" s="7"/>
      <c r="IC16" s="2"/>
      <c r="ID16" s="16">
        <v>9</v>
      </c>
      <c r="IE16" s="15">
        <v>948.91</v>
      </c>
      <c r="IF16" s="14">
        <v>43579</v>
      </c>
      <c r="IG16" s="15">
        <v>948.91</v>
      </c>
      <c r="IH16" s="35" t="s">
        <v>498</v>
      </c>
      <c r="II16" s="18">
        <v>42</v>
      </c>
      <c r="IL16" s="2"/>
      <c r="IM16" s="16">
        <v>9</v>
      </c>
      <c r="IN16" s="7">
        <v>882.2</v>
      </c>
      <c r="IO16" s="430">
        <v>43580</v>
      </c>
      <c r="IP16" s="7">
        <v>882.2</v>
      </c>
      <c r="IQ16" s="60" t="s">
        <v>503</v>
      </c>
      <c r="IR16" s="18">
        <v>42</v>
      </c>
      <c r="IU16" s="2"/>
      <c r="IV16" s="16">
        <v>9</v>
      </c>
      <c r="IW16" s="15">
        <v>947.1</v>
      </c>
      <c r="IX16" s="14">
        <v>43581</v>
      </c>
      <c r="IY16" s="15">
        <v>947.1</v>
      </c>
      <c r="IZ16" s="32" t="s">
        <v>507</v>
      </c>
      <c r="JA16" s="18">
        <v>44</v>
      </c>
      <c r="JD16" s="2"/>
      <c r="JE16" s="16">
        <v>9</v>
      </c>
      <c r="JF16" s="15">
        <v>865.9</v>
      </c>
      <c r="JG16" s="14">
        <v>43582</v>
      </c>
      <c r="JH16" s="15">
        <v>865.9</v>
      </c>
      <c r="JI16" s="32" t="s">
        <v>512</v>
      </c>
      <c r="JJ16" s="18">
        <v>44</v>
      </c>
      <c r="JM16" s="2"/>
      <c r="JN16" s="16">
        <v>9</v>
      </c>
      <c r="JO16" s="15">
        <v>903</v>
      </c>
      <c r="JP16" s="14">
        <v>43585</v>
      </c>
      <c r="JQ16" s="15">
        <v>903</v>
      </c>
      <c r="JR16" s="32" t="s">
        <v>519</v>
      </c>
      <c r="JS16" s="18">
        <v>46</v>
      </c>
      <c r="JV16" s="2"/>
      <c r="JW16" s="16">
        <v>9</v>
      </c>
      <c r="JX16" s="15">
        <v>941.5</v>
      </c>
      <c r="JY16" s="14">
        <v>43585</v>
      </c>
      <c r="JZ16" s="15">
        <v>941.5</v>
      </c>
      <c r="KA16" s="32" t="s">
        <v>522</v>
      </c>
      <c r="KB16" s="18">
        <v>45</v>
      </c>
      <c r="KE16" s="2"/>
      <c r="KF16" s="16">
        <v>9</v>
      </c>
      <c r="KG16" s="15">
        <v>921.69</v>
      </c>
      <c r="KH16" s="14">
        <v>43586</v>
      </c>
      <c r="KI16" s="15">
        <v>921.69</v>
      </c>
      <c r="KJ16" s="32" t="s">
        <v>538</v>
      </c>
      <c r="KK16" s="18">
        <v>45</v>
      </c>
      <c r="KN16" s="2"/>
      <c r="KO16" s="16">
        <v>9</v>
      </c>
      <c r="KP16" s="152">
        <v>928.8</v>
      </c>
      <c r="KQ16" s="85">
        <v>43586</v>
      </c>
      <c r="KR16" s="152">
        <v>928.8</v>
      </c>
      <c r="KS16" s="101" t="s">
        <v>540</v>
      </c>
      <c r="KT16" s="83">
        <v>45</v>
      </c>
      <c r="KU16" s="237"/>
      <c r="KW16" s="2"/>
      <c r="KX16" s="16">
        <v>9</v>
      </c>
      <c r="KY16" s="152">
        <v>923.51</v>
      </c>
      <c r="KZ16" s="14">
        <v>43588</v>
      </c>
      <c r="LA16" s="152">
        <v>923.51</v>
      </c>
      <c r="LB16" s="32" t="s">
        <v>546</v>
      </c>
      <c r="LC16" s="18">
        <v>46</v>
      </c>
      <c r="LF16" s="2"/>
      <c r="LG16" s="16">
        <v>9</v>
      </c>
      <c r="LH16" s="15">
        <v>970.2</v>
      </c>
      <c r="LI16" s="14">
        <v>43588</v>
      </c>
      <c r="LJ16" s="15">
        <v>970.2</v>
      </c>
      <c r="LK16" s="32" t="s">
        <v>544</v>
      </c>
      <c r="LL16" s="18">
        <v>46</v>
      </c>
      <c r="LO16" s="2"/>
      <c r="LP16" s="16">
        <v>9</v>
      </c>
      <c r="LQ16" s="152">
        <v>893.6</v>
      </c>
      <c r="LR16" s="14">
        <v>43591</v>
      </c>
      <c r="LS16" s="712">
        <v>893.6</v>
      </c>
      <c r="LT16" s="713" t="s">
        <v>555</v>
      </c>
      <c r="LU16" s="18">
        <v>45</v>
      </c>
      <c r="LX16" s="2"/>
      <c r="LY16" s="16">
        <v>9</v>
      </c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8"/>
      <c r="RP16" s="309"/>
      <c r="RQ16" s="310"/>
      <c r="RR16" s="311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SMITHFIELD FRESH MEATS</v>
      </c>
      <c r="C17" t="str">
        <f t="shared" si="13"/>
        <v>Smithfield</v>
      </c>
      <c r="D17" s="56" t="str">
        <f t="shared" si="13"/>
        <v>PED. 36560590</v>
      </c>
      <c r="E17" s="124">
        <f t="shared" si="13"/>
        <v>43568</v>
      </c>
      <c r="F17" s="58">
        <f t="shared" si="13"/>
        <v>19289.37</v>
      </c>
      <c r="G17" s="13">
        <f t="shared" si="13"/>
        <v>20</v>
      </c>
      <c r="H17" s="52">
        <f t="shared" si="13"/>
        <v>18986.400000000001</v>
      </c>
      <c r="I17" s="6">
        <f t="shared" si="13"/>
        <v>302.96999999999753</v>
      </c>
      <c r="L17" s="2"/>
      <c r="M17" s="16">
        <v>10</v>
      </c>
      <c r="N17" s="7">
        <v>886.31</v>
      </c>
      <c r="O17" s="315">
        <v>43557</v>
      </c>
      <c r="P17" s="631">
        <v>886.31</v>
      </c>
      <c r="Q17" s="630" t="s">
        <v>364</v>
      </c>
      <c r="R17" s="316">
        <v>44</v>
      </c>
      <c r="S17" s="237"/>
      <c r="U17" s="2"/>
      <c r="V17" s="16">
        <v>10</v>
      </c>
      <c r="W17" s="152">
        <v>906</v>
      </c>
      <c r="X17" s="14">
        <v>43557</v>
      </c>
      <c r="Y17" s="152">
        <v>906</v>
      </c>
      <c r="Z17" s="32" t="s">
        <v>367</v>
      </c>
      <c r="AA17" s="18">
        <v>44</v>
      </c>
      <c r="AD17" s="2"/>
      <c r="AE17" s="16">
        <v>10</v>
      </c>
      <c r="AF17" s="7">
        <v>983.22</v>
      </c>
      <c r="AG17" s="14">
        <v>43558</v>
      </c>
      <c r="AH17" s="7">
        <v>983.22</v>
      </c>
      <c r="AI17" s="32" t="s">
        <v>374</v>
      </c>
      <c r="AJ17" s="18">
        <v>44</v>
      </c>
      <c r="AM17" s="2"/>
      <c r="AN17" s="16">
        <v>10</v>
      </c>
      <c r="AO17" s="152">
        <v>926.23</v>
      </c>
      <c r="AP17" s="14">
        <v>43559</v>
      </c>
      <c r="AQ17" s="152">
        <v>926.23</v>
      </c>
      <c r="AR17" s="32" t="s">
        <v>378</v>
      </c>
      <c r="AS17" s="18">
        <v>44</v>
      </c>
      <c r="AV17" s="2"/>
      <c r="AW17" s="16">
        <v>10</v>
      </c>
      <c r="AX17" s="15">
        <v>936.7</v>
      </c>
      <c r="AY17" s="85">
        <v>43560</v>
      </c>
      <c r="AZ17" s="15">
        <v>936.7</v>
      </c>
      <c r="BA17" s="101" t="s">
        <v>384</v>
      </c>
      <c r="BB17" s="317">
        <v>43</v>
      </c>
      <c r="BE17" s="2"/>
      <c r="BF17" s="16">
        <v>10</v>
      </c>
      <c r="BG17" s="7">
        <v>963.72</v>
      </c>
      <c r="BH17" s="308">
        <v>43561</v>
      </c>
      <c r="BI17" s="7">
        <v>963.72</v>
      </c>
      <c r="BJ17" s="310" t="s">
        <v>391</v>
      </c>
      <c r="BK17" s="311">
        <v>43</v>
      </c>
      <c r="BN17" s="2"/>
      <c r="BO17" s="16">
        <v>10</v>
      </c>
      <c r="BP17" s="15">
        <v>904</v>
      </c>
      <c r="BQ17" s="308">
        <v>43560</v>
      </c>
      <c r="BR17" s="15">
        <v>904</v>
      </c>
      <c r="BS17" s="310" t="s">
        <v>386</v>
      </c>
      <c r="BT17" s="311">
        <v>43</v>
      </c>
      <c r="BW17" s="2"/>
      <c r="BX17" s="16">
        <v>10</v>
      </c>
      <c r="BY17" s="15">
        <v>872.3</v>
      </c>
      <c r="BZ17" s="308">
        <v>43563</v>
      </c>
      <c r="CA17" s="15">
        <v>872.3</v>
      </c>
      <c r="CB17" s="310" t="s">
        <v>394</v>
      </c>
      <c r="CC17" s="311">
        <v>40</v>
      </c>
      <c r="CF17" s="2"/>
      <c r="CG17" s="16">
        <v>10</v>
      </c>
      <c r="CH17" s="15">
        <v>901</v>
      </c>
      <c r="CI17" s="14">
        <v>43564</v>
      </c>
      <c r="CJ17" s="15">
        <v>901</v>
      </c>
      <c r="CK17" s="32" t="s">
        <v>398</v>
      </c>
      <c r="CL17" s="18">
        <v>40</v>
      </c>
      <c r="CO17" s="2"/>
      <c r="CP17" s="16">
        <v>10</v>
      </c>
      <c r="CQ17" s="7">
        <v>929.71</v>
      </c>
      <c r="CR17" s="14">
        <v>43566</v>
      </c>
      <c r="CS17" s="7">
        <v>929.71</v>
      </c>
      <c r="CT17" s="32" t="s">
        <v>406</v>
      </c>
      <c r="CU17" s="18">
        <v>40</v>
      </c>
      <c r="CX17" s="2"/>
      <c r="CY17" s="16">
        <v>10</v>
      </c>
      <c r="CZ17" s="7">
        <v>950.72</v>
      </c>
      <c r="DA17" s="308">
        <v>43565</v>
      </c>
      <c r="DB17" s="7">
        <v>950.72</v>
      </c>
      <c r="DC17" s="310" t="s">
        <v>403</v>
      </c>
      <c r="DD17" s="311">
        <v>40</v>
      </c>
      <c r="DG17" s="2"/>
      <c r="DH17" s="16">
        <v>10</v>
      </c>
      <c r="DI17" s="7">
        <v>916.7</v>
      </c>
      <c r="DJ17" s="308">
        <v>43567</v>
      </c>
      <c r="DK17" s="664">
        <v>916.7</v>
      </c>
      <c r="DL17" s="310" t="s">
        <v>412</v>
      </c>
      <c r="DM17" s="311">
        <v>39</v>
      </c>
      <c r="DP17" s="2"/>
      <c r="DQ17" s="16">
        <v>10</v>
      </c>
      <c r="DR17" s="7">
        <v>949.36</v>
      </c>
      <c r="DS17" s="47">
        <v>43568</v>
      </c>
      <c r="DT17" s="7">
        <v>949.36</v>
      </c>
      <c r="DU17" s="60" t="s">
        <v>428</v>
      </c>
      <c r="DV17" s="18">
        <v>40</v>
      </c>
      <c r="DY17" s="2"/>
      <c r="DZ17" s="16">
        <v>10</v>
      </c>
      <c r="EA17" s="7">
        <v>949.66</v>
      </c>
      <c r="EB17" s="47">
        <v>43568</v>
      </c>
      <c r="EC17" s="7">
        <v>949.66</v>
      </c>
      <c r="ED17" s="60" t="s">
        <v>418</v>
      </c>
      <c r="EE17" s="18">
        <v>39</v>
      </c>
      <c r="EH17" s="2"/>
      <c r="EI17" s="16">
        <v>10</v>
      </c>
      <c r="EJ17" s="15">
        <v>953</v>
      </c>
      <c r="EK17" s="14">
        <v>43568</v>
      </c>
      <c r="EL17" s="15">
        <v>953</v>
      </c>
      <c r="EM17" s="35" t="s">
        <v>422</v>
      </c>
      <c r="EN17" s="18">
        <v>40</v>
      </c>
      <c r="EQ17" s="2"/>
      <c r="ER17" s="16">
        <v>10</v>
      </c>
      <c r="ES17" s="7">
        <v>932.58</v>
      </c>
      <c r="ET17" s="14">
        <v>43571</v>
      </c>
      <c r="EU17" s="7">
        <v>932.58</v>
      </c>
      <c r="EV17" s="35" t="s">
        <v>429</v>
      </c>
      <c r="EW17" s="18">
        <v>40</v>
      </c>
      <c r="EZ17" s="2"/>
      <c r="FA17" s="16">
        <v>10</v>
      </c>
      <c r="FB17" s="134">
        <v>959.64</v>
      </c>
      <c r="FC17" s="119">
        <v>43571</v>
      </c>
      <c r="FD17" s="134">
        <v>959.64</v>
      </c>
      <c r="FE17" s="90" t="s">
        <v>432</v>
      </c>
      <c r="FF17" s="91">
        <v>40</v>
      </c>
      <c r="FI17" s="2"/>
      <c r="FJ17" s="16">
        <v>10</v>
      </c>
      <c r="FK17" s="7">
        <v>957.98</v>
      </c>
      <c r="FL17" s="47">
        <v>43573</v>
      </c>
      <c r="FM17" s="7">
        <v>957.98</v>
      </c>
      <c r="FN17" s="60" t="s">
        <v>452</v>
      </c>
      <c r="FO17" s="18">
        <v>40</v>
      </c>
      <c r="FR17" s="2"/>
      <c r="FS17" s="16">
        <v>10</v>
      </c>
      <c r="FT17" s="15">
        <v>895.39</v>
      </c>
      <c r="FU17" s="119">
        <v>43572</v>
      </c>
      <c r="FV17" s="134">
        <v>895.39</v>
      </c>
      <c r="FW17" s="137" t="s">
        <v>440</v>
      </c>
      <c r="FX17" s="91">
        <v>40</v>
      </c>
      <c r="GA17" s="2"/>
      <c r="GB17" s="16">
        <v>10</v>
      </c>
      <c r="GC17" s="15">
        <v>974.15</v>
      </c>
      <c r="GD17" s="14">
        <v>43572</v>
      </c>
      <c r="GE17" s="15">
        <v>974.15</v>
      </c>
      <c r="GF17" s="32" t="s">
        <v>443</v>
      </c>
      <c r="GG17" s="18">
        <v>40</v>
      </c>
      <c r="GI17"/>
      <c r="GJ17" s="2"/>
      <c r="GK17" s="16">
        <v>10</v>
      </c>
      <c r="GL17" s="15">
        <v>949.8</v>
      </c>
      <c r="GM17" s="14">
        <v>43573</v>
      </c>
      <c r="GN17" s="15">
        <v>949.8</v>
      </c>
      <c r="GO17" s="32" t="s">
        <v>450</v>
      </c>
      <c r="GP17" s="18">
        <v>40</v>
      </c>
      <c r="GS17" s="2"/>
      <c r="GT17" s="16">
        <v>10</v>
      </c>
      <c r="GU17" s="15">
        <v>937.1</v>
      </c>
      <c r="GV17" s="14">
        <v>43575</v>
      </c>
      <c r="GW17" s="15">
        <v>937.1</v>
      </c>
      <c r="GX17" s="239" t="s">
        <v>456</v>
      </c>
      <c r="GY17" s="18">
        <v>40</v>
      </c>
      <c r="HB17" s="2"/>
      <c r="HC17" s="16">
        <v>10</v>
      </c>
      <c r="HD17" s="7">
        <v>1000.91</v>
      </c>
      <c r="HE17" s="47">
        <v>43578</v>
      </c>
      <c r="HF17" s="7">
        <v>1000.91</v>
      </c>
      <c r="HG17" s="60" t="s">
        <v>462</v>
      </c>
      <c r="HH17" s="18">
        <v>42</v>
      </c>
      <c r="HK17" s="2"/>
      <c r="HL17" s="16">
        <v>10</v>
      </c>
      <c r="HM17" s="15">
        <v>897.5</v>
      </c>
      <c r="HN17" s="14">
        <v>43578</v>
      </c>
      <c r="HO17" s="15">
        <v>897.5</v>
      </c>
      <c r="HP17" s="419" t="s">
        <v>441</v>
      </c>
      <c r="HQ17" s="18">
        <v>42</v>
      </c>
      <c r="HR17" s="15"/>
      <c r="HS17" s="7"/>
      <c r="HT17" s="2"/>
      <c r="HU17" s="16">
        <v>10</v>
      </c>
      <c r="HV17" s="15">
        <v>981.86</v>
      </c>
      <c r="HW17" s="47">
        <v>43579</v>
      </c>
      <c r="HX17" s="15">
        <v>981.86</v>
      </c>
      <c r="HY17" s="60" t="s">
        <v>467</v>
      </c>
      <c r="HZ17" s="18">
        <v>42</v>
      </c>
      <c r="IA17" s="7"/>
      <c r="IC17" s="2"/>
      <c r="ID17" s="16">
        <v>10</v>
      </c>
      <c r="IE17" s="15">
        <v>968.87</v>
      </c>
      <c r="IF17" s="14">
        <v>43579</v>
      </c>
      <c r="IG17" s="15">
        <v>968.87</v>
      </c>
      <c r="IH17" s="35" t="s">
        <v>498</v>
      </c>
      <c r="II17" s="18">
        <v>42</v>
      </c>
      <c r="IL17" s="2"/>
      <c r="IM17" s="16">
        <v>10</v>
      </c>
      <c r="IN17" s="7">
        <v>903.1</v>
      </c>
      <c r="IO17" s="430">
        <v>43580</v>
      </c>
      <c r="IP17" s="7">
        <v>903.1</v>
      </c>
      <c r="IQ17" s="60" t="s">
        <v>503</v>
      </c>
      <c r="IR17" s="18">
        <v>42</v>
      </c>
      <c r="IU17" s="2"/>
      <c r="IV17" s="16">
        <v>10</v>
      </c>
      <c r="IW17" s="15">
        <v>926.68</v>
      </c>
      <c r="IX17" s="14">
        <v>43581</v>
      </c>
      <c r="IY17" s="15">
        <v>926.68</v>
      </c>
      <c r="IZ17" s="32" t="s">
        <v>507</v>
      </c>
      <c r="JA17" s="18">
        <v>44</v>
      </c>
      <c r="JD17" s="2"/>
      <c r="JE17" s="16">
        <v>10</v>
      </c>
      <c r="JF17" s="15">
        <v>923.1</v>
      </c>
      <c r="JG17" s="14">
        <v>43582</v>
      </c>
      <c r="JH17" s="15">
        <v>923.1</v>
      </c>
      <c r="JI17" s="32" t="s">
        <v>512</v>
      </c>
      <c r="JJ17" s="18">
        <v>44</v>
      </c>
      <c r="JM17" s="2"/>
      <c r="JN17" s="16">
        <v>10</v>
      </c>
      <c r="JO17" s="15">
        <v>901</v>
      </c>
      <c r="JP17" s="14">
        <v>43585</v>
      </c>
      <c r="JQ17" s="15">
        <v>901</v>
      </c>
      <c r="JR17" s="32" t="s">
        <v>519</v>
      </c>
      <c r="JS17" s="18">
        <v>46</v>
      </c>
      <c r="JV17" s="2"/>
      <c r="JW17" s="16">
        <v>10</v>
      </c>
      <c r="JX17" s="15">
        <v>935.6</v>
      </c>
      <c r="JY17" s="14">
        <v>43585</v>
      </c>
      <c r="JZ17" s="15">
        <v>935.6</v>
      </c>
      <c r="KA17" s="32" t="s">
        <v>522</v>
      </c>
      <c r="KB17" s="18">
        <v>45</v>
      </c>
      <c r="KE17" s="2"/>
      <c r="KF17" s="16">
        <v>10</v>
      </c>
      <c r="KG17" s="7">
        <v>965.24</v>
      </c>
      <c r="KH17" s="14">
        <v>43586</v>
      </c>
      <c r="KI17" s="7">
        <v>965.24</v>
      </c>
      <c r="KJ17" s="32" t="s">
        <v>538</v>
      </c>
      <c r="KK17" s="18">
        <v>45</v>
      </c>
      <c r="KN17" s="2"/>
      <c r="KO17" s="16">
        <v>10</v>
      </c>
      <c r="KP17" s="152">
        <v>933.33</v>
      </c>
      <c r="KQ17" s="85">
        <v>43586</v>
      </c>
      <c r="KR17" s="152">
        <v>933.33</v>
      </c>
      <c r="KS17" s="101" t="s">
        <v>540</v>
      </c>
      <c r="KT17" s="83">
        <v>45</v>
      </c>
      <c r="KU17" s="237"/>
      <c r="KW17" s="2"/>
      <c r="KX17" s="16">
        <v>10</v>
      </c>
      <c r="KY17" s="152">
        <v>925.32</v>
      </c>
      <c r="KZ17" s="14">
        <v>43588</v>
      </c>
      <c r="LA17" s="152">
        <v>925.32</v>
      </c>
      <c r="LB17" s="32" t="s">
        <v>546</v>
      </c>
      <c r="LC17" s="18">
        <v>46</v>
      </c>
      <c r="LF17" s="2"/>
      <c r="LG17" s="16">
        <v>10</v>
      </c>
      <c r="LH17" s="7">
        <v>870.9</v>
      </c>
      <c r="LI17" s="14">
        <v>43588</v>
      </c>
      <c r="LJ17" s="7">
        <v>870.9</v>
      </c>
      <c r="LK17" s="32" t="s">
        <v>544</v>
      </c>
      <c r="LL17" s="18">
        <v>46</v>
      </c>
      <c r="LO17" s="2"/>
      <c r="LP17" s="16">
        <v>10</v>
      </c>
      <c r="LQ17" s="152">
        <v>973.9</v>
      </c>
      <c r="LR17" s="14">
        <v>43591</v>
      </c>
      <c r="LS17" s="712">
        <v>973.9</v>
      </c>
      <c r="LT17" s="713" t="s">
        <v>556</v>
      </c>
      <c r="LU17" s="18">
        <v>45</v>
      </c>
      <c r="LX17" s="2"/>
      <c r="LY17" s="16">
        <v>10</v>
      </c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8"/>
      <c r="RP17" s="309"/>
      <c r="RQ17" s="310"/>
      <c r="RR17" s="311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SEABOARD FOODS</v>
      </c>
      <c r="C18" t="str">
        <f t="shared" si="14"/>
        <v>Seaboard</v>
      </c>
      <c r="D18" s="56" t="str">
        <f t="shared" si="14"/>
        <v>PED. 36612666</v>
      </c>
      <c r="E18" s="124">
        <f t="shared" si="14"/>
        <v>43537</v>
      </c>
      <c r="F18" s="58">
        <f t="shared" si="14"/>
        <v>19118.34</v>
      </c>
      <c r="G18" s="13">
        <f t="shared" si="14"/>
        <v>21</v>
      </c>
      <c r="H18" s="52">
        <f t="shared" si="14"/>
        <v>19180.099999999999</v>
      </c>
      <c r="I18" s="6">
        <f t="shared" si="14"/>
        <v>-61.759999999998399</v>
      </c>
      <c r="L18" s="2"/>
      <c r="M18" s="16">
        <v>11</v>
      </c>
      <c r="N18" s="15">
        <v>918.07</v>
      </c>
      <c r="O18" s="315">
        <v>43558</v>
      </c>
      <c r="P18" s="629">
        <v>918.07</v>
      </c>
      <c r="Q18" s="630" t="s">
        <v>372</v>
      </c>
      <c r="R18" s="316">
        <v>44</v>
      </c>
      <c r="S18" s="237"/>
      <c r="U18" s="2"/>
      <c r="V18" s="16">
        <v>11</v>
      </c>
      <c r="W18" s="152">
        <v>896.5</v>
      </c>
      <c r="X18" s="14">
        <v>43557</v>
      </c>
      <c r="Y18" s="152">
        <v>896.5</v>
      </c>
      <c r="Z18" s="32" t="s">
        <v>368</v>
      </c>
      <c r="AA18" s="18">
        <v>44</v>
      </c>
      <c r="AD18" s="2"/>
      <c r="AE18" s="16">
        <v>11</v>
      </c>
      <c r="AF18" s="15">
        <v>966.44</v>
      </c>
      <c r="AG18" s="14">
        <v>43559</v>
      </c>
      <c r="AH18" s="15">
        <v>966.44</v>
      </c>
      <c r="AI18" s="32" t="s">
        <v>376</v>
      </c>
      <c r="AJ18" s="18">
        <v>44</v>
      </c>
      <c r="AM18" s="2"/>
      <c r="AN18" s="16">
        <v>11</v>
      </c>
      <c r="AO18" s="152">
        <v>932.13</v>
      </c>
      <c r="AP18" s="14">
        <v>43559</v>
      </c>
      <c r="AQ18" s="152">
        <v>932.13</v>
      </c>
      <c r="AR18" s="32" t="s">
        <v>379</v>
      </c>
      <c r="AS18" s="18">
        <v>44</v>
      </c>
      <c r="AV18" s="2"/>
      <c r="AW18" s="16">
        <v>11</v>
      </c>
      <c r="AX18" s="15">
        <v>913.1</v>
      </c>
      <c r="AY18" s="85">
        <v>43560</v>
      </c>
      <c r="AZ18" s="15">
        <v>913.1</v>
      </c>
      <c r="BA18" s="101" t="s">
        <v>383</v>
      </c>
      <c r="BB18" s="317">
        <v>43</v>
      </c>
      <c r="BE18" s="2"/>
      <c r="BF18" s="16">
        <v>11</v>
      </c>
      <c r="BG18" s="15">
        <v>918.37</v>
      </c>
      <c r="BH18" s="308">
        <v>43561</v>
      </c>
      <c r="BI18" s="15">
        <v>918.37</v>
      </c>
      <c r="BJ18" s="310" t="s">
        <v>389</v>
      </c>
      <c r="BK18" s="311">
        <v>43</v>
      </c>
      <c r="BN18" s="2"/>
      <c r="BO18" s="16">
        <v>11</v>
      </c>
      <c r="BP18" s="7">
        <v>954.81</v>
      </c>
      <c r="BQ18" s="308">
        <v>43560</v>
      </c>
      <c r="BR18" s="7">
        <v>954.81</v>
      </c>
      <c r="BS18" s="310" t="s">
        <v>387</v>
      </c>
      <c r="BT18" s="311">
        <v>43</v>
      </c>
      <c r="BW18" s="2"/>
      <c r="BX18" s="16">
        <v>11</v>
      </c>
      <c r="BY18" s="15">
        <v>882.2</v>
      </c>
      <c r="BZ18" s="308">
        <v>43563</v>
      </c>
      <c r="CA18" s="15">
        <v>882.2</v>
      </c>
      <c r="CB18" s="310" t="s">
        <v>396</v>
      </c>
      <c r="CC18" s="311">
        <v>40</v>
      </c>
      <c r="CF18" s="2"/>
      <c r="CG18" s="16">
        <v>11</v>
      </c>
      <c r="CH18" s="15">
        <v>898.5</v>
      </c>
      <c r="CI18" s="14">
        <v>43564</v>
      </c>
      <c r="CJ18" s="15">
        <v>898.5</v>
      </c>
      <c r="CK18" s="32" t="s">
        <v>385</v>
      </c>
      <c r="CL18" s="18">
        <v>40</v>
      </c>
      <c r="CO18" s="2"/>
      <c r="CP18" s="16">
        <v>11</v>
      </c>
      <c r="CQ18" s="15">
        <v>948.75</v>
      </c>
      <c r="CR18" s="14">
        <v>43566</v>
      </c>
      <c r="CS18" s="15">
        <v>948.75</v>
      </c>
      <c r="CT18" s="32" t="s">
        <v>408</v>
      </c>
      <c r="CU18" s="18">
        <v>39</v>
      </c>
      <c r="CX18" s="2"/>
      <c r="CY18" s="16">
        <v>11</v>
      </c>
      <c r="CZ18" s="15">
        <v>914.44</v>
      </c>
      <c r="DA18" s="308">
        <v>43565</v>
      </c>
      <c r="DB18" s="15">
        <v>914.44</v>
      </c>
      <c r="DC18" s="310" t="s">
        <v>404</v>
      </c>
      <c r="DD18" s="311">
        <v>40</v>
      </c>
      <c r="DG18" s="2"/>
      <c r="DH18" s="16">
        <v>11</v>
      </c>
      <c r="DI18" s="15">
        <v>899.9</v>
      </c>
      <c r="DJ18" s="308">
        <v>43567</v>
      </c>
      <c r="DK18" s="664">
        <v>899.9</v>
      </c>
      <c r="DL18" s="310" t="s">
        <v>412</v>
      </c>
      <c r="DM18" s="311">
        <v>39</v>
      </c>
      <c r="DP18" s="2"/>
      <c r="DQ18" s="16">
        <v>11</v>
      </c>
      <c r="DR18" s="7">
        <v>910.81</v>
      </c>
      <c r="DS18" s="47">
        <v>43568</v>
      </c>
      <c r="DT18" s="7">
        <v>910.81</v>
      </c>
      <c r="DU18" s="60" t="s">
        <v>417</v>
      </c>
      <c r="DV18" s="18">
        <v>39</v>
      </c>
      <c r="DY18" s="2"/>
      <c r="DZ18" s="16">
        <v>11</v>
      </c>
      <c r="EA18" s="7">
        <v>952.38</v>
      </c>
      <c r="EB18" s="47">
        <v>43568</v>
      </c>
      <c r="EC18" s="7">
        <v>952.38</v>
      </c>
      <c r="ED18" s="60" t="s">
        <v>419</v>
      </c>
      <c r="EE18" s="18">
        <v>39</v>
      </c>
      <c r="EH18" s="2"/>
      <c r="EI18" s="16">
        <v>11</v>
      </c>
      <c r="EJ18" s="15">
        <v>894.9</v>
      </c>
      <c r="EK18" s="14">
        <v>43568</v>
      </c>
      <c r="EL18" s="15">
        <v>894.9</v>
      </c>
      <c r="EM18" s="35" t="s">
        <v>422</v>
      </c>
      <c r="EN18" s="18">
        <v>40</v>
      </c>
      <c r="EQ18" s="2"/>
      <c r="ER18" s="16">
        <v>11</v>
      </c>
      <c r="ES18" s="15">
        <v>938.93</v>
      </c>
      <c r="ET18" s="14">
        <v>43571</v>
      </c>
      <c r="EU18" s="15">
        <v>938.93</v>
      </c>
      <c r="EV18" s="35" t="s">
        <v>430</v>
      </c>
      <c r="EW18" s="18">
        <v>40</v>
      </c>
      <c r="EZ18" s="2"/>
      <c r="FA18" s="16">
        <v>11</v>
      </c>
      <c r="FB18" s="134">
        <v>954.2</v>
      </c>
      <c r="FC18" s="119">
        <v>43571</v>
      </c>
      <c r="FD18" s="134">
        <v>954.2</v>
      </c>
      <c r="FE18" s="90" t="s">
        <v>435</v>
      </c>
      <c r="FF18" s="91">
        <v>40</v>
      </c>
      <c r="FI18" s="2"/>
      <c r="FJ18" s="16">
        <v>11</v>
      </c>
      <c r="FK18" s="7">
        <v>940.75</v>
      </c>
      <c r="FL18" s="47">
        <v>43572</v>
      </c>
      <c r="FM18" s="7">
        <v>940.75</v>
      </c>
      <c r="FN18" s="60" t="s">
        <v>439</v>
      </c>
      <c r="FO18" s="18">
        <v>40</v>
      </c>
      <c r="FP18" s="18"/>
      <c r="FR18" s="2"/>
      <c r="FS18" s="16">
        <v>11</v>
      </c>
      <c r="FT18" s="15">
        <v>914.44</v>
      </c>
      <c r="FU18" s="119">
        <v>43572</v>
      </c>
      <c r="FV18" s="134">
        <v>914.44</v>
      </c>
      <c r="FW18" s="137" t="s">
        <v>442</v>
      </c>
      <c r="FX18" s="91">
        <v>40</v>
      </c>
      <c r="GA18" s="2"/>
      <c r="GB18" s="16">
        <v>11</v>
      </c>
      <c r="GC18" s="15">
        <v>961.9</v>
      </c>
      <c r="GD18" s="14">
        <v>43572</v>
      </c>
      <c r="GE18" s="15">
        <v>961.9</v>
      </c>
      <c r="GF18" s="32" t="s">
        <v>433</v>
      </c>
      <c r="GG18" s="18">
        <v>40</v>
      </c>
      <c r="GI18"/>
      <c r="GJ18" s="2"/>
      <c r="GK18" s="16">
        <v>11</v>
      </c>
      <c r="GL18" s="15">
        <v>914.4</v>
      </c>
      <c r="GM18" s="14">
        <v>43573</v>
      </c>
      <c r="GN18" s="15">
        <v>914.4</v>
      </c>
      <c r="GO18" s="32" t="s">
        <v>451</v>
      </c>
      <c r="GP18" s="18">
        <v>40</v>
      </c>
      <c r="GS18" s="2"/>
      <c r="GT18" s="16">
        <v>11</v>
      </c>
      <c r="GU18" s="15">
        <v>893.6</v>
      </c>
      <c r="GV18" s="14">
        <v>43575</v>
      </c>
      <c r="GW18" s="15">
        <v>893.6</v>
      </c>
      <c r="GX18" s="239" t="s">
        <v>457</v>
      </c>
      <c r="GY18" s="18">
        <v>40</v>
      </c>
      <c r="HB18" s="2"/>
      <c r="HC18" s="16">
        <v>11</v>
      </c>
      <c r="HD18" s="7">
        <v>973.24</v>
      </c>
      <c r="HE18" s="47">
        <v>43578</v>
      </c>
      <c r="HF18" s="7">
        <v>973.24</v>
      </c>
      <c r="HG18" s="60" t="s">
        <v>463</v>
      </c>
      <c r="HH18" s="18">
        <v>42</v>
      </c>
      <c r="HK18" s="2"/>
      <c r="HL18" s="16">
        <v>11</v>
      </c>
      <c r="HM18" s="15">
        <v>878.5</v>
      </c>
      <c r="HN18" s="14">
        <v>43578</v>
      </c>
      <c r="HO18" s="15">
        <v>878.5</v>
      </c>
      <c r="HP18" s="419" t="s">
        <v>460</v>
      </c>
      <c r="HQ18" s="18">
        <v>42</v>
      </c>
      <c r="HR18" s="15"/>
      <c r="HS18" s="7"/>
      <c r="HT18" s="2"/>
      <c r="HU18" s="16">
        <v>11</v>
      </c>
      <c r="HV18" s="15">
        <v>914.74</v>
      </c>
      <c r="HW18" s="47">
        <v>43579</v>
      </c>
      <c r="HX18" s="15">
        <v>914.74</v>
      </c>
      <c r="HY18" s="60" t="s">
        <v>468</v>
      </c>
      <c r="HZ18" s="18">
        <v>42</v>
      </c>
      <c r="IA18" s="6"/>
      <c r="IC18" s="2"/>
      <c r="ID18" s="16">
        <v>11</v>
      </c>
      <c r="IE18" s="15">
        <v>894.03</v>
      </c>
      <c r="IF18" s="14">
        <v>43579</v>
      </c>
      <c r="IG18" s="15">
        <v>894.03</v>
      </c>
      <c r="IH18" s="35" t="s">
        <v>499</v>
      </c>
      <c r="II18" s="18">
        <v>42</v>
      </c>
      <c r="IL18" s="2"/>
      <c r="IM18" s="16">
        <v>11</v>
      </c>
      <c r="IN18" s="7">
        <v>903.6</v>
      </c>
      <c r="IO18" s="430">
        <v>43580</v>
      </c>
      <c r="IP18" s="7">
        <v>903.6</v>
      </c>
      <c r="IQ18" s="60" t="s">
        <v>503</v>
      </c>
      <c r="IR18" s="18">
        <v>42</v>
      </c>
      <c r="IU18" s="2"/>
      <c r="IV18" s="16">
        <v>11</v>
      </c>
      <c r="IW18" s="7">
        <v>970.68</v>
      </c>
      <c r="IX18" s="14">
        <v>43581</v>
      </c>
      <c r="IY18" s="7">
        <v>970.68</v>
      </c>
      <c r="IZ18" s="32" t="s">
        <v>508</v>
      </c>
      <c r="JA18" s="18">
        <v>44</v>
      </c>
      <c r="JD18" s="2"/>
      <c r="JE18" s="16">
        <v>11</v>
      </c>
      <c r="JF18" s="15">
        <v>905.8</v>
      </c>
      <c r="JG18" s="14">
        <v>43582</v>
      </c>
      <c r="JH18" s="15">
        <v>905.8</v>
      </c>
      <c r="JI18" s="32" t="s">
        <v>513</v>
      </c>
      <c r="JJ18" s="18">
        <v>44</v>
      </c>
      <c r="JM18" s="2"/>
      <c r="JN18" s="16">
        <v>11</v>
      </c>
      <c r="JO18" s="15">
        <v>869.5</v>
      </c>
      <c r="JP18" s="14">
        <v>43585</v>
      </c>
      <c r="JQ18" s="15">
        <v>869.5</v>
      </c>
      <c r="JR18" s="32" t="s">
        <v>520</v>
      </c>
      <c r="JS18" s="18">
        <v>45</v>
      </c>
      <c r="JV18" s="2"/>
      <c r="JW18" s="16">
        <v>11</v>
      </c>
      <c r="JX18" s="15">
        <v>950.57</v>
      </c>
      <c r="JY18" s="14">
        <v>43585</v>
      </c>
      <c r="JZ18" s="15">
        <v>950.57</v>
      </c>
      <c r="KA18" s="32" t="s">
        <v>523</v>
      </c>
      <c r="KB18" s="18">
        <v>45</v>
      </c>
      <c r="KE18" s="2"/>
      <c r="KF18" s="16">
        <v>11</v>
      </c>
      <c r="KG18" s="15">
        <v>917.16</v>
      </c>
      <c r="KH18" s="14">
        <v>43586</v>
      </c>
      <c r="KI18" s="15">
        <v>917.16</v>
      </c>
      <c r="KJ18" s="32" t="s">
        <v>539</v>
      </c>
      <c r="KK18" s="18">
        <v>45</v>
      </c>
      <c r="KN18" s="2"/>
      <c r="KO18" s="16">
        <v>11</v>
      </c>
      <c r="KP18" s="152">
        <v>912.47</v>
      </c>
      <c r="KQ18" s="85">
        <v>43586</v>
      </c>
      <c r="KR18" s="152">
        <v>912.47</v>
      </c>
      <c r="KS18" s="101" t="s">
        <v>541</v>
      </c>
      <c r="KT18" s="83">
        <v>45</v>
      </c>
      <c r="KU18" s="237"/>
      <c r="KW18" s="2"/>
      <c r="KX18" s="16">
        <v>11</v>
      </c>
      <c r="KY18" s="152">
        <v>922.6</v>
      </c>
      <c r="KZ18" s="14">
        <v>43588</v>
      </c>
      <c r="LA18" s="152">
        <v>922.6</v>
      </c>
      <c r="LB18" s="32" t="s">
        <v>547</v>
      </c>
      <c r="LC18" s="18">
        <v>46</v>
      </c>
      <c r="LF18" s="2"/>
      <c r="LG18" s="16">
        <v>11</v>
      </c>
      <c r="LH18" s="15">
        <v>902.2</v>
      </c>
      <c r="LI18" s="14">
        <v>43588</v>
      </c>
      <c r="LJ18" s="15">
        <v>902.2</v>
      </c>
      <c r="LK18" s="32" t="s">
        <v>545</v>
      </c>
      <c r="LL18" s="18">
        <v>46</v>
      </c>
      <c r="LO18" s="2"/>
      <c r="LP18" s="16">
        <v>11</v>
      </c>
      <c r="LQ18" s="152">
        <v>911.3</v>
      </c>
      <c r="LR18" s="14">
        <v>43591</v>
      </c>
      <c r="LS18" s="712">
        <v>911.3</v>
      </c>
      <c r="LT18" s="713" t="s">
        <v>555</v>
      </c>
      <c r="LU18" s="18">
        <v>45</v>
      </c>
      <c r="LX18" s="2"/>
      <c r="LY18" s="16">
        <v>11</v>
      </c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7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8"/>
      <c r="RP18" s="309"/>
      <c r="RQ18" s="310"/>
      <c r="RR18" s="311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TYSON FRESH MEATS</v>
      </c>
      <c r="C19" t="str">
        <f t="shared" si="15"/>
        <v xml:space="preserve">I B P </v>
      </c>
      <c r="D19" s="56" t="str">
        <f t="shared" si="15"/>
        <v>PED. 36686526</v>
      </c>
      <c r="E19" s="124">
        <f t="shared" si="15"/>
        <v>43571</v>
      </c>
      <c r="F19" s="58">
        <f t="shared" si="15"/>
        <v>18802.23</v>
      </c>
      <c r="G19" s="13">
        <f t="shared" si="15"/>
        <v>20</v>
      </c>
      <c r="H19" s="52">
        <f t="shared" si="15"/>
        <v>18839.849999999999</v>
      </c>
      <c r="I19" s="6">
        <f t="shared" si="15"/>
        <v>-37.619999999998981</v>
      </c>
      <c r="L19" s="2"/>
      <c r="M19" s="16">
        <v>12</v>
      </c>
      <c r="N19" s="15">
        <v>968.41</v>
      </c>
      <c r="O19" s="315">
        <v>43558</v>
      </c>
      <c r="P19" s="629">
        <v>968.41</v>
      </c>
      <c r="Q19" s="630" t="s">
        <v>372</v>
      </c>
      <c r="R19" s="316">
        <v>44</v>
      </c>
      <c r="U19" s="2"/>
      <c r="V19" s="16">
        <v>12</v>
      </c>
      <c r="W19" s="152">
        <v>902</v>
      </c>
      <c r="X19" s="14">
        <v>43557</v>
      </c>
      <c r="Y19" s="152">
        <v>902</v>
      </c>
      <c r="Z19" s="32" t="s">
        <v>368</v>
      </c>
      <c r="AA19" s="18">
        <v>44</v>
      </c>
      <c r="AD19" s="2"/>
      <c r="AE19" s="16">
        <v>12</v>
      </c>
      <c r="AF19" s="15">
        <v>950.11</v>
      </c>
      <c r="AG19" s="14">
        <v>43559</v>
      </c>
      <c r="AH19" s="15">
        <v>950.11</v>
      </c>
      <c r="AI19" s="32" t="s">
        <v>376</v>
      </c>
      <c r="AJ19" s="18">
        <v>44</v>
      </c>
      <c r="AM19" s="2"/>
      <c r="AN19" s="16">
        <v>12</v>
      </c>
      <c r="AO19" s="152">
        <v>930.77</v>
      </c>
      <c r="AP19" s="14">
        <v>43559</v>
      </c>
      <c r="AQ19" s="152">
        <v>930.77</v>
      </c>
      <c r="AR19" s="32" t="s">
        <v>378</v>
      </c>
      <c r="AS19" s="18">
        <v>44</v>
      </c>
      <c r="AV19" s="2"/>
      <c r="AW19" s="16">
        <v>12</v>
      </c>
      <c r="AX19" s="7">
        <v>932.1</v>
      </c>
      <c r="AY19" s="85">
        <v>43560</v>
      </c>
      <c r="AZ19" s="7">
        <v>932.1</v>
      </c>
      <c r="BA19" s="101" t="s">
        <v>383</v>
      </c>
      <c r="BB19" s="317">
        <v>43</v>
      </c>
      <c r="BE19" s="2"/>
      <c r="BF19" s="16">
        <v>12</v>
      </c>
      <c r="BG19" s="15">
        <v>960.54</v>
      </c>
      <c r="BH19" s="308">
        <v>43561</v>
      </c>
      <c r="BI19" s="15">
        <v>960.54</v>
      </c>
      <c r="BJ19" s="310" t="s">
        <v>389</v>
      </c>
      <c r="BK19" s="311">
        <v>43</v>
      </c>
      <c r="BN19" s="2"/>
      <c r="BO19" s="16">
        <v>12</v>
      </c>
      <c r="BP19" s="15">
        <v>947.1</v>
      </c>
      <c r="BQ19" s="308">
        <v>43560</v>
      </c>
      <c r="BR19" s="15">
        <v>947.1</v>
      </c>
      <c r="BS19" s="310" t="s">
        <v>387</v>
      </c>
      <c r="BT19" s="311">
        <v>43</v>
      </c>
      <c r="BW19" s="2"/>
      <c r="BX19" s="16">
        <v>12</v>
      </c>
      <c r="BY19" s="15">
        <v>873.2</v>
      </c>
      <c r="BZ19" s="308">
        <v>43563</v>
      </c>
      <c r="CA19" s="15">
        <v>873.2</v>
      </c>
      <c r="CB19" s="310" t="s">
        <v>396</v>
      </c>
      <c r="CC19" s="311">
        <v>40</v>
      </c>
      <c r="CF19" s="2"/>
      <c r="CG19" s="16">
        <v>12</v>
      </c>
      <c r="CH19" s="15">
        <v>905.5</v>
      </c>
      <c r="CI19" s="14">
        <v>43564</v>
      </c>
      <c r="CJ19" s="15">
        <v>905.5</v>
      </c>
      <c r="CK19" s="32" t="s">
        <v>385</v>
      </c>
      <c r="CL19" s="18">
        <v>40</v>
      </c>
      <c r="CN19" s="102"/>
      <c r="CO19" s="2"/>
      <c r="CP19" s="16">
        <v>12</v>
      </c>
      <c r="CQ19" s="15">
        <v>922.45</v>
      </c>
      <c r="CR19" s="14">
        <v>43566</v>
      </c>
      <c r="CS19" s="15">
        <v>922.45</v>
      </c>
      <c r="CT19" s="32" t="s">
        <v>408</v>
      </c>
      <c r="CU19" s="18">
        <v>40</v>
      </c>
      <c r="CX19" s="2"/>
      <c r="CY19" s="16">
        <v>12</v>
      </c>
      <c r="CZ19" s="15">
        <v>910.35</v>
      </c>
      <c r="DA19" s="308">
        <v>43565</v>
      </c>
      <c r="DB19" s="15">
        <v>910.35</v>
      </c>
      <c r="DC19" s="310" t="s">
        <v>404</v>
      </c>
      <c r="DD19" s="311">
        <v>40</v>
      </c>
      <c r="DG19" s="2"/>
      <c r="DH19" s="16">
        <v>12</v>
      </c>
      <c r="DI19" s="15">
        <v>925.8</v>
      </c>
      <c r="DJ19" s="308">
        <v>43567</v>
      </c>
      <c r="DK19" s="664">
        <v>925.8</v>
      </c>
      <c r="DL19" s="310" t="s">
        <v>411</v>
      </c>
      <c r="DM19" s="311">
        <v>39</v>
      </c>
      <c r="DP19" s="2"/>
      <c r="DQ19" s="16">
        <v>12</v>
      </c>
      <c r="DR19" s="7">
        <v>918.52</v>
      </c>
      <c r="DS19" s="47">
        <v>43568</v>
      </c>
      <c r="DT19" s="7">
        <v>918.52</v>
      </c>
      <c r="DU19" s="60" t="s">
        <v>426</v>
      </c>
      <c r="DV19" s="18">
        <v>40</v>
      </c>
      <c r="DY19" s="2"/>
      <c r="DZ19" s="16">
        <v>12</v>
      </c>
      <c r="EA19" s="7">
        <v>940.14</v>
      </c>
      <c r="EB19" s="47">
        <v>43568</v>
      </c>
      <c r="EC19" s="7">
        <v>940.14</v>
      </c>
      <c r="ED19" s="60" t="s">
        <v>419</v>
      </c>
      <c r="EE19" s="18">
        <v>39</v>
      </c>
      <c r="EH19" s="2"/>
      <c r="EI19" s="16">
        <v>12</v>
      </c>
      <c r="EJ19" s="15">
        <v>909</v>
      </c>
      <c r="EK19" s="14">
        <v>43568</v>
      </c>
      <c r="EL19" s="15">
        <v>909</v>
      </c>
      <c r="EM19" s="35" t="s">
        <v>423</v>
      </c>
      <c r="EN19" s="18">
        <v>40</v>
      </c>
      <c r="EQ19" s="2"/>
      <c r="ER19" s="16">
        <v>12</v>
      </c>
      <c r="ES19" s="15">
        <v>936.21</v>
      </c>
      <c r="ET19" s="14">
        <v>43571</v>
      </c>
      <c r="EU19" s="15">
        <v>936.21</v>
      </c>
      <c r="EV19" s="35" t="s">
        <v>430</v>
      </c>
      <c r="EW19" s="18">
        <v>40</v>
      </c>
      <c r="EZ19" s="2"/>
      <c r="FA19" s="16">
        <v>12</v>
      </c>
      <c r="FB19" s="134">
        <v>939.23</v>
      </c>
      <c r="FC19" s="119">
        <v>43571</v>
      </c>
      <c r="FD19" s="134">
        <v>939.23</v>
      </c>
      <c r="FE19" s="90" t="s">
        <v>435</v>
      </c>
      <c r="FF19" s="91">
        <v>40</v>
      </c>
      <c r="FI19" s="2"/>
      <c r="FJ19" s="16">
        <v>12</v>
      </c>
      <c r="FK19" s="7">
        <v>966.15</v>
      </c>
      <c r="FL19" s="47">
        <v>43572</v>
      </c>
      <c r="FM19" s="7">
        <v>966.15</v>
      </c>
      <c r="FN19" s="60" t="s">
        <v>439</v>
      </c>
      <c r="FO19" s="18">
        <v>40</v>
      </c>
      <c r="FR19" s="2"/>
      <c r="FS19" s="16">
        <v>12</v>
      </c>
      <c r="FT19" s="15">
        <v>938.02</v>
      </c>
      <c r="FU19" s="119">
        <v>43572</v>
      </c>
      <c r="FV19" s="134">
        <v>938.02</v>
      </c>
      <c r="FW19" s="137" t="s">
        <v>442</v>
      </c>
      <c r="FX19" s="91">
        <v>40</v>
      </c>
      <c r="GA19" s="2"/>
      <c r="GB19" s="16">
        <v>12</v>
      </c>
      <c r="GC19" s="15">
        <v>957.82</v>
      </c>
      <c r="GD19" s="14">
        <v>43572</v>
      </c>
      <c r="GE19" s="15">
        <v>957.82</v>
      </c>
      <c r="GF19" s="32" t="s">
        <v>433</v>
      </c>
      <c r="GG19" s="18">
        <v>40</v>
      </c>
      <c r="GI19"/>
      <c r="GJ19" s="2"/>
      <c r="GK19" s="16">
        <v>12</v>
      </c>
      <c r="GL19" s="15">
        <v>903.1</v>
      </c>
      <c r="GM19" s="14">
        <v>43573</v>
      </c>
      <c r="GN19" s="15">
        <v>903.1</v>
      </c>
      <c r="GO19" s="32" t="s">
        <v>451</v>
      </c>
      <c r="GP19" s="18">
        <v>40</v>
      </c>
      <c r="GS19" s="2"/>
      <c r="GT19" s="16">
        <v>12</v>
      </c>
      <c r="GU19" s="15">
        <v>910.8</v>
      </c>
      <c r="GV19" s="14">
        <v>43575</v>
      </c>
      <c r="GW19" s="15">
        <v>910.8</v>
      </c>
      <c r="GX19" s="239" t="s">
        <v>457</v>
      </c>
      <c r="GY19" s="18">
        <v>40</v>
      </c>
      <c r="HB19" s="2"/>
      <c r="HC19" s="16">
        <v>12</v>
      </c>
      <c r="HD19" s="7">
        <v>952.83</v>
      </c>
      <c r="HE19" s="47">
        <v>43578</v>
      </c>
      <c r="HF19" s="7">
        <v>952.83</v>
      </c>
      <c r="HG19" s="60" t="s">
        <v>463</v>
      </c>
      <c r="HH19" s="18">
        <v>42</v>
      </c>
      <c r="HK19" s="2"/>
      <c r="HL19" s="16">
        <v>12</v>
      </c>
      <c r="HM19" s="15">
        <v>906.5</v>
      </c>
      <c r="HN19" s="14">
        <v>43578</v>
      </c>
      <c r="HO19" s="15">
        <v>906.5</v>
      </c>
      <c r="HP19" s="419" t="s">
        <v>460</v>
      </c>
      <c r="HQ19" s="18">
        <v>42</v>
      </c>
      <c r="HR19" s="15"/>
      <c r="HS19" s="6"/>
      <c r="HT19" s="2"/>
      <c r="HU19" s="16">
        <v>12</v>
      </c>
      <c r="HV19" s="15">
        <v>926.08</v>
      </c>
      <c r="HW19" s="47">
        <v>43579</v>
      </c>
      <c r="HX19" s="15">
        <v>926.08</v>
      </c>
      <c r="HY19" s="60" t="s">
        <v>468</v>
      </c>
      <c r="HZ19" s="18">
        <v>42</v>
      </c>
      <c r="IC19" s="2"/>
      <c r="ID19" s="16">
        <v>12</v>
      </c>
      <c r="IE19" s="15">
        <v>912.62</v>
      </c>
      <c r="IF19" s="14">
        <v>43579</v>
      </c>
      <c r="IG19" s="15">
        <v>912.62</v>
      </c>
      <c r="IH19" s="35" t="s">
        <v>499</v>
      </c>
      <c r="II19" s="18">
        <v>42</v>
      </c>
      <c r="IL19" s="2"/>
      <c r="IM19" s="16">
        <v>12</v>
      </c>
      <c r="IN19" s="7">
        <v>911.7</v>
      </c>
      <c r="IO19" s="430">
        <v>43580</v>
      </c>
      <c r="IP19" s="7">
        <v>911.7</v>
      </c>
      <c r="IQ19" s="60" t="s">
        <v>504</v>
      </c>
      <c r="IR19" s="18">
        <v>42</v>
      </c>
      <c r="IU19" s="2"/>
      <c r="IV19" s="16">
        <v>12</v>
      </c>
      <c r="IW19" s="15">
        <v>971.59</v>
      </c>
      <c r="IX19" s="14">
        <v>43581</v>
      </c>
      <c r="IY19" s="15">
        <v>971.59</v>
      </c>
      <c r="IZ19" s="32" t="s">
        <v>508</v>
      </c>
      <c r="JA19" s="18">
        <v>44</v>
      </c>
      <c r="JD19" s="2"/>
      <c r="JE19" s="16">
        <v>12</v>
      </c>
      <c r="JF19" s="15">
        <v>968.4</v>
      </c>
      <c r="JG19" s="14">
        <v>43582</v>
      </c>
      <c r="JH19" s="15">
        <v>968.4</v>
      </c>
      <c r="JI19" s="32" t="s">
        <v>513</v>
      </c>
      <c r="JJ19" s="18">
        <v>44</v>
      </c>
      <c r="JM19" s="2"/>
      <c r="JN19" s="16">
        <v>12</v>
      </c>
      <c r="JO19" s="7">
        <v>900.5</v>
      </c>
      <c r="JP19" s="14">
        <v>43586</v>
      </c>
      <c r="JQ19" s="7">
        <v>900.5</v>
      </c>
      <c r="JR19" s="32" t="s">
        <v>524</v>
      </c>
      <c r="JS19" s="18">
        <v>45</v>
      </c>
      <c r="JV19" s="2"/>
      <c r="JW19" s="16">
        <v>12</v>
      </c>
      <c r="JX19" s="15">
        <v>926.98</v>
      </c>
      <c r="JY19" s="14">
        <v>43585</v>
      </c>
      <c r="JZ19" s="15">
        <v>926.98</v>
      </c>
      <c r="KA19" s="32" t="s">
        <v>523</v>
      </c>
      <c r="KB19" s="18">
        <v>45</v>
      </c>
      <c r="KE19" s="2"/>
      <c r="KF19" s="16">
        <v>12</v>
      </c>
      <c r="KG19" s="15">
        <v>911.26</v>
      </c>
      <c r="KH19" s="14">
        <v>43586</v>
      </c>
      <c r="KI19" s="15">
        <v>911.26</v>
      </c>
      <c r="KJ19" s="32" t="s">
        <v>539</v>
      </c>
      <c r="KK19" s="18">
        <v>45</v>
      </c>
      <c r="KN19" s="2"/>
      <c r="KO19" s="16">
        <v>12</v>
      </c>
      <c r="KP19" s="152">
        <v>974.6</v>
      </c>
      <c r="KQ19" s="85">
        <v>43586</v>
      </c>
      <c r="KR19" s="152">
        <v>974.6</v>
      </c>
      <c r="KS19" s="101" t="s">
        <v>541</v>
      </c>
      <c r="KT19" s="83">
        <v>45</v>
      </c>
      <c r="KW19" s="2"/>
      <c r="KX19" s="16">
        <v>12</v>
      </c>
      <c r="KY19" s="152">
        <v>922.6</v>
      </c>
      <c r="KZ19" s="14">
        <v>43588</v>
      </c>
      <c r="LA19" s="152">
        <v>922.6</v>
      </c>
      <c r="LB19" s="32" t="s">
        <v>547</v>
      </c>
      <c r="LC19" s="18">
        <v>46</v>
      </c>
      <c r="LF19" s="2"/>
      <c r="LG19" s="16">
        <v>12</v>
      </c>
      <c r="LH19" s="15">
        <v>941.2</v>
      </c>
      <c r="LI19" s="14">
        <v>43588</v>
      </c>
      <c r="LJ19" s="15">
        <v>941.2</v>
      </c>
      <c r="LK19" s="32" t="s">
        <v>545</v>
      </c>
      <c r="LL19" s="18">
        <v>46</v>
      </c>
      <c r="LO19" s="2"/>
      <c r="LP19" s="16">
        <v>12</v>
      </c>
      <c r="LQ19" s="152">
        <v>940.7</v>
      </c>
      <c r="LR19" s="14">
        <v>43591</v>
      </c>
      <c r="LS19" s="712">
        <v>940.7</v>
      </c>
      <c r="LT19" s="713" t="s">
        <v>555</v>
      </c>
      <c r="LU19" s="18">
        <v>45</v>
      </c>
      <c r="LX19" s="2"/>
      <c r="LY19" s="16">
        <v>12</v>
      </c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7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8"/>
      <c r="RP19" s="309"/>
      <c r="RQ19" s="310"/>
      <c r="RR19" s="311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3" t="str">
        <f t="shared" ref="B20:I20" si="16">EY5</f>
        <v>SMITHFIELF FRESS MEATS</v>
      </c>
      <c r="C20" t="str">
        <f t="shared" si="16"/>
        <v>Smithfield</v>
      </c>
      <c r="D20" s="56" t="str">
        <f t="shared" si="16"/>
        <v>PED. 36685963</v>
      </c>
      <c r="E20" s="124">
        <f t="shared" si="16"/>
        <v>43571</v>
      </c>
      <c r="F20" s="58">
        <f t="shared" si="16"/>
        <v>19128.189999999999</v>
      </c>
      <c r="G20" s="13">
        <f t="shared" si="16"/>
        <v>20</v>
      </c>
      <c r="H20" s="52">
        <f t="shared" si="16"/>
        <v>18912.46</v>
      </c>
      <c r="I20" s="6">
        <f t="shared" si="16"/>
        <v>215.72999999999956</v>
      </c>
      <c r="L20" s="2"/>
      <c r="M20" s="16">
        <v>13</v>
      </c>
      <c r="N20" s="15">
        <v>956.17</v>
      </c>
      <c r="O20" s="315">
        <v>43556</v>
      </c>
      <c r="P20" s="629">
        <v>956.17</v>
      </c>
      <c r="Q20" s="630" t="s">
        <v>365</v>
      </c>
      <c r="R20" s="316">
        <v>44</v>
      </c>
      <c r="U20" s="2"/>
      <c r="V20" s="16">
        <v>13</v>
      </c>
      <c r="W20" s="152">
        <v>787.5</v>
      </c>
      <c r="X20" s="14">
        <v>43557</v>
      </c>
      <c r="Y20" s="152">
        <v>787.5</v>
      </c>
      <c r="Z20" s="32" t="s">
        <v>368</v>
      </c>
      <c r="AA20" s="18">
        <v>44</v>
      </c>
      <c r="AD20" s="2"/>
      <c r="AE20" s="16">
        <v>13</v>
      </c>
      <c r="AF20" s="15">
        <v>974.15</v>
      </c>
      <c r="AG20" s="14">
        <v>43558</v>
      </c>
      <c r="AH20" s="15">
        <v>974.15</v>
      </c>
      <c r="AI20" s="32" t="s">
        <v>374</v>
      </c>
      <c r="AJ20" s="18">
        <v>44</v>
      </c>
      <c r="AM20" s="2"/>
      <c r="AN20" s="16">
        <v>13</v>
      </c>
      <c r="AO20" s="152">
        <v>941.2</v>
      </c>
      <c r="AP20" s="14">
        <v>43559</v>
      </c>
      <c r="AQ20" s="152">
        <v>941.2</v>
      </c>
      <c r="AR20" s="32" t="s">
        <v>379</v>
      </c>
      <c r="AS20" s="18">
        <v>44</v>
      </c>
      <c r="AV20" s="2"/>
      <c r="AW20" s="16">
        <v>13</v>
      </c>
      <c r="AX20" s="15">
        <v>920.3</v>
      </c>
      <c r="AY20" s="85">
        <v>43560</v>
      </c>
      <c r="AZ20" s="15">
        <v>920.3</v>
      </c>
      <c r="BA20" s="101" t="s">
        <v>383</v>
      </c>
      <c r="BB20" s="317">
        <v>43</v>
      </c>
      <c r="BE20" s="2"/>
      <c r="BF20" s="16">
        <v>13</v>
      </c>
      <c r="BG20" s="15">
        <v>914.29</v>
      </c>
      <c r="BH20" s="308">
        <v>43561</v>
      </c>
      <c r="BI20" s="15">
        <v>914.29</v>
      </c>
      <c r="BJ20" s="310" t="s">
        <v>389</v>
      </c>
      <c r="BK20" s="311">
        <v>43</v>
      </c>
      <c r="BN20" s="2"/>
      <c r="BO20" s="16">
        <v>13</v>
      </c>
      <c r="BP20" s="15">
        <v>914.44</v>
      </c>
      <c r="BQ20" s="308">
        <v>43560</v>
      </c>
      <c r="BR20" s="15">
        <v>914.44</v>
      </c>
      <c r="BS20" s="310" t="s">
        <v>387</v>
      </c>
      <c r="BT20" s="311">
        <v>43</v>
      </c>
      <c r="BW20" s="2"/>
      <c r="BX20" s="16">
        <v>13</v>
      </c>
      <c r="BY20" s="15">
        <v>869.5</v>
      </c>
      <c r="BZ20" s="308">
        <v>43563</v>
      </c>
      <c r="CA20" s="15">
        <v>869.5</v>
      </c>
      <c r="CB20" s="310" t="s">
        <v>393</v>
      </c>
      <c r="CC20" s="311">
        <v>40</v>
      </c>
      <c r="CF20" s="2"/>
      <c r="CG20" s="16">
        <v>13</v>
      </c>
      <c r="CH20" s="15">
        <v>889.5</v>
      </c>
      <c r="CI20" s="14">
        <v>43564</v>
      </c>
      <c r="CJ20" s="15">
        <v>889.5</v>
      </c>
      <c r="CK20" s="32" t="s">
        <v>385</v>
      </c>
      <c r="CL20" s="18">
        <v>40</v>
      </c>
      <c r="CN20" s="102"/>
      <c r="CO20" s="2"/>
      <c r="CP20" s="16">
        <v>13</v>
      </c>
      <c r="CQ20" s="15">
        <v>923.36</v>
      </c>
      <c r="CR20" s="14">
        <v>43565</v>
      </c>
      <c r="CS20" s="15">
        <v>923.36</v>
      </c>
      <c r="CT20" s="32" t="s">
        <v>400</v>
      </c>
      <c r="CU20" s="18">
        <v>40</v>
      </c>
      <c r="CX20" s="2"/>
      <c r="CY20" s="16">
        <v>13</v>
      </c>
      <c r="CZ20" s="15">
        <v>898.56</v>
      </c>
      <c r="DA20" s="308">
        <v>43565</v>
      </c>
      <c r="DB20" s="15">
        <v>898.56</v>
      </c>
      <c r="DC20" s="310" t="s">
        <v>404</v>
      </c>
      <c r="DD20" s="311">
        <v>40</v>
      </c>
      <c r="DG20" s="2"/>
      <c r="DH20" s="16">
        <v>13</v>
      </c>
      <c r="DI20" s="15">
        <v>932.6</v>
      </c>
      <c r="DJ20" s="308">
        <v>43567</v>
      </c>
      <c r="DK20" s="15">
        <v>932.6</v>
      </c>
      <c r="DL20" s="310" t="s">
        <v>411</v>
      </c>
      <c r="DM20" s="311">
        <v>39</v>
      </c>
      <c r="DP20" s="2"/>
      <c r="DQ20" s="16">
        <v>13</v>
      </c>
      <c r="DR20" s="7">
        <v>928.95</v>
      </c>
      <c r="DS20" s="47">
        <v>43568</v>
      </c>
      <c r="DT20" s="7">
        <v>928.95</v>
      </c>
      <c r="DU20" s="60" t="s">
        <v>417</v>
      </c>
      <c r="DV20" s="18">
        <v>39</v>
      </c>
      <c r="DY20" s="2"/>
      <c r="DZ20" s="16">
        <v>13</v>
      </c>
      <c r="EA20" s="7">
        <v>938.78</v>
      </c>
      <c r="EB20" s="47">
        <v>43568</v>
      </c>
      <c r="EC20" s="7">
        <v>938.78</v>
      </c>
      <c r="ED20" s="60" t="s">
        <v>419</v>
      </c>
      <c r="EE20" s="18">
        <v>39</v>
      </c>
      <c r="EH20" s="2"/>
      <c r="EI20" s="16">
        <v>13</v>
      </c>
      <c r="EJ20" s="15">
        <v>934.4</v>
      </c>
      <c r="EK20" s="14">
        <v>43568</v>
      </c>
      <c r="EL20" s="15">
        <v>934.4</v>
      </c>
      <c r="EM20" s="35" t="s">
        <v>423</v>
      </c>
      <c r="EN20" s="18">
        <v>40</v>
      </c>
      <c r="EQ20" s="2"/>
      <c r="ER20" s="16">
        <v>13</v>
      </c>
      <c r="ES20" s="15">
        <v>950.27</v>
      </c>
      <c r="ET20" s="14">
        <v>43571</v>
      </c>
      <c r="EU20" s="15">
        <v>950.27</v>
      </c>
      <c r="EV20" s="35" t="s">
        <v>430</v>
      </c>
      <c r="EW20" s="18">
        <v>40</v>
      </c>
      <c r="EZ20" s="2"/>
      <c r="FA20" s="16">
        <v>13</v>
      </c>
      <c r="FB20" s="134">
        <v>958.28</v>
      </c>
      <c r="FC20" s="119">
        <v>43571</v>
      </c>
      <c r="FD20" s="134">
        <v>958.28</v>
      </c>
      <c r="FE20" s="90" t="s">
        <v>435</v>
      </c>
      <c r="FF20" s="91">
        <v>40</v>
      </c>
      <c r="FI20" s="2"/>
      <c r="FJ20" s="16">
        <v>13</v>
      </c>
      <c r="FK20" s="7">
        <v>943.47</v>
      </c>
      <c r="FL20" s="47">
        <v>43572</v>
      </c>
      <c r="FM20" s="7">
        <v>943.47</v>
      </c>
      <c r="FN20" s="60" t="s">
        <v>439</v>
      </c>
      <c r="FO20" s="18">
        <v>40</v>
      </c>
      <c r="FR20" s="2"/>
      <c r="FS20" s="16">
        <v>13</v>
      </c>
      <c r="FT20" s="15">
        <v>922.6</v>
      </c>
      <c r="FU20" s="119">
        <v>43572</v>
      </c>
      <c r="FV20" s="134">
        <v>922.6</v>
      </c>
      <c r="FW20" s="137" t="s">
        <v>442</v>
      </c>
      <c r="FX20" s="91">
        <v>40</v>
      </c>
      <c r="GA20" s="2"/>
      <c r="GB20" s="16">
        <v>13</v>
      </c>
      <c r="GC20" s="15">
        <v>962.36</v>
      </c>
      <c r="GD20" s="14">
        <v>43572</v>
      </c>
      <c r="GE20" s="15">
        <v>962.36</v>
      </c>
      <c r="GF20" s="32" t="s">
        <v>433</v>
      </c>
      <c r="GG20" s="18">
        <v>40</v>
      </c>
      <c r="GI20"/>
      <c r="GJ20" s="2"/>
      <c r="GK20" s="16">
        <v>13</v>
      </c>
      <c r="GL20" s="15">
        <v>920.3</v>
      </c>
      <c r="GM20" s="14">
        <v>43573</v>
      </c>
      <c r="GN20" s="15">
        <v>920.3</v>
      </c>
      <c r="GO20" s="32" t="s">
        <v>451</v>
      </c>
      <c r="GP20" s="18">
        <v>40</v>
      </c>
      <c r="GS20" s="2"/>
      <c r="GT20" s="16">
        <v>13</v>
      </c>
      <c r="GU20" s="15">
        <v>894</v>
      </c>
      <c r="GV20" s="14">
        <v>43575</v>
      </c>
      <c r="GW20" s="15">
        <v>894</v>
      </c>
      <c r="GX20" s="239" t="s">
        <v>457</v>
      </c>
      <c r="GY20" s="18">
        <v>40</v>
      </c>
      <c r="HB20" s="2"/>
      <c r="HC20" s="16">
        <v>13</v>
      </c>
      <c r="HD20" s="7">
        <v>933.33</v>
      </c>
      <c r="HE20" s="47">
        <v>43578</v>
      </c>
      <c r="HF20" s="7">
        <v>933.33</v>
      </c>
      <c r="HG20" s="60" t="s">
        <v>463</v>
      </c>
      <c r="HH20" s="18">
        <v>42</v>
      </c>
      <c r="HK20" s="2"/>
      <c r="HL20" s="16">
        <v>13</v>
      </c>
      <c r="HM20" s="15">
        <v>905.5</v>
      </c>
      <c r="HN20" s="14">
        <v>43578</v>
      </c>
      <c r="HO20" s="15">
        <v>905.5</v>
      </c>
      <c r="HP20" s="419" t="s">
        <v>460</v>
      </c>
      <c r="HQ20" s="18">
        <v>42</v>
      </c>
      <c r="HR20" s="15"/>
      <c r="HT20" s="2"/>
      <c r="HU20" s="16">
        <v>13</v>
      </c>
      <c r="HV20" s="15">
        <v>954.2</v>
      </c>
      <c r="HW20" s="47">
        <v>43579</v>
      </c>
      <c r="HX20" s="15">
        <v>954.2</v>
      </c>
      <c r="HY20" s="60" t="s">
        <v>468</v>
      </c>
      <c r="HZ20" s="18">
        <v>42</v>
      </c>
      <c r="IC20" s="2"/>
      <c r="ID20" s="16">
        <v>13</v>
      </c>
      <c r="IE20" s="15">
        <v>935.3</v>
      </c>
      <c r="IF20" s="14">
        <v>43579</v>
      </c>
      <c r="IG20" s="15">
        <v>935.3</v>
      </c>
      <c r="IH20" s="35" t="s">
        <v>499</v>
      </c>
      <c r="II20" s="18">
        <v>42</v>
      </c>
      <c r="IL20" s="2"/>
      <c r="IM20" s="16">
        <v>13</v>
      </c>
      <c r="IN20" s="7">
        <v>875.4</v>
      </c>
      <c r="IO20" s="430">
        <v>43580</v>
      </c>
      <c r="IP20" s="7">
        <v>875.4</v>
      </c>
      <c r="IQ20" s="60" t="s">
        <v>504</v>
      </c>
      <c r="IR20" s="18">
        <v>42</v>
      </c>
      <c r="IU20" s="2"/>
      <c r="IV20" s="16">
        <v>13</v>
      </c>
      <c r="IW20" s="15">
        <v>951.63</v>
      </c>
      <c r="IX20" s="14">
        <v>43581</v>
      </c>
      <c r="IY20" s="15">
        <v>951.63</v>
      </c>
      <c r="IZ20" s="32" t="s">
        <v>508</v>
      </c>
      <c r="JA20" s="18">
        <v>44</v>
      </c>
      <c r="JD20" s="2"/>
      <c r="JE20" s="16">
        <v>13</v>
      </c>
      <c r="JF20" s="15">
        <v>928.5</v>
      </c>
      <c r="JG20" s="14">
        <v>43582</v>
      </c>
      <c r="JH20" s="15">
        <v>928.5</v>
      </c>
      <c r="JI20" s="32" t="s">
        <v>513</v>
      </c>
      <c r="JJ20" s="18">
        <v>44</v>
      </c>
      <c r="JM20" s="2"/>
      <c r="JN20" s="16">
        <v>13</v>
      </c>
      <c r="JO20" s="15">
        <v>896.5</v>
      </c>
      <c r="JP20" s="14">
        <v>43586</v>
      </c>
      <c r="JQ20" s="15">
        <v>896.5</v>
      </c>
      <c r="JR20" s="32" t="s">
        <v>524</v>
      </c>
      <c r="JS20" s="18">
        <v>45</v>
      </c>
      <c r="JV20" s="2"/>
      <c r="JW20" s="16">
        <v>13</v>
      </c>
      <c r="JX20" s="15">
        <v>912.02</v>
      </c>
      <c r="JY20" s="14">
        <v>43585</v>
      </c>
      <c r="JZ20" s="15">
        <v>912.02</v>
      </c>
      <c r="KA20" s="32" t="s">
        <v>523</v>
      </c>
      <c r="KB20" s="18">
        <v>45</v>
      </c>
      <c r="KE20" s="2"/>
      <c r="KF20" s="16">
        <v>13</v>
      </c>
      <c r="KG20" s="15">
        <v>962.97</v>
      </c>
      <c r="KH20" s="14">
        <v>43586</v>
      </c>
      <c r="KI20" s="15">
        <v>962.97</v>
      </c>
      <c r="KJ20" s="32" t="s">
        <v>539</v>
      </c>
      <c r="KK20" s="18">
        <v>45</v>
      </c>
      <c r="KN20" s="2"/>
      <c r="KO20" s="16">
        <v>13</v>
      </c>
      <c r="KP20" s="152">
        <v>954.2</v>
      </c>
      <c r="KQ20" s="85">
        <v>43586</v>
      </c>
      <c r="KR20" s="152">
        <v>954.2</v>
      </c>
      <c r="KS20" s="101" t="s">
        <v>541</v>
      </c>
      <c r="KT20" s="83">
        <v>45</v>
      </c>
      <c r="KW20" s="2"/>
      <c r="KX20" s="16">
        <v>13</v>
      </c>
      <c r="KY20" s="152">
        <v>945.28</v>
      </c>
      <c r="KZ20" s="14">
        <v>43588</v>
      </c>
      <c r="LA20" s="152">
        <v>945.28</v>
      </c>
      <c r="LB20" s="32" t="s">
        <v>547</v>
      </c>
      <c r="LC20" s="18">
        <v>46</v>
      </c>
      <c r="LF20" s="2"/>
      <c r="LG20" s="16">
        <v>13</v>
      </c>
      <c r="LH20" s="15">
        <v>939.86</v>
      </c>
      <c r="LI20" s="14">
        <v>43588</v>
      </c>
      <c r="LJ20" s="15">
        <v>939.86</v>
      </c>
      <c r="LK20" s="32" t="s">
        <v>545</v>
      </c>
      <c r="LL20" s="18">
        <v>46</v>
      </c>
      <c r="LO20" s="2"/>
      <c r="LP20" s="16">
        <v>13</v>
      </c>
      <c r="LQ20" s="152">
        <v>898.6</v>
      </c>
      <c r="LR20" s="14">
        <v>43591</v>
      </c>
      <c r="LS20" s="712">
        <v>898.6</v>
      </c>
      <c r="LT20" s="713" t="s">
        <v>555</v>
      </c>
      <c r="LU20" s="18">
        <v>45</v>
      </c>
      <c r="LX20" s="2"/>
      <c r="LY20" s="16">
        <v>13</v>
      </c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7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8"/>
      <c r="RP20" s="309"/>
      <c r="RQ20" s="310"/>
      <c r="RR20" s="311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TYSON FRESH MEATS</v>
      </c>
      <c r="C21" t="str">
        <f t="shared" si="17"/>
        <v xml:space="preserve">I B P </v>
      </c>
      <c r="D21" s="98" t="str">
        <f>FJ5</f>
        <v>PED. 36733328</v>
      </c>
      <c r="E21" s="124">
        <f t="shared" si="17"/>
        <v>43572</v>
      </c>
      <c r="F21" s="58">
        <f t="shared" si="17"/>
        <v>18776.14</v>
      </c>
      <c r="G21" s="13">
        <f t="shared" si="17"/>
        <v>20</v>
      </c>
      <c r="H21" s="52">
        <f t="shared" si="17"/>
        <v>18839.86</v>
      </c>
      <c r="I21" s="6">
        <f t="shared" si="17"/>
        <v>-63.720000000001164</v>
      </c>
      <c r="L21" s="2"/>
      <c r="M21" s="16">
        <v>14</v>
      </c>
      <c r="N21" s="15">
        <v>966.6</v>
      </c>
      <c r="O21" s="14">
        <v>43554</v>
      </c>
      <c r="P21" s="15">
        <v>966.6</v>
      </c>
      <c r="Q21" s="32" t="s">
        <v>237</v>
      </c>
      <c r="R21" s="18">
        <v>44</v>
      </c>
      <c r="U21" s="2"/>
      <c r="V21" s="16">
        <v>14</v>
      </c>
      <c r="W21" s="152">
        <v>891.5</v>
      </c>
      <c r="X21" s="14">
        <v>43557</v>
      </c>
      <c r="Y21" s="152">
        <v>891.5</v>
      </c>
      <c r="Z21" s="32" t="s">
        <v>368</v>
      </c>
      <c r="AA21" s="18">
        <v>44</v>
      </c>
      <c r="AD21" s="2"/>
      <c r="AE21" s="16">
        <v>14</v>
      </c>
      <c r="AF21" s="15">
        <v>939.23</v>
      </c>
      <c r="AG21" s="14">
        <v>43559</v>
      </c>
      <c r="AH21" s="15">
        <v>939.23</v>
      </c>
      <c r="AI21" s="32" t="s">
        <v>377</v>
      </c>
      <c r="AJ21" s="18">
        <v>44</v>
      </c>
      <c r="AM21" s="2"/>
      <c r="AN21" s="16">
        <v>14</v>
      </c>
      <c r="AO21" s="152">
        <v>974.31</v>
      </c>
      <c r="AP21" s="14">
        <v>43559</v>
      </c>
      <c r="AQ21" s="152">
        <v>974.31</v>
      </c>
      <c r="AR21" s="32" t="s">
        <v>378</v>
      </c>
      <c r="AS21" s="18">
        <v>44</v>
      </c>
      <c r="AV21" s="2"/>
      <c r="AW21" s="16">
        <v>14</v>
      </c>
      <c r="AX21" s="15">
        <v>912.2</v>
      </c>
      <c r="AY21" s="85">
        <v>43560</v>
      </c>
      <c r="AZ21" s="15">
        <v>912.2</v>
      </c>
      <c r="BA21" s="101" t="s">
        <v>383</v>
      </c>
      <c r="BB21" s="317">
        <v>43</v>
      </c>
      <c r="BE21" s="2"/>
      <c r="BF21" s="16">
        <v>14</v>
      </c>
      <c r="BG21" s="15">
        <v>944.22</v>
      </c>
      <c r="BH21" s="308">
        <v>43561</v>
      </c>
      <c r="BI21" s="15">
        <v>944.22</v>
      </c>
      <c r="BJ21" s="310" t="s">
        <v>389</v>
      </c>
      <c r="BK21" s="311">
        <v>43</v>
      </c>
      <c r="BN21" s="2"/>
      <c r="BO21" s="16">
        <v>14</v>
      </c>
      <c r="BP21" s="15">
        <v>946.19</v>
      </c>
      <c r="BQ21" s="308">
        <v>43560</v>
      </c>
      <c r="BR21" s="15">
        <v>946.19</v>
      </c>
      <c r="BS21" s="310" t="s">
        <v>387</v>
      </c>
      <c r="BT21" s="311">
        <v>43</v>
      </c>
      <c r="BW21" s="2"/>
      <c r="BX21" s="16">
        <v>14</v>
      </c>
      <c r="BY21" s="15">
        <v>801.5</v>
      </c>
      <c r="BZ21" s="308">
        <v>43563</v>
      </c>
      <c r="CA21" s="15">
        <v>801.5</v>
      </c>
      <c r="CB21" s="310" t="s">
        <v>394</v>
      </c>
      <c r="CC21" s="311">
        <v>40</v>
      </c>
      <c r="CF21" s="2"/>
      <c r="CG21" s="16">
        <v>14</v>
      </c>
      <c r="CH21" s="15">
        <v>900</v>
      </c>
      <c r="CI21" s="14">
        <v>43564</v>
      </c>
      <c r="CJ21" s="15">
        <v>900</v>
      </c>
      <c r="CK21" s="32" t="s">
        <v>385</v>
      </c>
      <c r="CL21" s="18">
        <v>40</v>
      </c>
      <c r="CN21" s="102"/>
      <c r="CO21" s="2"/>
      <c r="CP21" s="16">
        <v>14</v>
      </c>
      <c r="CQ21" s="15">
        <v>908.39</v>
      </c>
      <c r="CR21" s="14">
        <v>43565</v>
      </c>
      <c r="CS21" s="15">
        <v>908.39</v>
      </c>
      <c r="CT21" s="32" t="s">
        <v>400</v>
      </c>
      <c r="CU21" s="18">
        <v>40</v>
      </c>
      <c r="CX21" s="2"/>
      <c r="CY21" s="16">
        <v>14</v>
      </c>
      <c r="CZ21" s="15">
        <v>937.57</v>
      </c>
      <c r="DA21" s="308">
        <v>43565</v>
      </c>
      <c r="DB21" s="15">
        <v>937.57</v>
      </c>
      <c r="DC21" s="310" t="s">
        <v>404</v>
      </c>
      <c r="DD21" s="311">
        <v>40</v>
      </c>
      <c r="DG21" s="2"/>
      <c r="DH21" s="16">
        <v>14</v>
      </c>
      <c r="DI21" s="15">
        <v>910.8</v>
      </c>
      <c r="DJ21" s="308">
        <v>43567</v>
      </c>
      <c r="DK21" s="15">
        <v>910.8</v>
      </c>
      <c r="DL21" s="310" t="s">
        <v>411</v>
      </c>
      <c r="DM21" s="311">
        <v>39</v>
      </c>
      <c r="DP21" s="2"/>
      <c r="DQ21" s="16">
        <v>14</v>
      </c>
      <c r="DR21" s="7">
        <v>966.15</v>
      </c>
      <c r="DS21" s="47">
        <v>43568</v>
      </c>
      <c r="DT21" s="7">
        <v>966.15</v>
      </c>
      <c r="DU21" s="60" t="s">
        <v>417</v>
      </c>
      <c r="DV21" s="18">
        <v>39</v>
      </c>
      <c r="DY21" s="2"/>
      <c r="DZ21" s="16">
        <v>14</v>
      </c>
      <c r="EA21" s="7">
        <v>952.38</v>
      </c>
      <c r="EB21" s="47">
        <v>43568</v>
      </c>
      <c r="EC21" s="7">
        <v>952.38</v>
      </c>
      <c r="ED21" s="60" t="s">
        <v>419</v>
      </c>
      <c r="EE21" s="18">
        <v>39</v>
      </c>
      <c r="EH21" s="2"/>
      <c r="EI21" s="16">
        <v>14</v>
      </c>
      <c r="EJ21" s="15">
        <v>953.4</v>
      </c>
      <c r="EK21" s="14">
        <v>43568</v>
      </c>
      <c r="EL21" s="15">
        <v>953.4</v>
      </c>
      <c r="EM21" s="35" t="s">
        <v>423</v>
      </c>
      <c r="EN21" s="18">
        <v>40</v>
      </c>
      <c r="EQ21" s="2"/>
      <c r="ER21" s="16">
        <v>14</v>
      </c>
      <c r="ES21" s="15">
        <v>940.29</v>
      </c>
      <c r="ET21" s="14">
        <v>43571</v>
      </c>
      <c r="EU21" s="15">
        <v>940.29</v>
      </c>
      <c r="EV21" s="35" t="s">
        <v>430</v>
      </c>
      <c r="EW21" s="18">
        <v>40</v>
      </c>
      <c r="EZ21" s="2"/>
      <c r="FA21" s="16">
        <v>14</v>
      </c>
      <c r="FB21" s="134">
        <v>951.47</v>
      </c>
      <c r="FC21" s="119">
        <v>43571</v>
      </c>
      <c r="FD21" s="134">
        <v>951.47</v>
      </c>
      <c r="FE21" s="90" t="s">
        <v>435</v>
      </c>
      <c r="FF21" s="91">
        <v>40</v>
      </c>
      <c r="FI21" s="2"/>
      <c r="FJ21" s="16">
        <v>14</v>
      </c>
      <c r="FK21" s="7">
        <v>922.6</v>
      </c>
      <c r="FL21" s="47">
        <v>43572</v>
      </c>
      <c r="FM21" s="7">
        <v>922.6</v>
      </c>
      <c r="FN21" s="60" t="s">
        <v>439</v>
      </c>
      <c r="FO21" s="18">
        <v>40</v>
      </c>
      <c r="FR21" s="2"/>
      <c r="FS21" s="16">
        <v>14</v>
      </c>
      <c r="FT21" s="15">
        <v>901.74</v>
      </c>
      <c r="FU21" s="119">
        <v>43572</v>
      </c>
      <c r="FV21" s="134">
        <v>901.74</v>
      </c>
      <c r="FW21" s="137" t="s">
        <v>442</v>
      </c>
      <c r="FX21" s="91">
        <v>40</v>
      </c>
      <c r="GA21" s="2"/>
      <c r="GB21" s="16">
        <v>14</v>
      </c>
      <c r="GC21" s="15">
        <v>954.65</v>
      </c>
      <c r="GD21" s="14">
        <v>43572</v>
      </c>
      <c r="GE21" s="15">
        <v>954.65</v>
      </c>
      <c r="GF21" s="32" t="s">
        <v>433</v>
      </c>
      <c r="GG21" s="18">
        <v>40</v>
      </c>
      <c r="GI21"/>
      <c r="GJ21" s="2"/>
      <c r="GK21" s="16">
        <v>14</v>
      </c>
      <c r="GL21" s="15">
        <v>881.8</v>
      </c>
      <c r="GM21" s="14">
        <v>43573</v>
      </c>
      <c r="GN21" s="15">
        <v>881.8</v>
      </c>
      <c r="GO21" s="32" t="s">
        <v>451</v>
      </c>
      <c r="GP21" s="18">
        <v>40</v>
      </c>
      <c r="GS21" s="2"/>
      <c r="GT21" s="16">
        <v>14</v>
      </c>
      <c r="GU21" s="15">
        <v>894.5</v>
      </c>
      <c r="GV21" s="14">
        <v>43575</v>
      </c>
      <c r="GW21" s="15">
        <v>894.5</v>
      </c>
      <c r="GX21" s="239" t="s">
        <v>457</v>
      </c>
      <c r="GY21" s="18">
        <v>40</v>
      </c>
      <c r="HB21" s="2"/>
      <c r="HC21" s="16">
        <v>14</v>
      </c>
      <c r="HD21" s="7">
        <v>1000</v>
      </c>
      <c r="HE21" s="47">
        <v>43578</v>
      </c>
      <c r="HF21" s="7">
        <v>1000</v>
      </c>
      <c r="HG21" s="60" t="s">
        <v>463</v>
      </c>
      <c r="HH21" s="18">
        <v>42</v>
      </c>
      <c r="HK21" s="2"/>
      <c r="HL21" s="16">
        <v>14</v>
      </c>
      <c r="HM21" s="15">
        <v>901.5</v>
      </c>
      <c r="HN21" s="14">
        <v>43578</v>
      </c>
      <c r="HO21" s="15">
        <v>901.5</v>
      </c>
      <c r="HP21" s="419" t="s">
        <v>460</v>
      </c>
      <c r="HQ21" s="18">
        <v>42</v>
      </c>
      <c r="HR21" s="15"/>
      <c r="HT21" s="2"/>
      <c r="HU21" s="16">
        <v>14</v>
      </c>
      <c r="HV21" s="15">
        <v>956.92</v>
      </c>
      <c r="HW21" s="47">
        <v>43579</v>
      </c>
      <c r="HX21" s="15">
        <v>956.92</v>
      </c>
      <c r="HY21" s="60" t="s">
        <v>468</v>
      </c>
      <c r="HZ21" s="18">
        <v>42</v>
      </c>
      <c r="IC21" s="2"/>
      <c r="ID21" s="16">
        <v>14</v>
      </c>
      <c r="IE21" s="15">
        <v>932.58</v>
      </c>
      <c r="IF21" s="14">
        <v>43579</v>
      </c>
      <c r="IG21" s="15">
        <v>932.58</v>
      </c>
      <c r="IH21" s="35" t="s">
        <v>499</v>
      </c>
      <c r="II21" s="18">
        <v>42</v>
      </c>
      <c r="IL21" s="2"/>
      <c r="IM21" s="16">
        <v>14</v>
      </c>
      <c r="IN21" s="7">
        <v>909.4</v>
      </c>
      <c r="IO21" s="430">
        <v>43580</v>
      </c>
      <c r="IP21" s="7">
        <v>909.4</v>
      </c>
      <c r="IQ21" s="60" t="s">
        <v>504</v>
      </c>
      <c r="IR21" s="18">
        <v>42</v>
      </c>
      <c r="IU21" s="2"/>
      <c r="IV21" s="16">
        <v>14</v>
      </c>
      <c r="IW21" s="15">
        <v>938.02</v>
      </c>
      <c r="IX21" s="14">
        <v>43581</v>
      </c>
      <c r="IY21" s="15">
        <v>938.02</v>
      </c>
      <c r="IZ21" s="32" t="s">
        <v>508</v>
      </c>
      <c r="JA21" s="18">
        <v>44</v>
      </c>
      <c r="JD21" s="2"/>
      <c r="JE21" s="16">
        <v>14</v>
      </c>
      <c r="JF21" s="15">
        <v>905.4</v>
      </c>
      <c r="JG21" s="14">
        <v>43582</v>
      </c>
      <c r="JH21" s="15">
        <v>905.4</v>
      </c>
      <c r="JI21" s="32" t="s">
        <v>513</v>
      </c>
      <c r="JJ21" s="18">
        <v>44</v>
      </c>
      <c r="JM21" s="2"/>
      <c r="JN21" s="16">
        <v>14</v>
      </c>
      <c r="JO21" s="15">
        <v>897.5</v>
      </c>
      <c r="JP21" s="14">
        <v>43586</v>
      </c>
      <c r="JQ21" s="15">
        <v>897.5</v>
      </c>
      <c r="JR21" s="32" t="s">
        <v>521</v>
      </c>
      <c r="JS21" s="18">
        <v>45</v>
      </c>
      <c r="JV21" s="2"/>
      <c r="JW21" s="16">
        <v>14</v>
      </c>
      <c r="JX21" s="15">
        <v>936.05</v>
      </c>
      <c r="JY21" s="14">
        <v>43585</v>
      </c>
      <c r="JZ21" s="15">
        <v>936.05</v>
      </c>
      <c r="KA21" s="32" t="s">
        <v>523</v>
      </c>
      <c r="KB21" s="18">
        <v>45</v>
      </c>
      <c r="KE21" s="2"/>
      <c r="KF21" s="16">
        <v>14</v>
      </c>
      <c r="KG21" s="15">
        <v>901.28</v>
      </c>
      <c r="KH21" s="14">
        <v>43586</v>
      </c>
      <c r="KI21" s="15">
        <v>901.28</v>
      </c>
      <c r="KJ21" s="32" t="s">
        <v>539</v>
      </c>
      <c r="KK21" s="18">
        <v>45</v>
      </c>
      <c r="KN21" s="2"/>
      <c r="KO21" s="16">
        <v>14</v>
      </c>
      <c r="KP21" s="152">
        <v>939.68</v>
      </c>
      <c r="KQ21" s="85">
        <v>43586</v>
      </c>
      <c r="KR21" s="152">
        <v>939.68</v>
      </c>
      <c r="KS21" s="101" t="s">
        <v>541</v>
      </c>
      <c r="KT21" s="83">
        <v>45</v>
      </c>
      <c r="KW21" s="2"/>
      <c r="KX21" s="16">
        <v>14</v>
      </c>
      <c r="KY21" s="152">
        <v>939.89</v>
      </c>
      <c r="KZ21" s="14">
        <v>43588</v>
      </c>
      <c r="LA21" s="152">
        <v>939.89</v>
      </c>
      <c r="LB21" s="32" t="s">
        <v>547</v>
      </c>
      <c r="LC21" s="18">
        <v>46</v>
      </c>
      <c r="LF21" s="2"/>
      <c r="LG21" s="16">
        <v>14</v>
      </c>
      <c r="LH21" s="15">
        <v>955.7</v>
      </c>
      <c r="LI21" s="14">
        <v>43588</v>
      </c>
      <c r="LJ21" s="15">
        <v>955.7</v>
      </c>
      <c r="LK21" s="32" t="s">
        <v>545</v>
      </c>
      <c r="LL21" s="18">
        <v>46</v>
      </c>
      <c r="LO21" s="2"/>
      <c r="LP21" s="16">
        <v>14</v>
      </c>
      <c r="LQ21" s="152">
        <v>898.6</v>
      </c>
      <c r="LR21" s="14">
        <v>43591</v>
      </c>
      <c r="LS21" s="712">
        <v>898.6</v>
      </c>
      <c r="LT21" s="713" t="s">
        <v>555</v>
      </c>
      <c r="LU21" s="18">
        <v>45</v>
      </c>
      <c r="LX21" s="2"/>
      <c r="LY21" s="16">
        <v>14</v>
      </c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7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8"/>
      <c r="RP21" s="309"/>
      <c r="RQ21" s="310"/>
      <c r="RR21" s="311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TYSON FRESH MEATS</v>
      </c>
      <c r="C22" t="str">
        <f t="shared" si="18"/>
        <v xml:space="preserve">I B P </v>
      </c>
      <c r="D22" s="56" t="str">
        <f t="shared" si="18"/>
        <v>PED. 36732990</v>
      </c>
      <c r="E22" s="124">
        <f t="shared" si="18"/>
        <v>43572</v>
      </c>
      <c r="F22" s="58">
        <f t="shared" si="18"/>
        <v>18459.349999999999</v>
      </c>
      <c r="G22" s="13">
        <f t="shared" si="18"/>
        <v>20</v>
      </c>
      <c r="H22" s="52">
        <f t="shared" si="18"/>
        <v>18488.330000000002</v>
      </c>
      <c r="I22" s="6">
        <f t="shared" si="18"/>
        <v>-28.980000000003201</v>
      </c>
      <c r="L22" s="2"/>
      <c r="M22" s="16">
        <v>15</v>
      </c>
      <c r="N22" s="15">
        <v>933.49</v>
      </c>
      <c r="O22" s="14">
        <v>43554</v>
      </c>
      <c r="P22" s="15">
        <v>933.49</v>
      </c>
      <c r="Q22" s="32" t="s">
        <v>237</v>
      </c>
      <c r="R22" s="18">
        <v>44</v>
      </c>
      <c r="U22" s="2"/>
      <c r="V22" s="16">
        <v>15</v>
      </c>
      <c r="W22" s="152">
        <v>902</v>
      </c>
      <c r="X22" s="14">
        <v>43557</v>
      </c>
      <c r="Y22" s="152">
        <v>902</v>
      </c>
      <c r="Z22" s="32" t="s">
        <v>368</v>
      </c>
      <c r="AA22" s="18">
        <v>44</v>
      </c>
      <c r="AD22" s="2"/>
      <c r="AE22" s="16">
        <v>15</v>
      </c>
      <c r="AF22" s="15">
        <v>958.28</v>
      </c>
      <c r="AG22" s="14">
        <v>43558</v>
      </c>
      <c r="AH22" s="15">
        <v>958.28</v>
      </c>
      <c r="AI22" s="32" t="s">
        <v>374</v>
      </c>
      <c r="AJ22" s="18">
        <v>44</v>
      </c>
      <c r="AM22" s="2"/>
      <c r="AN22" s="16">
        <v>15</v>
      </c>
      <c r="AO22" s="152">
        <v>925.32</v>
      </c>
      <c r="AP22" s="14">
        <v>43559</v>
      </c>
      <c r="AQ22" s="152">
        <v>925.32</v>
      </c>
      <c r="AR22" s="32" t="s">
        <v>379</v>
      </c>
      <c r="AS22" s="18">
        <v>44</v>
      </c>
      <c r="AV22" s="2"/>
      <c r="AW22" s="16">
        <v>15</v>
      </c>
      <c r="AX22" s="15">
        <v>910.4</v>
      </c>
      <c r="AY22" s="85">
        <v>43560</v>
      </c>
      <c r="AZ22" s="15">
        <v>910.4</v>
      </c>
      <c r="BA22" s="101" t="s">
        <v>384</v>
      </c>
      <c r="BB22" s="317">
        <v>43</v>
      </c>
      <c r="BE22" s="2"/>
      <c r="BF22" s="16">
        <v>15</v>
      </c>
      <c r="BG22" s="15">
        <v>953.74</v>
      </c>
      <c r="BH22" s="308">
        <v>43561</v>
      </c>
      <c r="BI22" s="15">
        <v>953.74</v>
      </c>
      <c r="BJ22" s="310" t="s">
        <v>391</v>
      </c>
      <c r="BK22" s="311">
        <v>43</v>
      </c>
      <c r="BN22" s="2"/>
      <c r="BO22" s="16">
        <v>15</v>
      </c>
      <c r="BP22" s="15">
        <v>945.74</v>
      </c>
      <c r="BQ22" s="308">
        <v>43560</v>
      </c>
      <c r="BR22" s="15">
        <v>945.74</v>
      </c>
      <c r="BS22" s="310" t="s">
        <v>387</v>
      </c>
      <c r="BT22" s="311">
        <v>43</v>
      </c>
      <c r="BW22" s="2"/>
      <c r="BX22" s="16">
        <v>15</v>
      </c>
      <c r="BY22" s="7">
        <v>880.4</v>
      </c>
      <c r="BZ22" s="308">
        <v>43563</v>
      </c>
      <c r="CA22" s="7">
        <v>880.4</v>
      </c>
      <c r="CB22" s="310" t="s">
        <v>393</v>
      </c>
      <c r="CC22" s="311">
        <v>40</v>
      </c>
      <c r="CF22" s="2"/>
      <c r="CG22" s="16">
        <v>15</v>
      </c>
      <c r="CH22" s="15">
        <v>889.5</v>
      </c>
      <c r="CI22" s="14">
        <v>43564</v>
      </c>
      <c r="CJ22" s="15">
        <v>889.5</v>
      </c>
      <c r="CK22" s="32" t="s">
        <v>385</v>
      </c>
      <c r="CL22" s="18">
        <v>40</v>
      </c>
      <c r="CN22" s="102"/>
      <c r="CO22" s="2"/>
      <c r="CP22" s="16">
        <v>15</v>
      </c>
      <c r="CQ22" s="15">
        <v>927.89</v>
      </c>
      <c r="CR22" s="14">
        <v>43565</v>
      </c>
      <c r="CS22" s="15">
        <v>927.89</v>
      </c>
      <c r="CT22" s="32" t="s">
        <v>400</v>
      </c>
      <c r="CU22" s="18">
        <v>40</v>
      </c>
      <c r="CX22" s="2"/>
      <c r="CY22" s="16">
        <v>15</v>
      </c>
      <c r="CZ22" s="15">
        <v>932.13</v>
      </c>
      <c r="DA22" s="308">
        <v>43565</v>
      </c>
      <c r="DB22" s="15">
        <v>932.13</v>
      </c>
      <c r="DC22" s="310" t="s">
        <v>404</v>
      </c>
      <c r="DD22" s="311">
        <v>40</v>
      </c>
      <c r="DG22" s="2"/>
      <c r="DH22" s="16">
        <v>15</v>
      </c>
      <c r="DI22" s="15">
        <v>912.6</v>
      </c>
      <c r="DJ22" s="308">
        <v>43567</v>
      </c>
      <c r="DK22" s="15">
        <v>912.6</v>
      </c>
      <c r="DL22" s="310" t="s">
        <v>411</v>
      </c>
      <c r="DM22" s="311">
        <v>39</v>
      </c>
      <c r="DP22" s="2"/>
      <c r="DQ22" s="16">
        <v>15</v>
      </c>
      <c r="DR22" s="7">
        <v>908.99</v>
      </c>
      <c r="DS22" s="47">
        <v>43568</v>
      </c>
      <c r="DT22" s="7">
        <v>908.99</v>
      </c>
      <c r="DU22" s="60" t="s">
        <v>417</v>
      </c>
      <c r="DV22" s="18">
        <v>39</v>
      </c>
      <c r="DY22" s="2"/>
      <c r="DZ22" s="16">
        <v>15</v>
      </c>
      <c r="EA22" s="7">
        <v>947.39</v>
      </c>
      <c r="EB22" s="47">
        <v>43568</v>
      </c>
      <c r="EC22" s="7">
        <v>947.39</v>
      </c>
      <c r="ED22" s="60" t="s">
        <v>419</v>
      </c>
      <c r="EE22" s="18">
        <v>39</v>
      </c>
      <c r="EH22" s="2"/>
      <c r="EI22" s="16">
        <v>15</v>
      </c>
      <c r="EJ22" s="15">
        <v>935.8</v>
      </c>
      <c r="EK22" s="14">
        <v>43568</v>
      </c>
      <c r="EL22" s="15">
        <v>935.8</v>
      </c>
      <c r="EM22" s="35" t="s">
        <v>423</v>
      </c>
      <c r="EN22" s="18">
        <v>40</v>
      </c>
      <c r="EQ22" s="2"/>
      <c r="ER22" s="16">
        <v>15</v>
      </c>
      <c r="ES22" s="15">
        <v>925.32</v>
      </c>
      <c r="ET22" s="14">
        <v>43571</v>
      </c>
      <c r="EU22" s="15">
        <v>925.32</v>
      </c>
      <c r="EV22" s="35" t="s">
        <v>430</v>
      </c>
      <c r="EW22" s="18">
        <v>40</v>
      </c>
      <c r="EZ22" s="2"/>
      <c r="FA22" s="16">
        <v>15</v>
      </c>
      <c r="FB22" s="134">
        <v>942.86</v>
      </c>
      <c r="FC22" s="119">
        <v>43571</v>
      </c>
      <c r="FD22" s="134">
        <v>942.86</v>
      </c>
      <c r="FE22" s="90" t="s">
        <v>435</v>
      </c>
      <c r="FF22" s="91">
        <v>40</v>
      </c>
      <c r="FI22" s="2"/>
      <c r="FJ22" s="16">
        <v>15</v>
      </c>
      <c r="FK22" s="7">
        <v>932.58</v>
      </c>
      <c r="FL22" s="47">
        <v>43572</v>
      </c>
      <c r="FM22" s="7">
        <v>932.58</v>
      </c>
      <c r="FN22" s="60" t="s">
        <v>439</v>
      </c>
      <c r="FO22" s="18">
        <v>40</v>
      </c>
      <c r="FR22" s="2"/>
      <c r="FS22" s="16">
        <v>15</v>
      </c>
      <c r="FT22" s="15">
        <v>895.39</v>
      </c>
      <c r="FU22" s="119">
        <v>43572</v>
      </c>
      <c r="FV22" s="134">
        <v>895.39</v>
      </c>
      <c r="FW22" s="137" t="s">
        <v>442</v>
      </c>
      <c r="FX22" s="91">
        <v>40</v>
      </c>
      <c r="GA22" s="2"/>
      <c r="GB22" s="16">
        <v>15</v>
      </c>
      <c r="GC22" s="15">
        <v>952.38</v>
      </c>
      <c r="GD22" s="14">
        <v>43572</v>
      </c>
      <c r="GE22" s="15">
        <v>952.38</v>
      </c>
      <c r="GF22" s="32" t="s">
        <v>433</v>
      </c>
      <c r="GG22" s="18">
        <v>40</v>
      </c>
      <c r="GI22"/>
      <c r="GJ22" s="2"/>
      <c r="GK22" s="16">
        <v>15</v>
      </c>
      <c r="GL22" s="15">
        <v>875</v>
      </c>
      <c r="GM22" s="14">
        <v>43573</v>
      </c>
      <c r="GN22" s="15">
        <v>875</v>
      </c>
      <c r="GO22" s="32" t="s">
        <v>451</v>
      </c>
      <c r="GP22" s="18">
        <v>40</v>
      </c>
      <c r="GS22" s="2"/>
      <c r="GT22" s="16">
        <v>15</v>
      </c>
      <c r="GU22" s="15">
        <v>945.7</v>
      </c>
      <c r="GV22" s="14">
        <v>43575</v>
      </c>
      <c r="GW22" s="15">
        <v>945.7</v>
      </c>
      <c r="GX22" s="239" t="s">
        <v>457</v>
      </c>
      <c r="GY22" s="18">
        <v>40</v>
      </c>
      <c r="HB22" s="2"/>
      <c r="HC22" s="16">
        <v>15</v>
      </c>
      <c r="HD22" s="7">
        <v>999.55</v>
      </c>
      <c r="HE22" s="47">
        <v>43578</v>
      </c>
      <c r="HF22" s="7">
        <v>999.55</v>
      </c>
      <c r="HG22" s="60" t="s">
        <v>463</v>
      </c>
      <c r="HH22" s="18">
        <v>42</v>
      </c>
      <c r="HK22" s="2"/>
      <c r="HL22" s="16">
        <v>15</v>
      </c>
      <c r="HM22" s="15">
        <v>901.5</v>
      </c>
      <c r="HN22" s="14">
        <v>43578</v>
      </c>
      <c r="HO22" s="15">
        <v>901.5</v>
      </c>
      <c r="HP22" s="419" t="s">
        <v>460</v>
      </c>
      <c r="HQ22" s="18">
        <v>42</v>
      </c>
      <c r="HR22" s="15"/>
      <c r="HT22" s="2"/>
      <c r="HU22" s="16">
        <v>15</v>
      </c>
      <c r="HV22" s="15">
        <v>951.02</v>
      </c>
      <c r="HW22" s="47">
        <v>43579</v>
      </c>
      <c r="HX22" s="15">
        <v>951.02</v>
      </c>
      <c r="HY22" s="60" t="s">
        <v>468</v>
      </c>
      <c r="HZ22" s="18">
        <v>42</v>
      </c>
      <c r="IC22" s="2"/>
      <c r="ID22" s="16">
        <v>15</v>
      </c>
      <c r="IE22" s="15">
        <v>918.97</v>
      </c>
      <c r="IF22" s="14">
        <v>43579</v>
      </c>
      <c r="IG22" s="15">
        <v>918.97</v>
      </c>
      <c r="IH22" s="35" t="s">
        <v>499</v>
      </c>
      <c r="II22" s="18">
        <v>42</v>
      </c>
      <c r="IL22" s="2"/>
      <c r="IM22" s="16">
        <v>15</v>
      </c>
      <c r="IN22" s="7">
        <v>902.6</v>
      </c>
      <c r="IO22" s="430">
        <v>43580</v>
      </c>
      <c r="IP22" s="7">
        <v>902.6</v>
      </c>
      <c r="IQ22" s="60" t="s">
        <v>504</v>
      </c>
      <c r="IR22" s="18">
        <v>42</v>
      </c>
      <c r="IU22" s="2"/>
      <c r="IV22" s="16">
        <v>15</v>
      </c>
      <c r="IW22" s="15">
        <v>891.3</v>
      </c>
      <c r="IX22" s="14">
        <v>43581</v>
      </c>
      <c r="IY22" s="15">
        <v>891.3</v>
      </c>
      <c r="IZ22" s="32" t="s">
        <v>508</v>
      </c>
      <c r="JA22" s="18">
        <v>44</v>
      </c>
      <c r="JD22" s="2"/>
      <c r="JE22" s="16">
        <v>15</v>
      </c>
      <c r="JF22" s="15">
        <v>943.5</v>
      </c>
      <c r="JG22" s="14">
        <v>43582</v>
      </c>
      <c r="JH22" s="15">
        <v>943.5</v>
      </c>
      <c r="JI22" s="32" t="s">
        <v>513</v>
      </c>
      <c r="JJ22" s="18">
        <v>44</v>
      </c>
      <c r="JM22" s="2"/>
      <c r="JN22" s="16">
        <v>15</v>
      </c>
      <c r="JO22" s="15">
        <v>895</v>
      </c>
      <c r="JP22" s="14">
        <v>43586</v>
      </c>
      <c r="JQ22" s="15">
        <v>895</v>
      </c>
      <c r="JR22" s="32" t="s">
        <v>524</v>
      </c>
      <c r="JS22" s="18">
        <v>45</v>
      </c>
      <c r="JV22" s="2"/>
      <c r="JW22" s="16">
        <v>15</v>
      </c>
      <c r="JX22" s="15">
        <v>945.12</v>
      </c>
      <c r="JY22" s="14">
        <v>43585</v>
      </c>
      <c r="JZ22" s="15">
        <v>945.12</v>
      </c>
      <c r="KA22" s="32" t="s">
        <v>523</v>
      </c>
      <c r="KB22" s="18">
        <v>45</v>
      </c>
      <c r="KE22" s="2"/>
      <c r="KF22" s="16">
        <v>15</v>
      </c>
      <c r="KG22" s="15">
        <v>920.33</v>
      </c>
      <c r="KH22" s="14">
        <v>43586</v>
      </c>
      <c r="KI22" s="15">
        <v>920.33</v>
      </c>
      <c r="KJ22" s="32" t="s">
        <v>539</v>
      </c>
      <c r="KK22" s="18">
        <v>45</v>
      </c>
      <c r="KN22" s="2"/>
      <c r="KO22" s="16">
        <v>15</v>
      </c>
      <c r="KP22" s="152">
        <v>964.17</v>
      </c>
      <c r="KQ22" s="85">
        <v>43586</v>
      </c>
      <c r="KR22" s="152">
        <v>964.17</v>
      </c>
      <c r="KS22" s="101" t="s">
        <v>541</v>
      </c>
      <c r="KT22" s="83">
        <v>45</v>
      </c>
      <c r="KW22" s="2"/>
      <c r="KX22" s="16">
        <v>15</v>
      </c>
      <c r="KY22" s="152">
        <v>905.37</v>
      </c>
      <c r="KZ22" s="14">
        <v>43588</v>
      </c>
      <c r="LA22" s="152">
        <v>905.37</v>
      </c>
      <c r="LB22" s="32" t="s">
        <v>547</v>
      </c>
      <c r="LC22" s="18">
        <v>46</v>
      </c>
      <c r="LF22" s="2"/>
      <c r="LG22" s="16">
        <v>15</v>
      </c>
      <c r="LH22" s="15">
        <v>929.4</v>
      </c>
      <c r="LI22" s="14">
        <v>43588</v>
      </c>
      <c r="LJ22" s="15">
        <v>929.4</v>
      </c>
      <c r="LK22" s="32" t="s">
        <v>545</v>
      </c>
      <c r="LL22" s="18">
        <v>46</v>
      </c>
      <c r="LO22" s="2"/>
      <c r="LP22" s="16">
        <v>15</v>
      </c>
      <c r="LQ22" s="152">
        <v>914.9</v>
      </c>
      <c r="LR22" s="14">
        <v>43591</v>
      </c>
      <c r="LS22" s="712">
        <v>914.9</v>
      </c>
      <c r="LT22" s="713" t="s">
        <v>555</v>
      </c>
      <c r="LU22" s="18">
        <v>45</v>
      </c>
      <c r="LX22" s="2"/>
      <c r="LY22" s="16">
        <v>15</v>
      </c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7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8"/>
      <c r="RP22" s="309"/>
      <c r="RQ22" s="310"/>
      <c r="RR22" s="311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SMITHFIEDL FRESH MEATS</v>
      </c>
      <c r="C23" t="str">
        <f>GB5</f>
        <v>PED. 36733783</v>
      </c>
      <c r="D23" s="56" t="str">
        <f>GB5</f>
        <v>PED. 36733783</v>
      </c>
      <c r="E23" s="124">
        <f t="shared" si="19"/>
        <v>43572</v>
      </c>
      <c r="F23" s="58">
        <f t="shared" si="19"/>
        <v>19258.759999999998</v>
      </c>
      <c r="G23" s="13">
        <f t="shared" si="19"/>
        <v>20</v>
      </c>
      <c r="H23" s="52">
        <f t="shared" si="19"/>
        <v>19119.7</v>
      </c>
      <c r="I23" s="6">
        <f t="shared" si="19"/>
        <v>139.05999999999767</v>
      </c>
      <c r="L23" s="2"/>
      <c r="M23" s="16">
        <v>16</v>
      </c>
      <c r="N23" s="15">
        <v>953.45</v>
      </c>
      <c r="O23" s="14">
        <v>43554</v>
      </c>
      <c r="P23" s="15">
        <v>953.45</v>
      </c>
      <c r="Q23" s="32" t="s">
        <v>237</v>
      </c>
      <c r="R23" s="18">
        <v>44</v>
      </c>
      <c r="U23" s="2"/>
      <c r="V23" s="16">
        <v>16</v>
      </c>
      <c r="W23" s="152">
        <v>750</v>
      </c>
      <c r="X23" s="14">
        <v>43557</v>
      </c>
      <c r="Y23" s="152">
        <v>750</v>
      </c>
      <c r="Z23" s="32" t="s">
        <v>368</v>
      </c>
      <c r="AA23" s="18">
        <v>44</v>
      </c>
      <c r="AD23" s="2"/>
      <c r="AE23" s="16">
        <v>16</v>
      </c>
      <c r="AF23" s="15">
        <v>970.98</v>
      </c>
      <c r="AG23" s="14">
        <v>43558</v>
      </c>
      <c r="AH23" s="15">
        <v>970.98</v>
      </c>
      <c r="AI23" s="32" t="s">
        <v>374</v>
      </c>
      <c r="AJ23" s="18">
        <v>44</v>
      </c>
      <c r="AM23" s="2"/>
      <c r="AN23" s="16">
        <v>16</v>
      </c>
      <c r="AO23" s="152">
        <v>969.78</v>
      </c>
      <c r="AP23" s="14">
        <v>43559</v>
      </c>
      <c r="AQ23" s="152">
        <v>969.78</v>
      </c>
      <c r="AR23" s="32" t="s">
        <v>379</v>
      </c>
      <c r="AS23" s="18">
        <v>44</v>
      </c>
      <c r="AV23" s="2"/>
      <c r="AW23" s="16">
        <v>16</v>
      </c>
      <c r="AX23" s="15">
        <v>885.9</v>
      </c>
      <c r="AY23" s="85">
        <v>43560</v>
      </c>
      <c r="AZ23" s="15">
        <v>885.9</v>
      </c>
      <c r="BA23" s="101" t="s">
        <v>383</v>
      </c>
      <c r="BB23" s="317">
        <v>43</v>
      </c>
      <c r="BE23" s="2"/>
      <c r="BF23" s="16">
        <v>16</v>
      </c>
      <c r="BG23" s="15">
        <v>924.26</v>
      </c>
      <c r="BH23" s="308">
        <v>43561</v>
      </c>
      <c r="BI23" s="15">
        <v>924.26</v>
      </c>
      <c r="BJ23" s="310" t="s">
        <v>389</v>
      </c>
      <c r="BK23" s="311">
        <v>43</v>
      </c>
      <c r="BN23" s="2"/>
      <c r="BO23" s="16">
        <v>16</v>
      </c>
      <c r="BP23" s="15">
        <v>936.21</v>
      </c>
      <c r="BQ23" s="308">
        <v>43560</v>
      </c>
      <c r="BR23" s="15">
        <v>936.21</v>
      </c>
      <c r="BS23" s="310" t="s">
        <v>387</v>
      </c>
      <c r="BT23" s="311">
        <v>43</v>
      </c>
      <c r="BW23" s="2"/>
      <c r="BX23" s="16">
        <v>16</v>
      </c>
      <c r="BY23" s="15">
        <v>895.8</v>
      </c>
      <c r="BZ23" s="308">
        <v>43563</v>
      </c>
      <c r="CA23" s="15">
        <v>895.8</v>
      </c>
      <c r="CB23" s="310" t="s">
        <v>393</v>
      </c>
      <c r="CC23" s="311">
        <v>40</v>
      </c>
      <c r="CF23" s="2"/>
      <c r="CG23" s="16">
        <v>16</v>
      </c>
      <c r="CH23" s="15">
        <v>895.5</v>
      </c>
      <c r="CI23" s="14">
        <v>43564</v>
      </c>
      <c r="CJ23" s="15">
        <v>895.5</v>
      </c>
      <c r="CK23" s="32" t="s">
        <v>385</v>
      </c>
      <c r="CL23" s="18">
        <v>40</v>
      </c>
      <c r="CN23" s="102"/>
      <c r="CO23" s="2"/>
      <c r="CP23" s="16">
        <v>16</v>
      </c>
      <c r="CQ23" s="15">
        <v>961.9</v>
      </c>
      <c r="CR23" s="14">
        <v>43566</v>
      </c>
      <c r="CS23" s="15">
        <v>961.9</v>
      </c>
      <c r="CT23" s="32" t="s">
        <v>408</v>
      </c>
      <c r="CU23" s="18">
        <v>39</v>
      </c>
      <c r="CX23" s="2"/>
      <c r="CY23" s="16">
        <v>16</v>
      </c>
      <c r="CZ23" s="15">
        <v>962.52</v>
      </c>
      <c r="DA23" s="308">
        <v>43565</v>
      </c>
      <c r="DB23" s="15">
        <v>962.52</v>
      </c>
      <c r="DC23" s="310" t="s">
        <v>404</v>
      </c>
      <c r="DD23" s="311">
        <v>40</v>
      </c>
      <c r="DG23" s="2"/>
      <c r="DH23" s="16">
        <v>16</v>
      </c>
      <c r="DI23" s="15">
        <v>920.8</v>
      </c>
      <c r="DJ23" s="308">
        <v>43567</v>
      </c>
      <c r="DK23" s="15">
        <v>920.8</v>
      </c>
      <c r="DL23" s="310" t="s">
        <v>411</v>
      </c>
      <c r="DM23" s="311">
        <v>39</v>
      </c>
      <c r="DP23" s="2"/>
      <c r="DQ23" s="16">
        <v>16</v>
      </c>
      <c r="DR23" s="7">
        <v>903.1</v>
      </c>
      <c r="DS23" s="47">
        <v>43568</v>
      </c>
      <c r="DT23" s="7">
        <v>903.1</v>
      </c>
      <c r="DU23" s="60" t="s">
        <v>417</v>
      </c>
      <c r="DV23" s="18">
        <v>39</v>
      </c>
      <c r="DY23" s="2"/>
      <c r="DZ23" s="16">
        <v>16</v>
      </c>
      <c r="EA23" s="7">
        <v>942.86</v>
      </c>
      <c r="EB23" s="47">
        <v>43568</v>
      </c>
      <c r="EC23" s="7">
        <v>942.86</v>
      </c>
      <c r="ED23" s="60" t="s">
        <v>419</v>
      </c>
      <c r="EE23" s="18">
        <v>39</v>
      </c>
      <c r="EH23" s="2"/>
      <c r="EI23" s="16">
        <v>16</v>
      </c>
      <c r="EJ23" s="15">
        <v>899</v>
      </c>
      <c r="EK23" s="14">
        <v>43568</v>
      </c>
      <c r="EL23" s="15">
        <v>899</v>
      </c>
      <c r="EM23" s="35" t="s">
        <v>423</v>
      </c>
      <c r="EN23" s="18">
        <v>40</v>
      </c>
      <c r="EQ23" s="2"/>
      <c r="ER23" s="16">
        <v>16</v>
      </c>
      <c r="ES23" s="15">
        <v>936.21</v>
      </c>
      <c r="ET23" s="14">
        <v>43571</v>
      </c>
      <c r="EU23" s="15">
        <v>936.21</v>
      </c>
      <c r="EV23" s="35" t="s">
        <v>430</v>
      </c>
      <c r="EW23" s="18">
        <v>40</v>
      </c>
      <c r="EZ23" s="2"/>
      <c r="FA23" s="16">
        <v>16</v>
      </c>
      <c r="FB23" s="134">
        <v>912.47</v>
      </c>
      <c r="FC23" s="119">
        <v>43571</v>
      </c>
      <c r="FD23" s="134">
        <v>912.47</v>
      </c>
      <c r="FE23" s="90" t="s">
        <v>435</v>
      </c>
      <c r="FF23" s="91">
        <v>40</v>
      </c>
      <c r="FI23" s="2"/>
      <c r="FJ23" s="16">
        <v>16</v>
      </c>
      <c r="FK23" s="7">
        <v>967.05</v>
      </c>
      <c r="FL23" s="47">
        <v>43572</v>
      </c>
      <c r="FM23" s="7">
        <v>967.05</v>
      </c>
      <c r="FN23" s="60" t="s">
        <v>438</v>
      </c>
      <c r="FO23" s="18">
        <v>40</v>
      </c>
      <c r="FR23" s="2"/>
      <c r="FS23" s="16">
        <v>16</v>
      </c>
      <c r="FT23" s="15">
        <v>952.54</v>
      </c>
      <c r="FU23" s="119">
        <v>43572</v>
      </c>
      <c r="FV23" s="134">
        <v>952.54</v>
      </c>
      <c r="FW23" s="137" t="s">
        <v>442</v>
      </c>
      <c r="FX23" s="91">
        <v>40</v>
      </c>
      <c r="GA23" s="2"/>
      <c r="GB23" s="16">
        <v>16</v>
      </c>
      <c r="GC23" s="15">
        <v>983.67</v>
      </c>
      <c r="GD23" s="14">
        <v>43572</v>
      </c>
      <c r="GE23" s="15">
        <v>983.67</v>
      </c>
      <c r="GF23" s="32" t="s">
        <v>433</v>
      </c>
      <c r="GG23" s="18">
        <v>40</v>
      </c>
      <c r="GI23"/>
      <c r="GJ23" s="2"/>
      <c r="GK23" s="16">
        <v>16</v>
      </c>
      <c r="GL23" s="15">
        <v>895.4</v>
      </c>
      <c r="GM23" s="14">
        <v>43573</v>
      </c>
      <c r="GN23" s="15">
        <v>895.4</v>
      </c>
      <c r="GO23" s="32" t="s">
        <v>451</v>
      </c>
      <c r="GP23" s="18">
        <v>40</v>
      </c>
      <c r="GS23" s="2"/>
      <c r="GT23" s="16">
        <v>16</v>
      </c>
      <c r="GU23" s="15">
        <v>915.8</v>
      </c>
      <c r="GV23" s="14">
        <v>43575</v>
      </c>
      <c r="GW23" s="15">
        <v>915.8</v>
      </c>
      <c r="GX23" s="239" t="s">
        <v>457</v>
      </c>
      <c r="GY23" s="18">
        <v>40</v>
      </c>
      <c r="HB23" s="2"/>
      <c r="HC23" s="16">
        <v>16</v>
      </c>
      <c r="HD23" s="7">
        <v>992.29</v>
      </c>
      <c r="HE23" s="47">
        <v>43578</v>
      </c>
      <c r="HF23" s="7">
        <v>992.29</v>
      </c>
      <c r="HG23" s="60" t="s">
        <v>463</v>
      </c>
      <c r="HH23" s="18">
        <v>42</v>
      </c>
      <c r="HK23" s="2"/>
      <c r="HL23" s="16">
        <v>16</v>
      </c>
      <c r="HM23" s="15">
        <v>881</v>
      </c>
      <c r="HN23" s="14">
        <v>43578</v>
      </c>
      <c r="HO23" s="15">
        <v>881</v>
      </c>
      <c r="HP23" s="419" t="s">
        <v>460</v>
      </c>
      <c r="HQ23" s="18">
        <v>42</v>
      </c>
      <c r="HR23" s="6"/>
      <c r="HS23" s="7"/>
      <c r="HT23" s="2"/>
      <c r="HU23" s="16">
        <v>16</v>
      </c>
      <c r="HV23" s="15">
        <v>941.04</v>
      </c>
      <c r="HW23" s="47">
        <v>43579</v>
      </c>
      <c r="HX23" s="15">
        <v>941.04</v>
      </c>
      <c r="HY23" s="60" t="s">
        <v>468</v>
      </c>
      <c r="HZ23" s="18">
        <v>42</v>
      </c>
      <c r="IC23" s="2"/>
      <c r="ID23" s="16">
        <v>16</v>
      </c>
      <c r="IE23" s="15">
        <v>972.95</v>
      </c>
      <c r="IF23" s="14">
        <v>43579</v>
      </c>
      <c r="IG23" s="15">
        <v>972.95</v>
      </c>
      <c r="IH23" s="35" t="s">
        <v>499</v>
      </c>
      <c r="II23" s="18">
        <v>42</v>
      </c>
      <c r="IL23" s="2"/>
      <c r="IM23" s="16">
        <v>16</v>
      </c>
      <c r="IN23" s="7">
        <v>885.9</v>
      </c>
      <c r="IO23" s="430">
        <v>43580</v>
      </c>
      <c r="IP23" s="7">
        <v>885.9</v>
      </c>
      <c r="IQ23" s="60" t="s">
        <v>504</v>
      </c>
      <c r="IR23" s="18">
        <v>42</v>
      </c>
      <c r="IU23" s="2"/>
      <c r="IV23" s="16">
        <v>16</v>
      </c>
      <c r="IW23" s="15">
        <v>942.11</v>
      </c>
      <c r="IX23" s="14">
        <v>43581</v>
      </c>
      <c r="IY23" s="15">
        <v>942.11</v>
      </c>
      <c r="IZ23" s="32" t="s">
        <v>508</v>
      </c>
      <c r="JA23" s="18">
        <v>44</v>
      </c>
      <c r="JD23" s="2"/>
      <c r="JE23" s="16">
        <v>16</v>
      </c>
      <c r="JF23" s="15">
        <v>879.1</v>
      </c>
      <c r="JG23" s="14">
        <v>43582</v>
      </c>
      <c r="JH23" s="15">
        <v>879.1</v>
      </c>
      <c r="JI23" s="32" t="s">
        <v>513</v>
      </c>
      <c r="JJ23" s="18">
        <v>44</v>
      </c>
      <c r="JM23" s="2"/>
      <c r="JN23" s="16">
        <v>16</v>
      </c>
      <c r="JO23" s="15">
        <v>897</v>
      </c>
      <c r="JP23" s="14">
        <v>43586</v>
      </c>
      <c r="JQ23" s="15">
        <v>897</v>
      </c>
      <c r="JR23" s="32" t="s">
        <v>524</v>
      </c>
      <c r="JS23" s="18">
        <v>45</v>
      </c>
      <c r="JV23" s="2"/>
      <c r="JW23" s="16">
        <v>16</v>
      </c>
      <c r="JX23" s="15">
        <v>933.79</v>
      </c>
      <c r="JY23" s="14">
        <v>43585</v>
      </c>
      <c r="JZ23" s="15">
        <v>933.79</v>
      </c>
      <c r="KA23" s="32" t="s">
        <v>523</v>
      </c>
      <c r="KB23" s="18">
        <v>45</v>
      </c>
      <c r="KE23" s="2"/>
      <c r="KF23" s="16">
        <v>16</v>
      </c>
      <c r="KG23" s="15">
        <v>966.6</v>
      </c>
      <c r="KH23" s="14">
        <v>43586</v>
      </c>
      <c r="KI23" s="15">
        <v>966.6</v>
      </c>
      <c r="KJ23" s="32" t="s">
        <v>539</v>
      </c>
      <c r="KK23" s="18">
        <v>45</v>
      </c>
      <c r="KN23" s="2"/>
      <c r="KO23" s="16">
        <v>16</v>
      </c>
      <c r="KP23" s="152">
        <v>956.01</v>
      </c>
      <c r="KQ23" s="85">
        <v>43586</v>
      </c>
      <c r="KR23" s="152">
        <v>956.01</v>
      </c>
      <c r="KS23" s="101" t="s">
        <v>541</v>
      </c>
      <c r="KT23" s="83">
        <v>45</v>
      </c>
      <c r="KW23" s="2"/>
      <c r="KX23" s="16">
        <v>16</v>
      </c>
      <c r="KY23" s="152">
        <v>932.58</v>
      </c>
      <c r="KZ23" s="14">
        <v>43588</v>
      </c>
      <c r="LA23" s="152">
        <v>932.58</v>
      </c>
      <c r="LB23" s="32" t="s">
        <v>547</v>
      </c>
      <c r="LC23" s="18">
        <v>46</v>
      </c>
      <c r="LF23" s="2"/>
      <c r="LG23" s="16">
        <v>16</v>
      </c>
      <c r="LH23" s="15">
        <v>869.5</v>
      </c>
      <c r="LI23" s="14">
        <v>43588</v>
      </c>
      <c r="LJ23" s="15">
        <v>869.5</v>
      </c>
      <c r="LK23" s="32" t="s">
        <v>545</v>
      </c>
      <c r="LL23" s="18">
        <v>46</v>
      </c>
      <c r="LO23" s="2"/>
      <c r="LP23" s="16">
        <v>16</v>
      </c>
      <c r="LQ23" s="152">
        <v>954.8</v>
      </c>
      <c r="LR23" s="14">
        <v>43591</v>
      </c>
      <c r="LS23" s="712">
        <v>954.8</v>
      </c>
      <c r="LT23" s="713" t="s">
        <v>555</v>
      </c>
      <c r="LU23" s="18">
        <v>45</v>
      </c>
      <c r="LX23" s="2"/>
      <c r="LY23" s="16">
        <v>16</v>
      </c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7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8"/>
      <c r="RP23" s="309"/>
      <c r="RQ23" s="310"/>
      <c r="RR23" s="311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SEBOARD FOODS</v>
      </c>
      <c r="C24" t="str">
        <f t="shared" si="20"/>
        <v>Seaboard</v>
      </c>
      <c r="D24" s="56" t="str">
        <f t="shared" si="20"/>
        <v>PED. 36790273</v>
      </c>
      <c r="E24" s="124">
        <f t="shared" si="20"/>
        <v>43573</v>
      </c>
      <c r="F24" s="58">
        <f t="shared" si="20"/>
        <v>18884.48</v>
      </c>
      <c r="G24" s="13">
        <f t="shared" si="20"/>
        <v>21</v>
      </c>
      <c r="H24" s="52">
        <f t="shared" si="20"/>
        <v>18944.2</v>
      </c>
      <c r="I24" s="6">
        <f t="shared" si="20"/>
        <v>-59.720000000001164</v>
      </c>
      <c r="L24" s="2"/>
      <c r="M24" s="16">
        <v>17</v>
      </c>
      <c r="N24" s="15">
        <v>941.2</v>
      </c>
      <c r="O24" s="14">
        <v>43554</v>
      </c>
      <c r="P24" s="15">
        <v>941.2</v>
      </c>
      <c r="Q24" s="32" t="s">
        <v>237</v>
      </c>
      <c r="R24" s="18">
        <v>44</v>
      </c>
      <c r="U24" s="2"/>
      <c r="V24" s="16">
        <v>17</v>
      </c>
      <c r="W24" s="152">
        <v>902</v>
      </c>
      <c r="X24" s="14">
        <v>43557</v>
      </c>
      <c r="Y24" s="152">
        <v>902</v>
      </c>
      <c r="Z24" s="32" t="s">
        <v>368</v>
      </c>
      <c r="AA24" s="18">
        <v>44</v>
      </c>
      <c r="AD24" s="2"/>
      <c r="AE24" s="16">
        <v>17</v>
      </c>
      <c r="AF24" s="15">
        <v>989.12</v>
      </c>
      <c r="AG24" s="14">
        <v>43558</v>
      </c>
      <c r="AH24" s="15">
        <v>989.12</v>
      </c>
      <c r="AI24" s="32" t="s">
        <v>374</v>
      </c>
      <c r="AJ24" s="18">
        <v>44</v>
      </c>
      <c r="AM24" s="2"/>
      <c r="AN24" s="16">
        <v>17</v>
      </c>
      <c r="AO24" s="152">
        <v>920.33</v>
      </c>
      <c r="AP24" s="14">
        <v>43559</v>
      </c>
      <c r="AQ24" s="152">
        <v>920.33</v>
      </c>
      <c r="AR24" s="32" t="s">
        <v>378</v>
      </c>
      <c r="AS24" s="18">
        <v>44</v>
      </c>
      <c r="AV24" s="2"/>
      <c r="AW24" s="16">
        <v>17</v>
      </c>
      <c r="AX24" s="15">
        <v>882.2</v>
      </c>
      <c r="AY24" s="85">
        <v>43560</v>
      </c>
      <c r="AZ24" s="15">
        <v>882.2</v>
      </c>
      <c r="BA24" s="101" t="s">
        <v>383</v>
      </c>
      <c r="BB24" s="317">
        <v>43</v>
      </c>
      <c r="BE24" s="2"/>
      <c r="BF24" s="16">
        <v>17</v>
      </c>
      <c r="BG24" s="15">
        <v>985.49</v>
      </c>
      <c r="BH24" s="308">
        <v>43561</v>
      </c>
      <c r="BI24" s="15">
        <v>985.49</v>
      </c>
      <c r="BJ24" s="310" t="s">
        <v>389</v>
      </c>
      <c r="BK24" s="311">
        <v>43</v>
      </c>
      <c r="BN24" s="2"/>
      <c r="BO24" s="16">
        <v>17</v>
      </c>
      <c r="BP24" s="15">
        <v>942.56</v>
      </c>
      <c r="BQ24" s="308">
        <v>43560</v>
      </c>
      <c r="BR24" s="15">
        <v>942.56</v>
      </c>
      <c r="BS24" s="310" t="s">
        <v>387</v>
      </c>
      <c r="BT24" s="311">
        <v>43</v>
      </c>
      <c r="BW24" s="2"/>
      <c r="BX24" s="16">
        <v>17</v>
      </c>
      <c r="BY24" s="15">
        <v>877.7</v>
      </c>
      <c r="BZ24" s="308">
        <v>43563</v>
      </c>
      <c r="CA24" s="15">
        <v>877.7</v>
      </c>
      <c r="CB24" s="310" t="s">
        <v>393</v>
      </c>
      <c r="CC24" s="311">
        <v>40</v>
      </c>
      <c r="CF24" s="2"/>
      <c r="CG24" s="16">
        <v>17</v>
      </c>
      <c r="CH24" s="15">
        <v>900</v>
      </c>
      <c r="CI24" s="14">
        <v>43564</v>
      </c>
      <c r="CJ24" s="15">
        <v>900</v>
      </c>
      <c r="CK24" s="32" t="s">
        <v>385</v>
      </c>
      <c r="CL24" s="18">
        <v>40</v>
      </c>
      <c r="CN24" s="102"/>
      <c r="CO24" s="2"/>
      <c r="CP24" s="16">
        <v>17</v>
      </c>
      <c r="CQ24" s="15">
        <v>936.05</v>
      </c>
      <c r="CR24" s="14">
        <v>43566</v>
      </c>
      <c r="CS24" s="15">
        <v>936.05</v>
      </c>
      <c r="CT24" s="32" t="s">
        <v>406</v>
      </c>
      <c r="CU24" s="18">
        <v>40</v>
      </c>
      <c r="CX24" s="2"/>
      <c r="CY24" s="16">
        <v>17</v>
      </c>
      <c r="CZ24" s="15">
        <v>961.61</v>
      </c>
      <c r="DA24" s="308">
        <v>43565</v>
      </c>
      <c r="DB24" s="15">
        <v>961.61</v>
      </c>
      <c r="DC24" s="310" t="s">
        <v>404</v>
      </c>
      <c r="DD24" s="311">
        <v>40</v>
      </c>
      <c r="DG24" s="2"/>
      <c r="DH24" s="16">
        <v>17</v>
      </c>
      <c r="DI24" s="15">
        <v>897.7</v>
      </c>
      <c r="DJ24" s="308">
        <v>43567</v>
      </c>
      <c r="DK24" s="15">
        <v>897.7</v>
      </c>
      <c r="DL24" s="310" t="s">
        <v>411</v>
      </c>
      <c r="DM24" s="311">
        <v>39</v>
      </c>
      <c r="DP24" s="2"/>
      <c r="DQ24" s="16">
        <v>17</v>
      </c>
      <c r="DR24" s="7">
        <v>914.44</v>
      </c>
      <c r="DS24" s="47">
        <v>43568</v>
      </c>
      <c r="DT24" s="7">
        <v>914.44</v>
      </c>
      <c r="DU24" s="60" t="s">
        <v>417</v>
      </c>
      <c r="DV24" s="18">
        <v>39</v>
      </c>
      <c r="DY24" s="2"/>
      <c r="DZ24" s="16">
        <v>17</v>
      </c>
      <c r="EA24" s="7">
        <v>962.81</v>
      </c>
      <c r="EB24" s="47">
        <v>43568</v>
      </c>
      <c r="EC24" s="7">
        <v>962.81</v>
      </c>
      <c r="ED24" s="60" t="s">
        <v>419</v>
      </c>
      <c r="EE24" s="18">
        <v>39</v>
      </c>
      <c r="EH24" s="2"/>
      <c r="EI24" s="16">
        <v>17</v>
      </c>
      <c r="EJ24" s="15">
        <v>891.8</v>
      </c>
      <c r="EK24" s="14">
        <v>43568</v>
      </c>
      <c r="EL24" s="15">
        <v>891.8</v>
      </c>
      <c r="EM24" s="35" t="s">
        <v>423</v>
      </c>
      <c r="EN24" s="18">
        <v>40</v>
      </c>
      <c r="EQ24" s="2"/>
      <c r="ER24" s="16">
        <v>17</v>
      </c>
      <c r="ES24" s="15">
        <v>946.64</v>
      </c>
      <c r="ET24" s="14">
        <v>43571</v>
      </c>
      <c r="EU24" s="15">
        <v>946.64</v>
      </c>
      <c r="EV24" s="35" t="s">
        <v>430</v>
      </c>
      <c r="EW24" s="18">
        <v>40</v>
      </c>
      <c r="EZ24" s="2"/>
      <c r="FA24" s="16">
        <v>17</v>
      </c>
      <c r="FB24" s="134">
        <v>958.28</v>
      </c>
      <c r="FC24" s="119">
        <v>43571</v>
      </c>
      <c r="FD24" s="134">
        <v>958.28</v>
      </c>
      <c r="FE24" s="90" t="s">
        <v>435</v>
      </c>
      <c r="FF24" s="91">
        <v>40</v>
      </c>
      <c r="FI24" s="2"/>
      <c r="FJ24" s="16">
        <v>17</v>
      </c>
      <c r="FK24" s="7">
        <v>949.36</v>
      </c>
      <c r="FL24" s="47">
        <v>43572</v>
      </c>
      <c r="FM24" s="7">
        <v>949.36</v>
      </c>
      <c r="FN24" s="60" t="s">
        <v>438</v>
      </c>
      <c r="FO24" s="18">
        <v>40</v>
      </c>
      <c r="FR24" s="2"/>
      <c r="FS24" s="16">
        <v>17</v>
      </c>
      <c r="FT24" s="15">
        <v>904.46</v>
      </c>
      <c r="FU24" s="119">
        <v>43572</v>
      </c>
      <c r="FV24" s="134">
        <v>904.46</v>
      </c>
      <c r="FW24" s="137" t="s">
        <v>442</v>
      </c>
      <c r="FX24" s="91">
        <v>40</v>
      </c>
      <c r="GA24" s="2"/>
      <c r="GB24" s="16">
        <v>17</v>
      </c>
      <c r="GC24" s="15">
        <v>933.33</v>
      </c>
      <c r="GD24" s="14">
        <v>43572</v>
      </c>
      <c r="GE24" s="15">
        <v>933.33</v>
      </c>
      <c r="GF24" s="32" t="s">
        <v>433</v>
      </c>
      <c r="GG24" s="18">
        <v>40</v>
      </c>
      <c r="GI24"/>
      <c r="GJ24" s="2"/>
      <c r="GK24" s="16">
        <v>17</v>
      </c>
      <c r="GL24" s="15">
        <v>940.7</v>
      </c>
      <c r="GM24" s="14">
        <v>43573</v>
      </c>
      <c r="GN24" s="15">
        <v>940.7</v>
      </c>
      <c r="GO24" s="32" t="s">
        <v>451</v>
      </c>
      <c r="GP24" s="18">
        <v>40</v>
      </c>
      <c r="GS24" s="2"/>
      <c r="GT24" s="16">
        <v>17</v>
      </c>
      <c r="GU24" s="15">
        <v>919</v>
      </c>
      <c r="GV24" s="14">
        <v>43575</v>
      </c>
      <c r="GW24" s="15">
        <v>919</v>
      </c>
      <c r="GX24" s="239" t="s">
        <v>457</v>
      </c>
      <c r="GY24" s="18">
        <v>40</v>
      </c>
      <c r="HB24" s="2"/>
      <c r="HC24" s="16">
        <v>17</v>
      </c>
      <c r="HD24" s="7">
        <v>957.82</v>
      </c>
      <c r="HE24" s="47">
        <v>43578</v>
      </c>
      <c r="HF24" s="7">
        <v>957.82</v>
      </c>
      <c r="HG24" s="60" t="s">
        <v>463</v>
      </c>
      <c r="HH24" s="18">
        <v>42</v>
      </c>
      <c r="HK24" s="2"/>
      <c r="HL24" s="16">
        <v>17</v>
      </c>
      <c r="HM24" s="15">
        <v>892</v>
      </c>
      <c r="HN24" s="14">
        <v>43578</v>
      </c>
      <c r="HO24" s="15">
        <v>892</v>
      </c>
      <c r="HP24" s="419" t="s">
        <v>460</v>
      </c>
      <c r="HQ24" s="18">
        <v>42</v>
      </c>
      <c r="HS24" s="7"/>
      <c r="HT24" s="2"/>
      <c r="HU24" s="16">
        <v>17</v>
      </c>
      <c r="HV24" s="15">
        <v>962.36</v>
      </c>
      <c r="HW24" s="47">
        <v>43579</v>
      </c>
      <c r="HX24" s="15">
        <v>962.36</v>
      </c>
      <c r="HY24" s="60" t="s">
        <v>468</v>
      </c>
      <c r="HZ24" s="18">
        <v>42</v>
      </c>
      <c r="IC24" s="2"/>
      <c r="ID24" s="16">
        <v>17</v>
      </c>
      <c r="IE24" s="15">
        <v>916.71</v>
      </c>
      <c r="IF24" s="14">
        <v>43579</v>
      </c>
      <c r="IG24" s="15">
        <v>916.71</v>
      </c>
      <c r="IH24" s="35" t="s">
        <v>499</v>
      </c>
      <c r="II24" s="18">
        <v>42</v>
      </c>
      <c r="IL24" s="2"/>
      <c r="IM24" s="16">
        <v>17</v>
      </c>
      <c r="IN24" s="7">
        <v>943</v>
      </c>
      <c r="IO24" s="430">
        <v>43580</v>
      </c>
      <c r="IP24" s="7">
        <v>943</v>
      </c>
      <c r="IQ24" s="60" t="s">
        <v>504</v>
      </c>
      <c r="IR24" s="18">
        <v>42</v>
      </c>
      <c r="IU24" s="2"/>
      <c r="IV24" s="16">
        <v>17</v>
      </c>
      <c r="IW24" s="15">
        <v>914.44</v>
      </c>
      <c r="IX24" s="14">
        <v>43581</v>
      </c>
      <c r="IY24" s="15">
        <v>914.44</v>
      </c>
      <c r="IZ24" s="32" t="s">
        <v>508</v>
      </c>
      <c r="JA24" s="18">
        <v>44</v>
      </c>
      <c r="JD24" s="2"/>
      <c r="JE24" s="16">
        <v>17</v>
      </c>
      <c r="JF24" s="15">
        <v>917.6</v>
      </c>
      <c r="JG24" s="14">
        <v>43582</v>
      </c>
      <c r="JH24" s="15">
        <v>917.6</v>
      </c>
      <c r="JI24" s="32" t="s">
        <v>513</v>
      </c>
      <c r="JJ24" s="18">
        <v>44</v>
      </c>
      <c r="JM24" s="2"/>
      <c r="JN24" s="16">
        <v>17</v>
      </c>
      <c r="JO24" s="15">
        <v>901.5</v>
      </c>
      <c r="JP24" s="14">
        <v>43585</v>
      </c>
      <c r="JQ24" s="15">
        <v>901.5</v>
      </c>
      <c r="JR24" s="32" t="s">
        <v>520</v>
      </c>
      <c r="JS24" s="18">
        <v>45</v>
      </c>
      <c r="JV24" s="2"/>
      <c r="JW24" s="16">
        <v>17</v>
      </c>
      <c r="JX24" s="15">
        <v>967.8</v>
      </c>
      <c r="JY24" s="14">
        <v>43585</v>
      </c>
      <c r="JZ24" s="15">
        <v>967.8</v>
      </c>
      <c r="KA24" s="32" t="s">
        <v>523</v>
      </c>
      <c r="KB24" s="18">
        <v>45</v>
      </c>
      <c r="KE24" s="2"/>
      <c r="KF24" s="16">
        <v>17</v>
      </c>
      <c r="KG24" s="15">
        <v>943.47</v>
      </c>
      <c r="KH24" s="14">
        <v>43586</v>
      </c>
      <c r="KI24" s="15">
        <v>943.47</v>
      </c>
      <c r="KJ24" s="32" t="s">
        <v>539</v>
      </c>
      <c r="KK24" s="18">
        <v>45</v>
      </c>
      <c r="KN24" s="2"/>
      <c r="KO24" s="16">
        <v>17</v>
      </c>
      <c r="KP24" s="152">
        <v>964.17</v>
      </c>
      <c r="KQ24" s="85">
        <v>43586</v>
      </c>
      <c r="KR24" s="152">
        <v>964.17</v>
      </c>
      <c r="KS24" s="101" t="s">
        <v>541</v>
      </c>
      <c r="KT24" s="83">
        <v>45</v>
      </c>
      <c r="KW24" s="2"/>
      <c r="KX24" s="16">
        <v>17</v>
      </c>
      <c r="KY24" s="152">
        <v>944.83</v>
      </c>
      <c r="KZ24" s="14">
        <v>43588</v>
      </c>
      <c r="LA24" s="152">
        <v>944.83</v>
      </c>
      <c r="LB24" s="32" t="s">
        <v>547</v>
      </c>
      <c r="LC24" s="18">
        <v>46</v>
      </c>
      <c r="LF24" s="2"/>
      <c r="LG24" s="16">
        <v>17</v>
      </c>
      <c r="LH24" s="15">
        <v>932.1</v>
      </c>
      <c r="LI24" s="14">
        <v>43588</v>
      </c>
      <c r="LJ24" s="15">
        <v>932.1</v>
      </c>
      <c r="LK24" s="32" t="s">
        <v>545</v>
      </c>
      <c r="LL24" s="18">
        <v>46</v>
      </c>
      <c r="LO24" s="2"/>
      <c r="LP24" s="16">
        <v>17</v>
      </c>
      <c r="LQ24" s="152">
        <v>957.2</v>
      </c>
      <c r="LR24" s="14">
        <v>43591</v>
      </c>
      <c r="LS24" s="712">
        <v>957.2</v>
      </c>
      <c r="LT24" s="713" t="s">
        <v>555</v>
      </c>
      <c r="LU24" s="18">
        <v>45</v>
      </c>
      <c r="LX24" s="2"/>
      <c r="LY24" s="16">
        <v>17</v>
      </c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7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8"/>
      <c r="RP24" s="309"/>
      <c r="RQ24" s="310"/>
      <c r="RR24" s="311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SEABOARD FOODS</v>
      </c>
      <c r="C25" s="18" t="str">
        <f t="shared" si="21"/>
        <v>Seaboard</v>
      </c>
      <c r="D25" s="56" t="str">
        <f t="shared" si="21"/>
        <v>PED. 36823128</v>
      </c>
      <c r="E25" s="124">
        <f t="shared" si="21"/>
        <v>43575</v>
      </c>
      <c r="F25" s="58">
        <f t="shared" si="21"/>
        <v>19149.689999999999</v>
      </c>
      <c r="G25" s="13">
        <f t="shared" si="21"/>
        <v>21</v>
      </c>
      <c r="H25" s="52">
        <f t="shared" si="21"/>
        <v>19225.900000000001</v>
      </c>
      <c r="I25" s="6">
        <f t="shared" si="21"/>
        <v>-76.210000000002765</v>
      </c>
      <c r="L25" s="136"/>
      <c r="M25" s="16">
        <v>18</v>
      </c>
      <c r="N25" s="15">
        <v>917.61</v>
      </c>
      <c r="O25" s="14">
        <v>43554</v>
      </c>
      <c r="P25" s="15">
        <v>917.61</v>
      </c>
      <c r="Q25" s="32" t="s">
        <v>237</v>
      </c>
      <c r="R25" s="18">
        <v>44</v>
      </c>
      <c r="U25" s="136"/>
      <c r="V25" s="16">
        <v>18</v>
      </c>
      <c r="W25" s="152">
        <v>903.5</v>
      </c>
      <c r="X25" s="14">
        <v>43557</v>
      </c>
      <c r="Y25" s="152">
        <v>903.5</v>
      </c>
      <c r="Z25" s="32" t="s">
        <v>368</v>
      </c>
      <c r="AA25" s="18">
        <v>44</v>
      </c>
      <c r="AD25" s="136"/>
      <c r="AE25" s="16">
        <v>18</v>
      </c>
      <c r="AF25" s="15">
        <v>986.85</v>
      </c>
      <c r="AG25" s="14">
        <v>43558</v>
      </c>
      <c r="AH25" s="15">
        <v>986.85</v>
      </c>
      <c r="AI25" s="32" t="s">
        <v>374</v>
      </c>
      <c r="AJ25" s="18">
        <v>44</v>
      </c>
      <c r="AM25" s="136"/>
      <c r="AN25" s="16">
        <v>18</v>
      </c>
      <c r="AO25" s="152">
        <v>908.54</v>
      </c>
      <c r="AP25" s="14">
        <v>43559</v>
      </c>
      <c r="AQ25" s="152">
        <v>908.54</v>
      </c>
      <c r="AR25" s="32" t="s">
        <v>378</v>
      </c>
      <c r="AS25" s="18">
        <v>44</v>
      </c>
      <c r="AV25" s="136"/>
      <c r="AW25" s="16">
        <v>18</v>
      </c>
      <c r="AX25" s="15">
        <v>915.8</v>
      </c>
      <c r="AY25" s="85">
        <v>43560</v>
      </c>
      <c r="AZ25" s="15">
        <v>915.8</v>
      </c>
      <c r="BA25" s="101" t="s">
        <v>383</v>
      </c>
      <c r="BB25" s="317">
        <v>43</v>
      </c>
      <c r="BE25" s="136"/>
      <c r="BF25" s="16">
        <v>18</v>
      </c>
      <c r="BG25" s="15">
        <v>936.05</v>
      </c>
      <c r="BH25" s="308">
        <v>43561</v>
      </c>
      <c r="BI25" s="15">
        <v>936.05</v>
      </c>
      <c r="BJ25" s="310" t="s">
        <v>389</v>
      </c>
      <c r="BK25" s="311">
        <v>43</v>
      </c>
      <c r="BN25" s="136"/>
      <c r="BO25" s="16">
        <v>18</v>
      </c>
      <c r="BP25" s="15">
        <v>949.82</v>
      </c>
      <c r="BQ25" s="308">
        <v>43560</v>
      </c>
      <c r="BR25" s="15">
        <v>949.82</v>
      </c>
      <c r="BS25" s="310" t="s">
        <v>387</v>
      </c>
      <c r="BT25" s="311">
        <v>43</v>
      </c>
      <c r="BW25" s="136"/>
      <c r="BX25" s="16">
        <v>18</v>
      </c>
      <c r="BY25" s="15">
        <v>881.3</v>
      </c>
      <c r="BZ25" s="308">
        <v>43563</v>
      </c>
      <c r="CA25" s="15">
        <v>881.3</v>
      </c>
      <c r="CB25" s="310" t="s">
        <v>393</v>
      </c>
      <c r="CC25" s="311">
        <v>40</v>
      </c>
      <c r="CF25" s="136"/>
      <c r="CG25" s="16">
        <v>18</v>
      </c>
      <c r="CH25" s="15">
        <v>885</v>
      </c>
      <c r="CI25" s="14">
        <v>43564</v>
      </c>
      <c r="CJ25" s="15">
        <v>885</v>
      </c>
      <c r="CK25" s="32" t="s">
        <v>385</v>
      </c>
      <c r="CL25" s="18">
        <v>40</v>
      </c>
      <c r="CN25" s="102"/>
      <c r="CO25" s="136"/>
      <c r="CP25" s="16">
        <v>18</v>
      </c>
      <c r="CQ25" s="15">
        <v>963.72</v>
      </c>
      <c r="CR25" s="14">
        <v>43566</v>
      </c>
      <c r="CS25" s="15">
        <v>963.72</v>
      </c>
      <c r="CT25" s="32" t="s">
        <v>406</v>
      </c>
      <c r="CU25" s="18">
        <v>40</v>
      </c>
      <c r="CX25" s="136"/>
      <c r="CY25" s="16">
        <v>18</v>
      </c>
      <c r="CZ25" s="15">
        <v>925.32</v>
      </c>
      <c r="DA25" s="308">
        <v>43565</v>
      </c>
      <c r="DB25" s="15">
        <v>925.32</v>
      </c>
      <c r="DC25" s="310" t="s">
        <v>404</v>
      </c>
      <c r="DD25" s="311">
        <v>40</v>
      </c>
      <c r="DG25" s="136"/>
      <c r="DH25" s="16">
        <v>18</v>
      </c>
      <c r="DI25" s="15">
        <v>924.4</v>
      </c>
      <c r="DJ25" s="308">
        <v>43567</v>
      </c>
      <c r="DK25" s="15">
        <v>924.4</v>
      </c>
      <c r="DL25" s="310" t="s">
        <v>411</v>
      </c>
      <c r="DM25" s="311">
        <v>39</v>
      </c>
      <c r="DP25" s="136"/>
      <c r="DQ25" s="16">
        <v>18</v>
      </c>
      <c r="DR25" s="7">
        <v>939.38</v>
      </c>
      <c r="DS25" s="47">
        <v>43568</v>
      </c>
      <c r="DT25" s="7">
        <v>939.38</v>
      </c>
      <c r="DU25" s="60" t="s">
        <v>417</v>
      </c>
      <c r="DV25" s="18">
        <v>39</v>
      </c>
      <c r="DY25" s="136"/>
      <c r="DZ25" s="16">
        <v>18</v>
      </c>
      <c r="EA25" s="7">
        <v>937.41</v>
      </c>
      <c r="EB25" s="47">
        <v>43568</v>
      </c>
      <c r="EC25" s="7">
        <v>937.41</v>
      </c>
      <c r="ED25" s="60" t="s">
        <v>419</v>
      </c>
      <c r="EE25" s="18">
        <v>39</v>
      </c>
      <c r="EH25" s="136"/>
      <c r="EI25" s="16">
        <v>18</v>
      </c>
      <c r="EJ25" s="15">
        <v>913.1</v>
      </c>
      <c r="EK25" s="14">
        <v>43568</v>
      </c>
      <c r="EL25" s="15">
        <v>913.1</v>
      </c>
      <c r="EM25" s="35" t="s">
        <v>423</v>
      </c>
      <c r="EN25" s="18">
        <v>40</v>
      </c>
      <c r="EQ25" s="136"/>
      <c r="ER25" s="16">
        <v>18</v>
      </c>
      <c r="ES25" s="15">
        <v>933.94</v>
      </c>
      <c r="ET25" s="14">
        <v>43571</v>
      </c>
      <c r="EU25" s="15">
        <v>933.94</v>
      </c>
      <c r="EV25" s="35" t="s">
        <v>430</v>
      </c>
      <c r="EW25" s="18">
        <v>40</v>
      </c>
      <c r="EZ25" s="136"/>
      <c r="FA25" s="16">
        <v>18</v>
      </c>
      <c r="FB25" s="134">
        <v>926.98</v>
      </c>
      <c r="FC25" s="119">
        <v>43571</v>
      </c>
      <c r="FD25" s="134">
        <v>926.98</v>
      </c>
      <c r="FE25" s="90" t="s">
        <v>435</v>
      </c>
      <c r="FF25" s="91">
        <v>40</v>
      </c>
      <c r="FI25" s="136"/>
      <c r="FJ25" s="16">
        <v>18</v>
      </c>
      <c r="FK25" s="7">
        <v>932.58</v>
      </c>
      <c r="FL25" s="47">
        <v>43572</v>
      </c>
      <c r="FM25" s="7">
        <v>932.58</v>
      </c>
      <c r="FN25" s="60" t="s">
        <v>438</v>
      </c>
      <c r="FO25" s="18">
        <v>40</v>
      </c>
      <c r="FR25" s="136"/>
      <c r="FS25" s="16">
        <v>18</v>
      </c>
      <c r="FT25" s="15">
        <v>886.31</v>
      </c>
      <c r="FU25" s="119">
        <v>43572</v>
      </c>
      <c r="FV25" s="134">
        <v>886.31</v>
      </c>
      <c r="FW25" s="137" t="s">
        <v>442</v>
      </c>
      <c r="FX25" s="91">
        <v>40</v>
      </c>
      <c r="GA25" s="136"/>
      <c r="GB25" s="16">
        <v>18</v>
      </c>
      <c r="GC25" s="15">
        <v>931.97</v>
      </c>
      <c r="GD25" s="14">
        <v>43572</v>
      </c>
      <c r="GE25" s="15">
        <v>931.97</v>
      </c>
      <c r="GF25" s="32" t="s">
        <v>433</v>
      </c>
      <c r="GG25" s="18">
        <v>40</v>
      </c>
      <c r="GI25"/>
      <c r="GJ25" s="136"/>
      <c r="GK25" s="16">
        <v>18</v>
      </c>
      <c r="GL25" s="15">
        <v>905.8</v>
      </c>
      <c r="GM25" s="14">
        <v>43573</v>
      </c>
      <c r="GN25" s="15">
        <v>905.8</v>
      </c>
      <c r="GO25" s="32" t="s">
        <v>451</v>
      </c>
      <c r="GP25" s="18">
        <v>40</v>
      </c>
      <c r="GS25" s="435"/>
      <c r="GT25" s="16">
        <v>18</v>
      </c>
      <c r="GU25" s="15">
        <v>933</v>
      </c>
      <c r="GV25" s="14">
        <v>43575</v>
      </c>
      <c r="GW25" s="15">
        <v>933</v>
      </c>
      <c r="GX25" s="239" t="s">
        <v>457</v>
      </c>
      <c r="GY25" s="18">
        <v>40</v>
      </c>
      <c r="HB25" s="136"/>
      <c r="HC25" s="16">
        <v>18</v>
      </c>
      <c r="HD25" s="7">
        <v>957.82</v>
      </c>
      <c r="HE25" s="47">
        <v>43578</v>
      </c>
      <c r="HF25" s="7">
        <v>957.82</v>
      </c>
      <c r="HG25" s="60" t="s">
        <v>463</v>
      </c>
      <c r="HH25" s="18">
        <v>42</v>
      </c>
      <c r="HK25" s="136"/>
      <c r="HL25" s="16">
        <v>18</v>
      </c>
      <c r="HM25" s="15">
        <v>867.5</v>
      </c>
      <c r="HN25" s="14">
        <v>43578</v>
      </c>
      <c r="HO25" s="15">
        <v>867.5</v>
      </c>
      <c r="HP25" s="419" t="s">
        <v>460</v>
      </c>
      <c r="HQ25" s="18">
        <v>42</v>
      </c>
      <c r="HS25" s="7"/>
      <c r="HT25" s="136"/>
      <c r="HU25" s="16">
        <v>18</v>
      </c>
      <c r="HV25" s="15">
        <v>955.56</v>
      </c>
      <c r="HW25" s="47">
        <v>43579</v>
      </c>
      <c r="HX25" s="15">
        <v>955.56</v>
      </c>
      <c r="HY25" s="60" t="s">
        <v>468</v>
      </c>
      <c r="HZ25" s="18">
        <v>42</v>
      </c>
      <c r="IC25" s="136"/>
      <c r="ID25" s="16">
        <v>18</v>
      </c>
      <c r="IE25" s="15">
        <v>932.13</v>
      </c>
      <c r="IF25" s="14">
        <v>43579</v>
      </c>
      <c r="IG25" s="15">
        <v>932.13</v>
      </c>
      <c r="IH25" s="35" t="s">
        <v>499</v>
      </c>
      <c r="II25" s="18">
        <v>42</v>
      </c>
      <c r="IL25" s="136"/>
      <c r="IM25" s="16">
        <v>18</v>
      </c>
      <c r="IN25" s="7">
        <v>867.3</v>
      </c>
      <c r="IO25" s="430">
        <v>43580</v>
      </c>
      <c r="IP25" s="7">
        <v>867.3</v>
      </c>
      <c r="IQ25" s="60" t="s">
        <v>504</v>
      </c>
      <c r="IR25" s="18">
        <v>42</v>
      </c>
      <c r="IU25" s="136"/>
      <c r="IV25" s="16">
        <v>18</v>
      </c>
      <c r="IW25" s="15">
        <v>921.24</v>
      </c>
      <c r="IX25" s="14">
        <v>43581</v>
      </c>
      <c r="IY25" s="15">
        <v>921.24</v>
      </c>
      <c r="IZ25" s="32" t="s">
        <v>508</v>
      </c>
      <c r="JA25" s="18">
        <v>44</v>
      </c>
      <c r="JD25" s="136"/>
      <c r="JE25" s="16">
        <v>18</v>
      </c>
      <c r="JF25" s="15">
        <v>964.3</v>
      </c>
      <c r="JG25" s="14">
        <v>43582</v>
      </c>
      <c r="JH25" s="15">
        <v>964.3</v>
      </c>
      <c r="JI25" s="32" t="s">
        <v>513</v>
      </c>
      <c r="JJ25" s="18">
        <v>44</v>
      </c>
      <c r="JM25" s="136"/>
      <c r="JN25" s="16">
        <v>18</v>
      </c>
      <c r="JO25" s="15">
        <v>897</v>
      </c>
      <c r="JP25" s="14">
        <v>43586</v>
      </c>
      <c r="JQ25" s="15">
        <v>897</v>
      </c>
      <c r="JR25" s="32" t="s">
        <v>521</v>
      </c>
      <c r="JS25" s="18">
        <v>45</v>
      </c>
      <c r="JV25" s="136"/>
      <c r="JW25" s="16">
        <v>18</v>
      </c>
      <c r="JX25" s="15">
        <v>944.67</v>
      </c>
      <c r="JY25" s="14">
        <v>43585</v>
      </c>
      <c r="JZ25" s="15">
        <v>944.67</v>
      </c>
      <c r="KA25" s="32" t="s">
        <v>523</v>
      </c>
      <c r="KB25" s="18">
        <v>45</v>
      </c>
      <c r="KE25" s="136"/>
      <c r="KF25" s="16">
        <v>18</v>
      </c>
      <c r="KG25" s="15">
        <v>928.04</v>
      </c>
      <c r="KH25" s="14">
        <v>43586</v>
      </c>
      <c r="KI25" s="15">
        <v>928.04</v>
      </c>
      <c r="KJ25" s="32" t="s">
        <v>539</v>
      </c>
      <c r="KK25" s="18">
        <v>45</v>
      </c>
      <c r="KN25" s="136"/>
      <c r="KO25" s="16">
        <v>18</v>
      </c>
      <c r="KP25" s="152">
        <v>928.8</v>
      </c>
      <c r="KQ25" s="85">
        <v>43586</v>
      </c>
      <c r="KR25" s="152">
        <v>928.8</v>
      </c>
      <c r="KS25" s="101" t="s">
        <v>541</v>
      </c>
      <c r="KT25" s="83">
        <v>45</v>
      </c>
      <c r="KW25" s="136"/>
      <c r="KX25" s="16">
        <v>18</v>
      </c>
      <c r="KY25" s="152">
        <v>940.75</v>
      </c>
      <c r="KZ25" s="14">
        <v>43588</v>
      </c>
      <c r="LA25" s="152">
        <v>940.75</v>
      </c>
      <c r="LB25" s="32" t="s">
        <v>547</v>
      </c>
      <c r="LC25" s="18">
        <v>46</v>
      </c>
      <c r="LF25" s="136"/>
      <c r="LG25" s="16">
        <v>18</v>
      </c>
      <c r="LH25" s="15">
        <v>942.1</v>
      </c>
      <c r="LI25" s="14">
        <v>43588</v>
      </c>
      <c r="LJ25" s="15">
        <v>942.1</v>
      </c>
      <c r="LK25" s="32" t="s">
        <v>545</v>
      </c>
      <c r="LL25" s="18">
        <v>46</v>
      </c>
      <c r="LO25" s="136"/>
      <c r="LP25" s="16">
        <v>18</v>
      </c>
      <c r="LQ25" s="152">
        <v>927.1</v>
      </c>
      <c r="LR25" s="14">
        <v>43591</v>
      </c>
      <c r="LS25" s="712">
        <v>927.1</v>
      </c>
      <c r="LT25" s="713" t="s">
        <v>555</v>
      </c>
      <c r="LU25" s="18">
        <v>45</v>
      </c>
      <c r="LX25" s="136"/>
      <c r="LY25" s="16">
        <v>18</v>
      </c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7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8"/>
      <c r="RP25" s="309"/>
      <c r="RQ25" s="310"/>
      <c r="RR25" s="311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SMITHFIELD FRESH MEATS</v>
      </c>
      <c r="C26" t="str">
        <f t="shared" si="22"/>
        <v>Smithfield</v>
      </c>
      <c r="D26" s="56" t="str">
        <f t="shared" si="22"/>
        <v>PED. 36899372</v>
      </c>
      <c r="E26" s="124">
        <f t="shared" si="22"/>
        <v>43578</v>
      </c>
      <c r="F26" s="58">
        <f t="shared" si="22"/>
        <v>19822.310000000001</v>
      </c>
      <c r="G26" s="13">
        <f t="shared" si="22"/>
        <v>20</v>
      </c>
      <c r="H26" s="52">
        <f t="shared" si="22"/>
        <v>19575.599999999999</v>
      </c>
      <c r="I26" s="6">
        <f t="shared" si="22"/>
        <v>246.71000000000276</v>
      </c>
      <c r="L26" s="2"/>
      <c r="M26" s="16">
        <v>19</v>
      </c>
      <c r="N26" s="15">
        <v>910.81</v>
      </c>
      <c r="O26" s="14">
        <v>43554</v>
      </c>
      <c r="P26" s="15">
        <v>910.81</v>
      </c>
      <c r="Q26" s="32" t="s">
        <v>237</v>
      </c>
      <c r="R26" s="18">
        <v>44</v>
      </c>
      <c r="U26" s="2"/>
      <c r="V26" s="16">
        <v>19</v>
      </c>
      <c r="W26" s="152">
        <v>896</v>
      </c>
      <c r="X26" s="14">
        <v>43557</v>
      </c>
      <c r="Y26" s="152">
        <v>896</v>
      </c>
      <c r="Z26" s="32" t="s">
        <v>368</v>
      </c>
      <c r="AA26" s="18">
        <v>44</v>
      </c>
      <c r="AD26" s="2"/>
      <c r="AE26" s="16">
        <v>19</v>
      </c>
      <c r="AF26" s="15">
        <v>975.96</v>
      </c>
      <c r="AG26" s="14">
        <v>43558</v>
      </c>
      <c r="AH26" s="15">
        <v>975.96</v>
      </c>
      <c r="AI26" s="32" t="s">
        <v>374</v>
      </c>
      <c r="AJ26" s="18">
        <v>44</v>
      </c>
      <c r="AM26" s="2"/>
      <c r="AN26" s="16">
        <v>19</v>
      </c>
      <c r="AO26" s="152">
        <v>939.84</v>
      </c>
      <c r="AP26" s="14">
        <v>43559</v>
      </c>
      <c r="AQ26" s="152">
        <v>939.84</v>
      </c>
      <c r="AR26" s="32" t="s">
        <v>379</v>
      </c>
      <c r="AS26" s="18">
        <v>44</v>
      </c>
      <c r="AV26" s="2"/>
      <c r="AW26" s="16">
        <v>19</v>
      </c>
      <c r="AX26" s="15">
        <v>942.1</v>
      </c>
      <c r="AY26" s="85">
        <v>43560</v>
      </c>
      <c r="AZ26" s="15">
        <v>942.1</v>
      </c>
      <c r="BA26" s="101" t="s">
        <v>383</v>
      </c>
      <c r="BB26" s="317">
        <v>43</v>
      </c>
      <c r="BE26" s="2"/>
      <c r="BF26" s="16">
        <v>19</v>
      </c>
      <c r="BG26" s="15">
        <v>964.63</v>
      </c>
      <c r="BH26" s="308">
        <v>43561</v>
      </c>
      <c r="BI26" s="15">
        <v>964.63</v>
      </c>
      <c r="BJ26" s="310" t="s">
        <v>389</v>
      </c>
      <c r="BK26" s="311">
        <v>43</v>
      </c>
      <c r="BN26" s="2"/>
      <c r="BO26" s="16">
        <v>19</v>
      </c>
      <c r="BP26" s="15">
        <v>952.99</v>
      </c>
      <c r="BQ26" s="308">
        <v>43560</v>
      </c>
      <c r="BR26" s="15">
        <v>952.99</v>
      </c>
      <c r="BS26" s="310" t="s">
        <v>387</v>
      </c>
      <c r="BT26" s="311">
        <v>43</v>
      </c>
      <c r="BW26" s="2"/>
      <c r="BX26" s="16">
        <v>19</v>
      </c>
      <c r="BY26" s="15">
        <v>878.6</v>
      </c>
      <c r="BZ26" s="308">
        <v>43563</v>
      </c>
      <c r="CA26" s="15">
        <v>878.6</v>
      </c>
      <c r="CB26" s="310" t="s">
        <v>394</v>
      </c>
      <c r="CC26" s="311">
        <v>40</v>
      </c>
      <c r="CF26" s="2"/>
      <c r="CG26" s="16">
        <v>19</v>
      </c>
      <c r="CH26" s="15">
        <v>897.5</v>
      </c>
      <c r="CI26" s="14">
        <v>43564</v>
      </c>
      <c r="CJ26" s="15">
        <v>897.5</v>
      </c>
      <c r="CK26" s="32" t="s">
        <v>385</v>
      </c>
      <c r="CL26" s="18">
        <v>40</v>
      </c>
      <c r="CN26" s="102"/>
      <c r="CO26" s="2"/>
      <c r="CP26" s="16">
        <v>19</v>
      </c>
      <c r="CQ26" s="15">
        <v>953.29</v>
      </c>
      <c r="CR26" s="14">
        <v>43566</v>
      </c>
      <c r="CS26" s="15">
        <v>953.29</v>
      </c>
      <c r="CT26" s="32" t="s">
        <v>408</v>
      </c>
      <c r="CU26" s="18">
        <v>39</v>
      </c>
      <c r="CX26" s="2"/>
      <c r="CY26" s="16">
        <v>19</v>
      </c>
      <c r="CZ26" s="15">
        <v>934.85</v>
      </c>
      <c r="DA26" s="308">
        <v>43565</v>
      </c>
      <c r="DB26" s="15">
        <v>934.85</v>
      </c>
      <c r="DC26" s="310" t="s">
        <v>404</v>
      </c>
      <c r="DD26" s="311">
        <v>40</v>
      </c>
      <c r="DG26" s="2"/>
      <c r="DH26" s="16">
        <v>19</v>
      </c>
      <c r="DI26" s="15">
        <v>905.4</v>
      </c>
      <c r="DJ26" s="308">
        <v>43567</v>
      </c>
      <c r="DK26" s="15">
        <v>905.4</v>
      </c>
      <c r="DL26" s="374" t="s">
        <v>411</v>
      </c>
      <c r="DM26" s="311">
        <v>39</v>
      </c>
      <c r="DP26" s="2"/>
      <c r="DQ26" s="16">
        <v>19</v>
      </c>
      <c r="DR26" s="7">
        <v>900.83</v>
      </c>
      <c r="DS26" s="47">
        <v>43568</v>
      </c>
      <c r="DT26" s="7">
        <v>900.83</v>
      </c>
      <c r="DU26" s="60" t="s">
        <v>417</v>
      </c>
      <c r="DV26" s="18">
        <v>39</v>
      </c>
      <c r="DY26" s="2"/>
      <c r="DZ26" s="16">
        <v>19</v>
      </c>
      <c r="EA26" s="7">
        <v>945.58</v>
      </c>
      <c r="EB26" s="47">
        <v>43568</v>
      </c>
      <c r="EC26" s="7">
        <v>945.58</v>
      </c>
      <c r="ED26" s="60" t="s">
        <v>419</v>
      </c>
      <c r="EE26" s="18">
        <v>39</v>
      </c>
      <c r="EH26" s="2"/>
      <c r="EI26" s="16">
        <v>19</v>
      </c>
      <c r="EJ26" s="15">
        <v>923.1</v>
      </c>
      <c r="EK26" s="14">
        <v>43568</v>
      </c>
      <c r="EL26" s="15">
        <v>923.1</v>
      </c>
      <c r="EM26" s="35" t="s">
        <v>423</v>
      </c>
      <c r="EN26" s="18">
        <v>40</v>
      </c>
      <c r="EQ26" s="2"/>
      <c r="ER26" s="16">
        <v>19</v>
      </c>
      <c r="ES26" s="15">
        <v>948.46</v>
      </c>
      <c r="ET26" s="14">
        <v>43571</v>
      </c>
      <c r="EU26" s="15">
        <v>948.46</v>
      </c>
      <c r="EV26" s="35" t="s">
        <v>430</v>
      </c>
      <c r="EW26" s="18">
        <v>40</v>
      </c>
      <c r="EZ26" s="2"/>
      <c r="FA26" s="16">
        <v>19</v>
      </c>
      <c r="FB26" s="134">
        <v>979.14</v>
      </c>
      <c r="FC26" s="119">
        <v>43571</v>
      </c>
      <c r="FD26" s="134">
        <v>979.14</v>
      </c>
      <c r="FE26" s="90" t="s">
        <v>435</v>
      </c>
      <c r="FF26" s="91">
        <v>40</v>
      </c>
      <c r="FI26" s="2"/>
      <c r="FJ26" s="16">
        <v>19</v>
      </c>
      <c r="FK26" s="7">
        <v>968.87</v>
      </c>
      <c r="FL26" s="47">
        <v>43572</v>
      </c>
      <c r="FM26" s="7">
        <v>968.87</v>
      </c>
      <c r="FN26" s="60" t="s">
        <v>438</v>
      </c>
      <c r="FO26" s="18">
        <v>40</v>
      </c>
      <c r="FR26" s="2"/>
      <c r="FS26" s="16">
        <v>19</v>
      </c>
      <c r="FT26" s="15">
        <v>934.4</v>
      </c>
      <c r="FU26" s="119">
        <v>43572</v>
      </c>
      <c r="FV26" s="134">
        <v>934.4</v>
      </c>
      <c r="FW26" s="137" t="s">
        <v>442</v>
      </c>
      <c r="FX26" s="91">
        <v>40</v>
      </c>
      <c r="GA26" s="2"/>
      <c r="GB26" s="16">
        <v>19</v>
      </c>
      <c r="GC26" s="15">
        <v>990.02</v>
      </c>
      <c r="GD26" s="14">
        <v>43572</v>
      </c>
      <c r="GE26" s="15">
        <v>990.02</v>
      </c>
      <c r="GF26" s="32" t="s">
        <v>433</v>
      </c>
      <c r="GG26" s="18">
        <v>40</v>
      </c>
      <c r="GI26"/>
      <c r="GJ26" s="2"/>
      <c r="GK26" s="16">
        <v>19</v>
      </c>
      <c r="GL26" s="15">
        <v>869.1</v>
      </c>
      <c r="GM26" s="14">
        <v>43573</v>
      </c>
      <c r="GN26" s="15">
        <v>869.1</v>
      </c>
      <c r="GO26" s="32" t="s">
        <v>451</v>
      </c>
      <c r="GP26" s="18">
        <v>40</v>
      </c>
      <c r="GS26" s="435"/>
      <c r="GT26" s="16">
        <v>19</v>
      </c>
      <c r="GU26" s="15">
        <v>931.2</v>
      </c>
      <c r="GV26" s="14">
        <v>43575</v>
      </c>
      <c r="GW26" s="15">
        <v>931.2</v>
      </c>
      <c r="GX26" s="239" t="s">
        <v>457</v>
      </c>
      <c r="GY26" s="18">
        <v>40</v>
      </c>
      <c r="HB26" s="2"/>
      <c r="HC26" s="16">
        <v>19</v>
      </c>
      <c r="HD26" s="7">
        <v>970.07</v>
      </c>
      <c r="HE26" s="47">
        <v>43578</v>
      </c>
      <c r="HF26" s="7">
        <v>970.07</v>
      </c>
      <c r="HG26" s="60" t="s">
        <v>463</v>
      </c>
      <c r="HH26" s="18">
        <v>42</v>
      </c>
      <c r="HK26" s="2"/>
      <c r="HL26" s="16">
        <v>19</v>
      </c>
      <c r="HM26" s="15">
        <v>896.5</v>
      </c>
      <c r="HN26" s="14">
        <v>43578</v>
      </c>
      <c r="HO26" s="15">
        <v>896.5</v>
      </c>
      <c r="HP26" s="419" t="s">
        <v>460</v>
      </c>
      <c r="HQ26" s="18">
        <v>42</v>
      </c>
      <c r="HS26" s="7"/>
      <c r="HT26" s="2"/>
      <c r="HU26" s="16">
        <v>19</v>
      </c>
      <c r="HV26" s="15">
        <v>984.13</v>
      </c>
      <c r="HW26" s="47">
        <v>43579</v>
      </c>
      <c r="HX26" s="15">
        <v>984.13</v>
      </c>
      <c r="HY26" s="60" t="s">
        <v>468</v>
      </c>
      <c r="HZ26" s="18">
        <v>42</v>
      </c>
      <c r="IC26" s="2"/>
      <c r="ID26" s="16">
        <v>19</v>
      </c>
      <c r="IE26" s="15">
        <v>950.27</v>
      </c>
      <c r="IF26" s="14">
        <v>43579</v>
      </c>
      <c r="IG26" s="15">
        <v>950.27</v>
      </c>
      <c r="IH26" s="35" t="s">
        <v>499</v>
      </c>
      <c r="II26" s="18">
        <v>42</v>
      </c>
      <c r="IL26" s="2"/>
      <c r="IM26" s="16">
        <v>19</v>
      </c>
      <c r="IN26" s="7">
        <v>900.8</v>
      </c>
      <c r="IO26" s="430">
        <v>43580</v>
      </c>
      <c r="IP26" s="7">
        <v>900.8</v>
      </c>
      <c r="IQ26" s="60" t="s">
        <v>504</v>
      </c>
      <c r="IR26" s="18">
        <v>42</v>
      </c>
      <c r="IU26" s="2"/>
      <c r="IV26" s="16">
        <v>19</v>
      </c>
      <c r="IW26" s="15">
        <v>915.8</v>
      </c>
      <c r="IX26" s="14">
        <v>43581</v>
      </c>
      <c r="IY26" s="15">
        <v>915.8</v>
      </c>
      <c r="IZ26" s="32" t="s">
        <v>508</v>
      </c>
      <c r="JA26" s="18">
        <v>44</v>
      </c>
      <c r="JD26" s="2"/>
      <c r="JE26" s="16">
        <v>19</v>
      </c>
      <c r="JF26" s="15">
        <v>915.8</v>
      </c>
      <c r="JG26" s="14">
        <v>43582</v>
      </c>
      <c r="JH26" s="15">
        <v>915.8</v>
      </c>
      <c r="JI26" s="32" t="s">
        <v>513</v>
      </c>
      <c r="JJ26" s="18">
        <v>44</v>
      </c>
      <c r="JM26" s="2"/>
      <c r="JN26" s="16">
        <v>19</v>
      </c>
      <c r="JO26" s="15">
        <v>901.5</v>
      </c>
      <c r="JP26" s="14">
        <v>43586</v>
      </c>
      <c r="JQ26" s="15">
        <v>901.5</v>
      </c>
      <c r="JR26" s="32" t="s">
        <v>521</v>
      </c>
      <c r="JS26" s="18">
        <v>45</v>
      </c>
      <c r="JV26" s="2"/>
      <c r="JW26" s="16">
        <v>19</v>
      </c>
      <c r="JX26" s="15">
        <v>991.84</v>
      </c>
      <c r="JY26" s="14">
        <v>43585</v>
      </c>
      <c r="JZ26" s="15">
        <v>991.84</v>
      </c>
      <c r="KA26" s="32" t="s">
        <v>523</v>
      </c>
      <c r="KB26" s="18">
        <v>45</v>
      </c>
      <c r="KE26" s="2"/>
      <c r="KF26" s="16">
        <v>19</v>
      </c>
      <c r="KG26" s="15">
        <v>952.09</v>
      </c>
      <c r="KH26" s="14">
        <v>43586</v>
      </c>
      <c r="KI26" s="15">
        <v>952.09</v>
      </c>
      <c r="KJ26" s="32" t="s">
        <v>539</v>
      </c>
      <c r="KK26" s="18">
        <v>45</v>
      </c>
      <c r="KN26" s="2"/>
      <c r="KO26" s="16">
        <v>19</v>
      </c>
      <c r="KP26" s="152">
        <v>951.02</v>
      </c>
      <c r="KQ26" s="85">
        <v>43586</v>
      </c>
      <c r="KR26" s="152">
        <v>951.02</v>
      </c>
      <c r="KS26" s="101" t="s">
        <v>541</v>
      </c>
      <c r="KT26" s="83">
        <v>45</v>
      </c>
      <c r="KW26" s="2"/>
      <c r="KX26" s="16">
        <v>19</v>
      </c>
      <c r="KY26" s="152">
        <v>902.64</v>
      </c>
      <c r="KZ26" s="14">
        <v>43588</v>
      </c>
      <c r="LA26" s="152">
        <v>902.64</v>
      </c>
      <c r="LB26" s="32" t="s">
        <v>547</v>
      </c>
      <c r="LC26" s="18">
        <v>46</v>
      </c>
      <c r="LF26" s="2"/>
      <c r="LG26" s="16">
        <v>19</v>
      </c>
      <c r="LH26" s="15">
        <v>911.7</v>
      </c>
      <c r="LI26" s="14">
        <v>43588</v>
      </c>
      <c r="LJ26" s="15">
        <v>911.7</v>
      </c>
      <c r="LK26" s="32" t="s">
        <v>545</v>
      </c>
      <c r="LL26" s="18">
        <v>46</v>
      </c>
      <c r="LO26" s="2"/>
      <c r="LP26" s="16">
        <v>19</v>
      </c>
      <c r="LQ26" s="152">
        <v>907.6</v>
      </c>
      <c r="LR26" s="14">
        <v>43591</v>
      </c>
      <c r="LS26" s="712">
        <v>907.6</v>
      </c>
      <c r="LT26" s="713" t="s">
        <v>555</v>
      </c>
      <c r="LU26" s="18">
        <v>45</v>
      </c>
      <c r="LX26" s="2"/>
      <c r="LY26" s="16">
        <v>19</v>
      </c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7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8"/>
      <c r="RP26" s="309"/>
      <c r="RQ26" s="310"/>
      <c r="RR26" s="311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IDEAL TRADING FOODS</v>
      </c>
      <c r="C27" t="str">
        <f t="shared" si="23"/>
        <v>SIOUX</v>
      </c>
      <c r="D27" s="56" t="str">
        <f t="shared" si="23"/>
        <v>PED. 36900243</v>
      </c>
      <c r="E27" s="124">
        <f t="shared" si="23"/>
        <v>43578</v>
      </c>
      <c r="F27" s="58">
        <f t="shared" si="23"/>
        <v>18707.669999999998</v>
      </c>
      <c r="G27" s="13">
        <f t="shared" si="23"/>
        <v>21</v>
      </c>
      <c r="H27" s="52">
        <f t="shared" si="23"/>
        <v>18718</v>
      </c>
      <c r="I27" s="6">
        <f t="shared" si="23"/>
        <v>-10.330000000001746</v>
      </c>
      <c r="L27" s="2"/>
      <c r="M27" s="16">
        <v>20</v>
      </c>
      <c r="N27" s="15">
        <v>899.92</v>
      </c>
      <c r="O27" s="14">
        <v>43554</v>
      </c>
      <c r="P27" s="15">
        <v>899.92</v>
      </c>
      <c r="Q27" s="32" t="s">
        <v>237</v>
      </c>
      <c r="R27" s="18">
        <v>44</v>
      </c>
      <c r="U27" s="2"/>
      <c r="V27" s="16">
        <v>20</v>
      </c>
      <c r="W27" s="152">
        <v>899.5</v>
      </c>
      <c r="X27" s="14">
        <v>43557</v>
      </c>
      <c r="Y27" s="152">
        <v>899.5</v>
      </c>
      <c r="Z27" s="32" t="s">
        <v>368</v>
      </c>
      <c r="AA27" s="18">
        <v>44</v>
      </c>
      <c r="AD27" s="2"/>
      <c r="AE27" s="16">
        <v>20</v>
      </c>
      <c r="AF27" s="15">
        <v>992.74</v>
      </c>
      <c r="AG27" s="14">
        <v>43558</v>
      </c>
      <c r="AH27" s="15">
        <v>992.74</v>
      </c>
      <c r="AI27" s="419" t="s">
        <v>373</v>
      </c>
      <c r="AJ27" s="18">
        <v>44</v>
      </c>
      <c r="AM27" s="2"/>
      <c r="AN27" s="16">
        <v>20</v>
      </c>
      <c r="AO27" s="152">
        <v>960.7</v>
      </c>
      <c r="AP27" s="14">
        <v>43559</v>
      </c>
      <c r="AQ27" s="152">
        <v>960.7</v>
      </c>
      <c r="AR27" s="32" t="s">
        <v>378</v>
      </c>
      <c r="AS27" s="18">
        <v>44</v>
      </c>
      <c r="AV27" s="2"/>
      <c r="AW27" s="16">
        <v>20</v>
      </c>
      <c r="AX27" s="15">
        <v>942.1</v>
      </c>
      <c r="AY27" s="85">
        <v>43560</v>
      </c>
      <c r="AZ27" s="15">
        <v>942.1</v>
      </c>
      <c r="BA27" s="101" t="s">
        <v>383</v>
      </c>
      <c r="BB27" s="317">
        <v>43</v>
      </c>
      <c r="BE27" s="2"/>
      <c r="BF27" s="16">
        <v>20</v>
      </c>
      <c r="BG27" s="15">
        <v>922.45</v>
      </c>
      <c r="BH27" s="308">
        <v>43561</v>
      </c>
      <c r="BI27" s="15">
        <v>922.45</v>
      </c>
      <c r="BJ27" s="310" t="s">
        <v>389</v>
      </c>
      <c r="BK27" s="311">
        <v>43</v>
      </c>
      <c r="BN27" s="2"/>
      <c r="BO27" s="16">
        <v>20</v>
      </c>
      <c r="BP27" s="15">
        <v>919.43</v>
      </c>
      <c r="BQ27" s="308">
        <v>43560</v>
      </c>
      <c r="BR27" s="15">
        <v>919.43</v>
      </c>
      <c r="BS27" s="310" t="s">
        <v>387</v>
      </c>
      <c r="BT27" s="311">
        <v>43</v>
      </c>
      <c r="BW27" s="2"/>
      <c r="BX27" s="16">
        <v>20</v>
      </c>
      <c r="BY27" s="15">
        <v>905.8</v>
      </c>
      <c r="BZ27" s="308">
        <v>43563</v>
      </c>
      <c r="CA27" s="15">
        <v>905.8</v>
      </c>
      <c r="CB27" s="310" t="s">
        <v>393</v>
      </c>
      <c r="CC27" s="311">
        <v>40</v>
      </c>
      <c r="CF27" s="2"/>
      <c r="CG27" s="16">
        <v>20</v>
      </c>
      <c r="CH27" s="15">
        <v>897</v>
      </c>
      <c r="CI27" s="14">
        <v>43564</v>
      </c>
      <c r="CJ27" s="15">
        <v>897</v>
      </c>
      <c r="CK27" s="32" t="s">
        <v>385</v>
      </c>
      <c r="CL27" s="18">
        <v>40</v>
      </c>
      <c r="CN27" s="102"/>
      <c r="CO27" s="2"/>
      <c r="CP27" s="16">
        <v>20</v>
      </c>
      <c r="CQ27" s="15">
        <v>907.03</v>
      </c>
      <c r="CR27" s="14">
        <v>43566</v>
      </c>
      <c r="CS27" s="15">
        <v>907.03</v>
      </c>
      <c r="CT27" s="32" t="s">
        <v>406</v>
      </c>
      <c r="CU27" s="18">
        <v>40</v>
      </c>
      <c r="CX27" s="2"/>
      <c r="CY27" s="16">
        <v>20</v>
      </c>
      <c r="CZ27" s="15">
        <v>929.86</v>
      </c>
      <c r="DA27" s="308">
        <v>43565</v>
      </c>
      <c r="DB27" s="15">
        <v>929.86</v>
      </c>
      <c r="DC27" s="310" t="s">
        <v>404</v>
      </c>
      <c r="DD27" s="311">
        <v>40</v>
      </c>
      <c r="DG27" s="2"/>
      <c r="DH27" s="16">
        <v>20</v>
      </c>
      <c r="DI27" s="15">
        <v>940.3</v>
      </c>
      <c r="DJ27" s="308">
        <v>43567</v>
      </c>
      <c r="DK27" s="15">
        <v>940.3</v>
      </c>
      <c r="DL27" s="310" t="s">
        <v>411</v>
      </c>
      <c r="DM27" s="311">
        <v>39</v>
      </c>
      <c r="DP27" s="2"/>
      <c r="DQ27" s="16">
        <v>20</v>
      </c>
      <c r="DR27" s="7">
        <v>914.44</v>
      </c>
      <c r="DS27" s="47">
        <v>43568</v>
      </c>
      <c r="DT27" s="7">
        <v>914.44</v>
      </c>
      <c r="DU27" s="60" t="s">
        <v>417</v>
      </c>
      <c r="DV27" s="18">
        <v>39</v>
      </c>
      <c r="DY27" s="2"/>
      <c r="DZ27" s="16">
        <v>20</v>
      </c>
      <c r="EA27" s="7">
        <v>954.2</v>
      </c>
      <c r="EB27" s="47">
        <v>43568</v>
      </c>
      <c r="EC27" s="7">
        <v>954.2</v>
      </c>
      <c r="ED27" s="60" t="s">
        <v>419</v>
      </c>
      <c r="EE27" s="18">
        <v>39</v>
      </c>
      <c r="EH27" s="2"/>
      <c r="EI27" s="16">
        <v>20</v>
      </c>
      <c r="EJ27" s="15">
        <v>870.4</v>
      </c>
      <c r="EK27" s="14">
        <v>43568</v>
      </c>
      <c r="EL27" s="15">
        <v>870.4</v>
      </c>
      <c r="EM27" s="35" t="s">
        <v>423</v>
      </c>
      <c r="EN27" s="18">
        <v>40</v>
      </c>
      <c r="EQ27" s="2"/>
      <c r="ER27" s="16">
        <v>20</v>
      </c>
      <c r="ES27" s="15">
        <v>969.32</v>
      </c>
      <c r="ET27" s="14">
        <v>43571</v>
      </c>
      <c r="EU27" s="15">
        <v>969.32</v>
      </c>
      <c r="EV27" s="35" t="s">
        <v>430</v>
      </c>
      <c r="EW27" s="18">
        <v>40</v>
      </c>
      <c r="EZ27" s="2"/>
      <c r="FA27" s="16">
        <v>20</v>
      </c>
      <c r="FB27" s="134">
        <v>930.61</v>
      </c>
      <c r="FC27" s="119">
        <v>43571</v>
      </c>
      <c r="FD27" s="134">
        <v>930.61</v>
      </c>
      <c r="FE27" s="90" t="s">
        <v>435</v>
      </c>
      <c r="FF27" s="91">
        <v>40</v>
      </c>
      <c r="FI27" s="2"/>
      <c r="FJ27" s="16">
        <v>20</v>
      </c>
      <c r="FK27" s="7">
        <v>929.41</v>
      </c>
      <c r="FL27" s="47">
        <v>43572</v>
      </c>
      <c r="FM27" s="7">
        <v>929.41</v>
      </c>
      <c r="FN27" s="60" t="s">
        <v>438</v>
      </c>
      <c r="FO27" s="18">
        <v>40</v>
      </c>
      <c r="FR27" s="2"/>
      <c r="FS27" s="16">
        <v>20</v>
      </c>
      <c r="FT27" s="15">
        <v>937.12</v>
      </c>
      <c r="FU27" s="119">
        <v>43572</v>
      </c>
      <c r="FV27" s="134">
        <v>937.12</v>
      </c>
      <c r="FW27" s="137" t="s">
        <v>442</v>
      </c>
      <c r="FX27" s="91">
        <v>40</v>
      </c>
      <c r="GA27" s="2"/>
      <c r="GB27" s="16">
        <v>20</v>
      </c>
      <c r="GC27" s="15">
        <v>983.67</v>
      </c>
      <c r="GD27" s="14">
        <v>43572</v>
      </c>
      <c r="GE27" s="15">
        <v>983.67</v>
      </c>
      <c r="GF27" s="32" t="s">
        <v>433</v>
      </c>
      <c r="GG27" s="18">
        <v>40</v>
      </c>
      <c r="GI27"/>
      <c r="GJ27" s="2"/>
      <c r="GK27" s="16">
        <v>20</v>
      </c>
      <c r="GL27" s="15">
        <v>894.9</v>
      </c>
      <c r="GM27" s="14">
        <v>43573</v>
      </c>
      <c r="GN27" s="15">
        <v>894.9</v>
      </c>
      <c r="GO27" s="32" t="s">
        <v>451</v>
      </c>
      <c r="GP27" s="18">
        <v>40</v>
      </c>
      <c r="GS27" s="435"/>
      <c r="GT27" s="16">
        <v>20</v>
      </c>
      <c r="GU27" s="15">
        <v>910.4</v>
      </c>
      <c r="GV27" s="14">
        <v>43575</v>
      </c>
      <c r="GW27" s="15">
        <v>910.4</v>
      </c>
      <c r="GX27" s="239" t="s">
        <v>457</v>
      </c>
      <c r="GY27" s="18">
        <v>40</v>
      </c>
      <c r="HB27" s="2"/>
      <c r="HC27" s="16">
        <v>20</v>
      </c>
      <c r="HD27" s="7">
        <v>1014.6</v>
      </c>
      <c r="HE27" s="47">
        <v>43578</v>
      </c>
      <c r="HF27" s="7">
        <v>1014.6</v>
      </c>
      <c r="HG27" s="60" t="s">
        <v>463</v>
      </c>
      <c r="HH27" s="18">
        <v>42</v>
      </c>
      <c r="HK27" s="2"/>
      <c r="HL27" s="16">
        <v>20</v>
      </c>
      <c r="HM27" s="15">
        <v>897</v>
      </c>
      <c r="HN27" s="14">
        <v>43578</v>
      </c>
      <c r="HO27" s="15">
        <v>897</v>
      </c>
      <c r="HP27" s="419" t="s">
        <v>460</v>
      </c>
      <c r="HQ27" s="18">
        <v>42</v>
      </c>
      <c r="HS27" s="7"/>
      <c r="HT27" s="2"/>
      <c r="HU27" s="16">
        <v>20</v>
      </c>
      <c r="HV27" s="15">
        <v>936.96</v>
      </c>
      <c r="HW27" s="47">
        <v>43579</v>
      </c>
      <c r="HX27" s="15">
        <v>936.96</v>
      </c>
      <c r="HY27" s="60" t="s">
        <v>468</v>
      </c>
      <c r="HZ27" s="18">
        <v>42</v>
      </c>
      <c r="IC27" s="2"/>
      <c r="ID27" s="16">
        <v>20</v>
      </c>
      <c r="IE27" s="15">
        <v>950.27</v>
      </c>
      <c r="IF27" s="14">
        <v>43579</v>
      </c>
      <c r="IG27" s="15">
        <v>950.27</v>
      </c>
      <c r="IH27" s="35" t="s">
        <v>499</v>
      </c>
      <c r="II27" s="18">
        <v>42</v>
      </c>
      <c r="IL27" s="2"/>
      <c r="IM27" s="16">
        <v>20</v>
      </c>
      <c r="IN27" s="7">
        <v>875.9</v>
      </c>
      <c r="IO27" s="430">
        <v>43580</v>
      </c>
      <c r="IP27" s="7">
        <v>875.9</v>
      </c>
      <c r="IQ27" s="60" t="s">
        <v>504</v>
      </c>
      <c r="IR27" s="18">
        <v>42</v>
      </c>
      <c r="IU27" s="2"/>
      <c r="IV27" s="16">
        <v>20</v>
      </c>
      <c r="IW27" s="15">
        <v>937.57</v>
      </c>
      <c r="IX27" s="14">
        <v>43581</v>
      </c>
      <c r="IY27" s="15">
        <v>937.57</v>
      </c>
      <c r="IZ27" s="32" t="s">
        <v>508</v>
      </c>
      <c r="JA27" s="18">
        <v>44</v>
      </c>
      <c r="JD27" s="2"/>
      <c r="JE27" s="16">
        <v>20</v>
      </c>
      <c r="JF27" s="15">
        <v>887.7</v>
      </c>
      <c r="JG27" s="14">
        <v>43582</v>
      </c>
      <c r="JH27" s="15">
        <v>887.7</v>
      </c>
      <c r="JI27" s="32" t="s">
        <v>513</v>
      </c>
      <c r="JJ27" s="18">
        <v>44</v>
      </c>
      <c r="JM27" s="2"/>
      <c r="JN27" s="16">
        <v>20</v>
      </c>
      <c r="JO27" s="15">
        <v>903.5</v>
      </c>
      <c r="JP27" s="14">
        <v>43586</v>
      </c>
      <c r="JQ27" s="15">
        <v>903.5</v>
      </c>
      <c r="JR27" s="32" t="s">
        <v>524</v>
      </c>
      <c r="JS27" s="18">
        <v>45</v>
      </c>
      <c r="JV27" s="2"/>
      <c r="JW27" s="16">
        <v>20</v>
      </c>
      <c r="JX27" s="15">
        <v>984.58</v>
      </c>
      <c r="JY27" s="14">
        <v>43585</v>
      </c>
      <c r="JZ27" s="15">
        <v>984.58</v>
      </c>
      <c r="KA27" s="32" t="s">
        <v>523</v>
      </c>
      <c r="KB27" s="18">
        <v>45</v>
      </c>
      <c r="KE27" s="2"/>
      <c r="KF27" s="16">
        <v>20</v>
      </c>
      <c r="KG27" s="15">
        <v>948.91</v>
      </c>
      <c r="KH27" s="14">
        <v>43586</v>
      </c>
      <c r="KI27" s="15">
        <v>948.91</v>
      </c>
      <c r="KJ27" s="32" t="s">
        <v>539</v>
      </c>
      <c r="KK27" s="18">
        <v>45</v>
      </c>
      <c r="KN27" s="2"/>
      <c r="KO27" s="16">
        <v>20</v>
      </c>
      <c r="KP27" s="152">
        <v>975.06</v>
      </c>
      <c r="KQ27" s="85">
        <v>43586</v>
      </c>
      <c r="KR27" s="152">
        <v>975.06</v>
      </c>
      <c r="KS27" s="101" t="s">
        <v>541</v>
      </c>
      <c r="KT27" s="83">
        <v>45</v>
      </c>
      <c r="KW27" s="2"/>
      <c r="KX27" s="16">
        <v>20</v>
      </c>
      <c r="KY27" s="152">
        <v>905.37</v>
      </c>
      <c r="KZ27" s="14">
        <v>43588</v>
      </c>
      <c r="LA27" s="152">
        <v>905.37</v>
      </c>
      <c r="LB27" s="32" t="s">
        <v>547</v>
      </c>
      <c r="LC27" s="18">
        <v>46</v>
      </c>
      <c r="LF27" s="2"/>
      <c r="LG27" s="16">
        <v>20</v>
      </c>
      <c r="LH27" s="15">
        <v>935.3</v>
      </c>
      <c r="LI27" s="14">
        <v>43588</v>
      </c>
      <c r="LJ27" s="15">
        <v>935.3</v>
      </c>
      <c r="LK27" s="32" t="s">
        <v>545</v>
      </c>
      <c r="LL27" s="18">
        <v>46</v>
      </c>
      <c r="LO27" s="2"/>
      <c r="LP27" s="16">
        <v>20</v>
      </c>
      <c r="LQ27" s="152">
        <v>924.9</v>
      </c>
      <c r="LR27" s="14">
        <v>43591</v>
      </c>
      <c r="LS27" s="712">
        <v>924.9</v>
      </c>
      <c r="LT27" s="713" t="s">
        <v>554</v>
      </c>
      <c r="LU27" s="18">
        <v>45</v>
      </c>
      <c r="LX27" s="2"/>
      <c r="LY27" s="16">
        <v>20</v>
      </c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7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8"/>
      <c r="RP27" s="309"/>
      <c r="RQ27" s="310"/>
      <c r="RR27" s="311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SMITHFIELD FRESH MEATS</v>
      </c>
      <c r="C28" t="str">
        <f t="shared" si="24"/>
        <v>Smithfield</v>
      </c>
      <c r="D28" s="56" t="str">
        <f t="shared" si="24"/>
        <v>PED. 36899371</v>
      </c>
      <c r="E28" s="124">
        <f t="shared" si="24"/>
        <v>43579</v>
      </c>
      <c r="F28" s="58">
        <f t="shared" si="24"/>
        <v>19048.96</v>
      </c>
      <c r="G28" s="13">
        <f t="shared" si="24"/>
        <v>20</v>
      </c>
      <c r="H28" s="52">
        <f t="shared" si="24"/>
        <v>19034.03</v>
      </c>
      <c r="I28" s="6">
        <f t="shared" si="24"/>
        <v>14.930000000000291</v>
      </c>
      <c r="L28" s="2"/>
      <c r="M28" s="16">
        <v>21</v>
      </c>
      <c r="N28" s="15"/>
      <c r="O28" s="14"/>
      <c r="P28" s="15"/>
      <c r="Q28" s="32"/>
      <c r="R28" s="18"/>
      <c r="U28" s="2"/>
      <c r="V28" s="16">
        <v>21</v>
      </c>
      <c r="W28" s="152">
        <v>897</v>
      </c>
      <c r="X28" s="14">
        <v>43557</v>
      </c>
      <c r="Y28" s="152">
        <v>897</v>
      </c>
      <c r="Z28" s="32" t="s">
        <v>368</v>
      </c>
      <c r="AA28" s="18">
        <v>44</v>
      </c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/>
      <c r="AP28" s="14"/>
      <c r="AQ28" s="152"/>
      <c r="AR28" s="32"/>
      <c r="AS28" s="18"/>
      <c r="AV28" s="2"/>
      <c r="AW28" s="16">
        <v>21</v>
      </c>
      <c r="AX28" s="15">
        <v>914</v>
      </c>
      <c r="AY28" s="85">
        <v>43560</v>
      </c>
      <c r="AZ28" s="15">
        <v>914</v>
      </c>
      <c r="BA28" s="101" t="s">
        <v>383</v>
      </c>
      <c r="BB28" s="317">
        <v>43</v>
      </c>
      <c r="BE28" s="2"/>
      <c r="BF28" s="16">
        <v>21</v>
      </c>
      <c r="BG28" s="15"/>
      <c r="BH28" s="308"/>
      <c r="BI28" s="15"/>
      <c r="BJ28" s="310"/>
      <c r="BK28" s="311"/>
      <c r="BN28" s="2"/>
      <c r="BO28" s="16"/>
      <c r="BP28" s="15"/>
      <c r="BQ28" s="308"/>
      <c r="BR28" s="15"/>
      <c r="BS28" s="310"/>
      <c r="BT28" s="311"/>
      <c r="BW28" s="2"/>
      <c r="BX28" s="16">
        <v>21</v>
      </c>
      <c r="BY28" s="15">
        <v>906.7</v>
      </c>
      <c r="BZ28" s="308">
        <v>43563</v>
      </c>
      <c r="CA28" s="15">
        <v>906.7</v>
      </c>
      <c r="CB28" s="310" t="s">
        <v>393</v>
      </c>
      <c r="CC28" s="311">
        <v>40</v>
      </c>
      <c r="CF28" s="2"/>
      <c r="CG28" s="16">
        <v>21</v>
      </c>
      <c r="CH28" s="15">
        <v>850.5</v>
      </c>
      <c r="CI28" s="14">
        <v>43564</v>
      </c>
      <c r="CJ28" s="15">
        <v>850.5</v>
      </c>
      <c r="CK28" s="32" t="s">
        <v>385</v>
      </c>
      <c r="CL28" s="18">
        <v>40</v>
      </c>
      <c r="CN28" s="102"/>
      <c r="CO28" s="2"/>
      <c r="CP28" s="16">
        <v>21</v>
      </c>
      <c r="CQ28" s="15"/>
      <c r="CR28" s="14"/>
      <c r="CS28" s="15"/>
      <c r="CT28" s="32"/>
      <c r="CU28" s="18"/>
      <c r="CX28" s="2"/>
      <c r="CY28" s="16">
        <v>21</v>
      </c>
      <c r="CZ28" s="15"/>
      <c r="DA28" s="308"/>
      <c r="DB28" s="15"/>
      <c r="DC28" s="310"/>
      <c r="DD28" s="311"/>
      <c r="DG28" s="2"/>
      <c r="DH28" s="16">
        <v>21</v>
      </c>
      <c r="DI28" s="15">
        <v>943.9</v>
      </c>
      <c r="DJ28" s="308">
        <v>43567</v>
      </c>
      <c r="DK28" s="15">
        <v>943.9</v>
      </c>
      <c r="DL28" s="310" t="s">
        <v>411</v>
      </c>
      <c r="DM28" s="311">
        <v>39</v>
      </c>
      <c r="DP28" s="2"/>
      <c r="DQ28" s="16">
        <v>21</v>
      </c>
      <c r="DR28" s="7"/>
      <c r="DS28" s="47"/>
      <c r="DT28" s="7"/>
      <c r="DU28" s="60"/>
      <c r="DV28" s="18"/>
      <c r="DY28" s="2"/>
      <c r="DZ28" s="16">
        <v>21</v>
      </c>
      <c r="EA28" s="7"/>
      <c r="EB28" s="47"/>
      <c r="EC28" s="7"/>
      <c r="ED28" s="447"/>
      <c r="EE28" s="18"/>
      <c r="EH28" s="2"/>
      <c r="EI28" s="16">
        <v>21</v>
      </c>
      <c r="EJ28" s="15">
        <v>883.6</v>
      </c>
      <c r="EK28" s="14">
        <v>43568</v>
      </c>
      <c r="EL28" s="15">
        <v>883.6</v>
      </c>
      <c r="EM28" s="35" t="s">
        <v>423</v>
      </c>
      <c r="EN28" s="18">
        <v>40</v>
      </c>
      <c r="EQ28" s="2"/>
      <c r="ER28" s="16"/>
      <c r="ES28" s="15"/>
      <c r="ET28" s="14"/>
      <c r="EU28" s="15"/>
      <c r="EV28" s="35"/>
      <c r="EW28" s="18"/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>
        <v>21</v>
      </c>
      <c r="FK28" s="7"/>
      <c r="FL28" s="47"/>
      <c r="FM28" s="7"/>
      <c r="FN28" s="60"/>
      <c r="FO28" s="18"/>
      <c r="FR28" s="2"/>
      <c r="FS28" s="16">
        <v>21</v>
      </c>
      <c r="FT28" s="15"/>
      <c r="FU28" s="119"/>
      <c r="FV28" s="134"/>
      <c r="FW28" s="137"/>
      <c r="FX28" s="91"/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18">
        <v>923.5</v>
      </c>
      <c r="GM28" s="14">
        <v>43573</v>
      </c>
      <c r="GN28" s="318">
        <v>923.5</v>
      </c>
      <c r="GO28" s="32" t="s">
        <v>451</v>
      </c>
      <c r="GP28" s="18">
        <v>40</v>
      </c>
      <c r="GS28" s="2"/>
      <c r="GT28" s="16">
        <v>21</v>
      </c>
      <c r="GU28" s="15">
        <v>913.5</v>
      </c>
      <c r="GV28" s="14">
        <v>43575</v>
      </c>
      <c r="GW28" s="15">
        <v>913.5</v>
      </c>
      <c r="GX28" s="239" t="s">
        <v>457</v>
      </c>
      <c r="GY28" s="18">
        <v>40</v>
      </c>
      <c r="HB28" s="2"/>
      <c r="HC28" s="16">
        <v>21</v>
      </c>
      <c r="HD28" s="7"/>
      <c r="HE28" s="47"/>
      <c r="HF28" s="7"/>
      <c r="HG28" s="60"/>
      <c r="HH28" s="18"/>
      <c r="HK28" s="2"/>
      <c r="HL28" s="16">
        <v>21</v>
      </c>
      <c r="HM28" s="15">
        <v>898.5</v>
      </c>
      <c r="HN28" s="14">
        <v>43578</v>
      </c>
      <c r="HO28" s="15">
        <v>898.5</v>
      </c>
      <c r="HP28" s="419" t="s">
        <v>460</v>
      </c>
      <c r="HQ28" s="18">
        <v>42</v>
      </c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/>
      <c r="IF28" s="14"/>
      <c r="IG28" s="15"/>
      <c r="IH28" s="35"/>
      <c r="II28" s="18"/>
      <c r="IL28" s="2"/>
      <c r="IM28" s="16">
        <v>21</v>
      </c>
      <c r="IN28" s="7">
        <v>876.8</v>
      </c>
      <c r="IO28" s="430">
        <v>43580</v>
      </c>
      <c r="IP28" s="7">
        <v>876.8</v>
      </c>
      <c r="IQ28" s="60" t="s">
        <v>504</v>
      </c>
      <c r="IR28" s="18">
        <v>42</v>
      </c>
      <c r="IU28" s="2"/>
      <c r="IV28" s="16">
        <v>21</v>
      </c>
      <c r="IW28" s="15"/>
      <c r="IX28" s="14"/>
      <c r="IY28" s="15"/>
      <c r="IZ28" s="32"/>
      <c r="JA28" s="18"/>
      <c r="JD28" s="2"/>
      <c r="JE28" s="16">
        <v>21</v>
      </c>
      <c r="JF28" s="318">
        <v>891.3</v>
      </c>
      <c r="JG28" s="14">
        <v>43582</v>
      </c>
      <c r="JH28" s="318">
        <v>891.3</v>
      </c>
      <c r="JI28" s="32" t="s">
        <v>513</v>
      </c>
      <c r="JJ28" s="18">
        <v>44</v>
      </c>
      <c r="JM28" s="2"/>
      <c r="JN28" s="16">
        <v>21</v>
      </c>
      <c r="JO28" s="15">
        <v>888.5</v>
      </c>
      <c r="JP28" s="14">
        <v>43585</v>
      </c>
      <c r="JQ28" s="15">
        <v>888.5</v>
      </c>
      <c r="JR28" s="32" t="s">
        <v>520</v>
      </c>
      <c r="JS28" s="18">
        <v>45</v>
      </c>
      <c r="JV28" s="2"/>
      <c r="JW28" s="16">
        <v>21</v>
      </c>
      <c r="JX28" s="15"/>
      <c r="JY28" s="14"/>
      <c r="JZ28" s="15"/>
      <c r="KA28" s="32"/>
      <c r="KB28" s="18"/>
      <c r="KE28" s="2"/>
      <c r="KF28" s="16">
        <v>21</v>
      </c>
      <c r="KG28" s="15"/>
      <c r="KH28" s="14"/>
      <c r="KI28" s="15"/>
      <c r="KJ28" s="32"/>
      <c r="KK28" s="18"/>
      <c r="KN28" s="2"/>
      <c r="KO28" s="16">
        <v>21</v>
      </c>
      <c r="KP28" s="152"/>
      <c r="KQ28" s="85"/>
      <c r="KR28" s="152"/>
      <c r="KS28" s="101"/>
      <c r="KT28" s="83"/>
      <c r="KW28" s="2"/>
      <c r="KX28" s="16">
        <v>21</v>
      </c>
      <c r="KY28" s="152"/>
      <c r="KZ28" s="14"/>
      <c r="LA28" s="152"/>
      <c r="LB28" s="32"/>
      <c r="LC28" s="18"/>
      <c r="LF28" s="2"/>
      <c r="LG28" s="16">
        <v>21</v>
      </c>
      <c r="LH28" s="15">
        <v>921.2</v>
      </c>
      <c r="LI28" s="14">
        <v>43588</v>
      </c>
      <c r="LJ28" s="15">
        <v>921.2</v>
      </c>
      <c r="LK28" s="32" t="s">
        <v>545</v>
      </c>
      <c r="LL28" s="18">
        <v>46</v>
      </c>
      <c r="LO28" s="2"/>
      <c r="LP28" s="16">
        <v>21</v>
      </c>
      <c r="LQ28" s="152">
        <v>909.9</v>
      </c>
      <c r="LR28" s="14">
        <v>43591</v>
      </c>
      <c r="LS28" s="712">
        <v>909.9</v>
      </c>
      <c r="LT28" s="713" t="s">
        <v>554</v>
      </c>
      <c r="LU28" s="18">
        <v>45</v>
      </c>
      <c r="LX28" s="2"/>
      <c r="LY28" s="16">
        <v>21</v>
      </c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8"/>
      <c r="NB28" s="85"/>
      <c r="NC28" s="318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7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TYSON FRESH MEATS</v>
      </c>
      <c r="C29" t="str">
        <f t="shared" si="25"/>
        <v xml:space="preserve">I B P </v>
      </c>
      <c r="D29" s="56" t="str">
        <f t="shared" si="25"/>
        <v>PED. 36937313</v>
      </c>
      <c r="E29" s="124">
        <f t="shared" si="25"/>
        <v>43579</v>
      </c>
      <c r="F29" s="58">
        <f t="shared" si="25"/>
        <v>18601.240000000002</v>
      </c>
      <c r="G29" s="13">
        <f t="shared" si="25"/>
        <v>20</v>
      </c>
      <c r="H29" s="52">
        <f t="shared" si="25"/>
        <v>18635.3</v>
      </c>
      <c r="I29" s="6">
        <f t="shared" si="25"/>
        <v>-34.059999999997672</v>
      </c>
      <c r="L29" s="2"/>
      <c r="M29" s="16"/>
      <c r="N29" s="15"/>
      <c r="O29" s="14"/>
      <c r="P29" s="15"/>
      <c r="Q29" s="32"/>
      <c r="R29" s="18"/>
      <c r="U29" s="2"/>
      <c r="V29" s="16"/>
      <c r="W29" s="152"/>
      <c r="X29" s="14"/>
      <c r="Y29" s="152"/>
      <c r="Z29" s="32"/>
      <c r="AA29" s="18"/>
      <c r="AD29" s="136"/>
      <c r="AE29" s="16"/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7"/>
      <c r="AZ29" s="328"/>
      <c r="BA29" s="330"/>
      <c r="BB29" s="329"/>
      <c r="BE29" s="2"/>
      <c r="BF29" s="16">
        <v>22</v>
      </c>
      <c r="BG29" s="15"/>
      <c r="BH29" s="14"/>
      <c r="BI29" s="15"/>
      <c r="BJ29" s="32"/>
      <c r="BK29" s="18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>
        <v>22</v>
      </c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/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>
        <v>22</v>
      </c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/>
      <c r="FB29" s="15"/>
      <c r="FC29" s="14"/>
      <c r="FD29" s="15"/>
      <c r="FE29" s="35"/>
      <c r="FF29" s="18"/>
      <c r="FI29" s="2"/>
      <c r="FJ29" s="16">
        <v>22</v>
      </c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>
        <v>22</v>
      </c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>
        <v>22</v>
      </c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/>
      <c r="KY29" s="152"/>
      <c r="KZ29" s="14"/>
      <c r="LA29" s="152"/>
      <c r="LB29" s="32"/>
      <c r="LC29" s="18"/>
      <c r="LF29" s="136"/>
      <c r="LG29" s="16">
        <v>22</v>
      </c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7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SEABOARD FOODS</v>
      </c>
      <c r="C30" t="str">
        <f t="shared" si="26"/>
        <v>Seaboard</v>
      </c>
      <c r="D30" s="56" t="str">
        <f t="shared" si="26"/>
        <v xml:space="preserve">PED. </v>
      </c>
      <c r="E30" s="124">
        <f t="shared" si="26"/>
        <v>43580</v>
      </c>
      <c r="F30" s="58">
        <f t="shared" si="26"/>
        <v>18740.900000000001</v>
      </c>
      <c r="G30" s="13">
        <f t="shared" si="26"/>
        <v>21</v>
      </c>
      <c r="H30" s="52">
        <f t="shared" si="26"/>
        <v>18785.900000000001</v>
      </c>
      <c r="I30" s="6">
        <f>F30-H30</f>
        <v>-45</v>
      </c>
      <c r="L30" s="2"/>
      <c r="M30" s="16"/>
      <c r="N30" s="7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TYSON FRESH MEATS</v>
      </c>
      <c r="C31" t="str">
        <f t="shared" si="27"/>
        <v xml:space="preserve">I B P </v>
      </c>
      <c r="D31" s="56" t="str">
        <f t="shared" si="27"/>
        <v>PED. 37060440</v>
      </c>
      <c r="E31" s="124">
        <f t="shared" si="27"/>
        <v>43581</v>
      </c>
      <c r="F31" s="58">
        <f t="shared" si="27"/>
        <v>18629.64</v>
      </c>
      <c r="G31" s="13">
        <f t="shared" si="27"/>
        <v>20</v>
      </c>
      <c r="H31" s="52">
        <f t="shared" si="27"/>
        <v>18684.009999999998</v>
      </c>
      <c r="I31" s="6">
        <f t="shared" ref="I31:I92" si="28">F31-H31</f>
        <v>-54.369999999998981</v>
      </c>
      <c r="L31" s="100"/>
      <c r="M31" s="40"/>
      <c r="N31" s="108"/>
      <c r="O31" s="96"/>
      <c r="P31" s="107"/>
      <c r="Q31" s="104"/>
      <c r="R31" s="123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 t="str">
        <f t="shared" ref="B32:H32" si="29">JC5</f>
        <v>SEABOARD FOODS</v>
      </c>
      <c r="C32" s="237" t="str">
        <f t="shared" si="29"/>
        <v>Seaboard</v>
      </c>
      <c r="D32" s="148" t="str">
        <f t="shared" si="29"/>
        <v>PED. 37103526</v>
      </c>
      <c r="E32" s="204">
        <f t="shared" si="29"/>
        <v>43582</v>
      </c>
      <c r="F32" s="128">
        <f t="shared" si="29"/>
        <v>19112.900000000001</v>
      </c>
      <c r="G32" s="97">
        <f t="shared" si="29"/>
        <v>21</v>
      </c>
      <c r="H32" s="52">
        <f t="shared" si="29"/>
        <v>19080.3</v>
      </c>
      <c r="I32" s="154">
        <f t="shared" si="28"/>
        <v>32.600000000002183</v>
      </c>
      <c r="M32" s="210"/>
      <c r="N32" s="128">
        <f>SUM(N8:N31)</f>
        <v>18624.41</v>
      </c>
      <c r="O32" s="128"/>
      <c r="P32" s="128">
        <f>SUM(P8:P31)</f>
        <v>18624.41</v>
      </c>
      <c r="W32" s="154">
        <f>SUM(W8:W31)</f>
        <v>18623.5</v>
      </c>
      <c r="Y32" s="154">
        <f>SUM(Y8:Y31)</f>
        <v>18623.5</v>
      </c>
      <c r="AF32" s="128">
        <f>SUM(AF8:AF31)</f>
        <v>19363.259999999998</v>
      </c>
      <c r="AH32" s="128">
        <f>SUM(AH8:AH31)</f>
        <v>19363.259999999998</v>
      </c>
      <c r="AO32" s="154">
        <f>SUM(AO8:AO31)</f>
        <v>18916.52</v>
      </c>
      <c r="AQ32" s="154">
        <f>SUM(AQ8:AQ31)</f>
        <v>18916.52</v>
      </c>
      <c r="AX32" s="154">
        <f>SUM(AX8:AX31)</f>
        <v>19062.199999999997</v>
      </c>
      <c r="AZ32" s="154">
        <f>SUM(AZ8:AZ31)</f>
        <v>19062.199999999997</v>
      </c>
      <c r="BG32" s="154">
        <f>SUM(BG8:BG31)</f>
        <v>18733.79</v>
      </c>
      <c r="BI32" s="154">
        <f>SUM(BI8:BI31)</f>
        <v>18733.79</v>
      </c>
      <c r="BP32" s="154">
        <f>SUM(BP8:BP31)</f>
        <v>18864.830000000002</v>
      </c>
      <c r="BR32" s="154">
        <f>SUM(BR8:BR31)</f>
        <v>18864.830000000002</v>
      </c>
      <c r="BY32" s="154">
        <f>SUM(BY8:BY31)</f>
        <v>18578.5</v>
      </c>
      <c r="CA32" s="154">
        <f>SUM(CA8:CA31)</f>
        <v>18578.5</v>
      </c>
      <c r="CH32" s="154">
        <f>SUM(CH8:CH31)</f>
        <v>18815</v>
      </c>
      <c r="CJ32" s="154">
        <f>SUM(CJ8:CJ31)</f>
        <v>18815</v>
      </c>
      <c r="CQ32" s="154">
        <f>SUM(CQ8:CQ31)</f>
        <v>18783.219999999998</v>
      </c>
      <c r="CS32" s="154">
        <f>SUM(CS8:CS31)</f>
        <v>18783.219999999998</v>
      </c>
      <c r="CZ32" s="154">
        <f>SUM(CZ8:CZ31)</f>
        <v>18706.949999999997</v>
      </c>
      <c r="DB32" s="154">
        <f>SUM(DB8:DB31)</f>
        <v>18706.949999999997</v>
      </c>
      <c r="DI32" s="154">
        <f>SUM(DI8:DI31)</f>
        <v>19209.3</v>
      </c>
      <c r="DK32" s="154">
        <f>SUM(DK8:DK31)</f>
        <v>19209.3</v>
      </c>
      <c r="DR32" s="154">
        <f>SUM(DR8:DR31)</f>
        <v>18584.950000000004</v>
      </c>
      <c r="DT32" s="154">
        <f>SUM(DT8:DT31)</f>
        <v>18584.950000000004</v>
      </c>
      <c r="EA32" s="154">
        <f>SUM(EA8:EA31)</f>
        <v>18986.400000000001</v>
      </c>
      <c r="EC32" s="154">
        <f>SUM(EC8:EC31)</f>
        <v>18986.400000000001</v>
      </c>
      <c r="EJ32" s="154">
        <f>SUM(EJ8:EJ31)</f>
        <v>19180.099999999995</v>
      </c>
      <c r="EL32" s="154">
        <f>SUM(EL8:EL31)</f>
        <v>19180.099999999995</v>
      </c>
      <c r="ES32" s="194">
        <f>SUM(ES8:ES31)</f>
        <v>18839.849999999999</v>
      </c>
      <c r="EU32" s="154">
        <f>SUM(EU8:EU31)</f>
        <v>18839.849999999999</v>
      </c>
      <c r="FB32" s="154">
        <f>SUM(FB8:FB31)</f>
        <v>18912.460000000003</v>
      </c>
      <c r="FC32" s="154"/>
      <c r="FD32" s="154">
        <f>SUM(FD8:FD31)</f>
        <v>18912.460000000003</v>
      </c>
      <c r="FE32" s="102" t="s">
        <v>36</v>
      </c>
      <c r="FK32" s="154">
        <f>SUM(FK8:FK31)</f>
        <v>18839.859999999997</v>
      </c>
      <c r="FM32" s="154">
        <f>SUM(FM8:FM31)</f>
        <v>18839.849999999999</v>
      </c>
      <c r="FT32" s="154">
        <f>SUM(FT8:FT31)</f>
        <v>18488.330000000002</v>
      </c>
      <c r="FV32" s="154">
        <f>SUM(FV8:FV31)</f>
        <v>18488.330000000002</v>
      </c>
      <c r="GC32" s="154">
        <f>SUM(GC8:GC31)</f>
        <v>19119.699999999997</v>
      </c>
      <c r="GE32" s="154">
        <f>SUM(GE8:GE31)</f>
        <v>19119.699999999997</v>
      </c>
      <c r="GL32" s="154">
        <f>SUM(GL8:GL31)</f>
        <v>18944.199999999997</v>
      </c>
      <c r="GN32" s="154">
        <f>SUM(GN8:GN31)</f>
        <v>18944.199999999997</v>
      </c>
      <c r="GU32" s="154">
        <f>SUM(GU8:GU31)</f>
        <v>19225.900000000001</v>
      </c>
      <c r="GW32" s="154">
        <f>SUM(GW8:GW31)</f>
        <v>19225.900000000001</v>
      </c>
      <c r="HD32" s="154">
        <f>SUM(HD8:HD31)</f>
        <v>19575.599999999999</v>
      </c>
      <c r="HF32" s="154">
        <f>SUM(HF8:HF31)</f>
        <v>19575.599999999999</v>
      </c>
      <c r="HM32" s="154">
        <f>SUM(HM8:HM31)</f>
        <v>18718</v>
      </c>
      <c r="HO32" s="154">
        <f>SUM(HO8:HO31)</f>
        <v>18718</v>
      </c>
      <c r="HV32" s="154">
        <f>SUM(HV8:HV31)</f>
        <v>19034.030000000002</v>
      </c>
      <c r="HX32" s="154">
        <f>SUM(HX8:HX31)</f>
        <v>19034.030000000002</v>
      </c>
      <c r="IE32" s="154">
        <f>SUM(IE8:IE31)</f>
        <v>18635.300000000003</v>
      </c>
      <c r="IG32" s="154">
        <f>SUM(IG8:IG31)</f>
        <v>18635.300000000003</v>
      </c>
      <c r="IN32" s="154">
        <f>SUM(IN8:IN31)</f>
        <v>18785.900000000001</v>
      </c>
      <c r="IP32" s="154">
        <f>SUM(IP8:IP31)</f>
        <v>18785.099999999999</v>
      </c>
      <c r="IW32" s="154">
        <f>SUM(IW8:IW31)</f>
        <v>18684.010000000002</v>
      </c>
      <c r="IY32" s="154">
        <f>SUM(IY8:IY31)</f>
        <v>18684.010000000002</v>
      </c>
      <c r="JF32" s="154">
        <f>SUM(JF8:JF31)</f>
        <v>19080.3</v>
      </c>
      <c r="JH32" s="154">
        <f>SUM(JH8:JH31)</f>
        <v>19080.3</v>
      </c>
      <c r="JO32" s="154">
        <f>SUM(JO8:JO31)</f>
        <v>18859</v>
      </c>
      <c r="JQ32" s="154">
        <f>SUM(JQ8:JQ31)</f>
        <v>18859</v>
      </c>
      <c r="JX32" s="128">
        <f>SUM(JX8:JX31)</f>
        <v>19029.489999999998</v>
      </c>
      <c r="JZ32" s="154">
        <f>SUM(JZ8:JZ31)</f>
        <v>19029.489999999998</v>
      </c>
      <c r="KF32" s="210"/>
      <c r="KG32" s="128">
        <f>SUM(KG8:KG31)</f>
        <v>18801.759999999998</v>
      </c>
      <c r="KH32" s="128"/>
      <c r="KI32" s="128">
        <f>SUM(KI8:KI31)</f>
        <v>18801.759999999998</v>
      </c>
      <c r="KP32" s="154">
        <f>SUM(KP8:KP31)</f>
        <v>18905.440000000002</v>
      </c>
      <c r="KR32" s="154">
        <f>SUM(KR8:KR31)</f>
        <v>18905.440000000002</v>
      </c>
      <c r="KY32" s="154">
        <f>SUM(KY8:KY31)</f>
        <v>18638.53</v>
      </c>
      <c r="LA32" s="154">
        <f>SUM(LA8:LA31)</f>
        <v>18638.53</v>
      </c>
      <c r="LH32" s="128">
        <f>SUM(LH8:LH31)</f>
        <v>19454.860000000004</v>
      </c>
      <c r="LJ32" s="128">
        <f>SUM(LJ8:LJ31)</f>
        <v>19454.860000000004</v>
      </c>
      <c r="LQ32" s="154">
        <f>SUM(LQ8:LQ31)</f>
        <v>19371.8</v>
      </c>
      <c r="LS32" s="154">
        <f>SUM(LS8:LS31)</f>
        <v>19371.8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 t="str">
        <f t="shared" ref="B33:H33" si="30">JL5</f>
        <v>SIOUXPREME PACKING</v>
      </c>
      <c r="C33" s="102" t="str">
        <f t="shared" si="30"/>
        <v>SIOUX</v>
      </c>
      <c r="D33" s="148" t="str">
        <f t="shared" si="30"/>
        <v>PED. 37172460</v>
      </c>
      <c r="E33" s="204">
        <f t="shared" si="30"/>
        <v>43585</v>
      </c>
      <c r="F33" s="128">
        <f t="shared" si="30"/>
        <v>18803.47</v>
      </c>
      <c r="G33" s="97">
        <f t="shared" si="30"/>
        <v>21</v>
      </c>
      <c r="H33" s="52">
        <f t="shared" si="30"/>
        <v>18859</v>
      </c>
      <c r="I33" s="154">
        <f t="shared" si="28"/>
        <v>-55.529999999998836</v>
      </c>
      <c r="W33" s="319" t="s">
        <v>21</v>
      </c>
      <c r="X33" s="320"/>
      <c r="Y33" s="211">
        <f>Z5-Y32</f>
        <v>0</v>
      </c>
      <c r="AF33" s="319" t="s">
        <v>21</v>
      </c>
      <c r="AG33" s="320"/>
      <c r="AH33" s="211">
        <f>AI5-AH32</f>
        <v>0</v>
      </c>
      <c r="AO33" s="319" t="s">
        <v>21</v>
      </c>
      <c r="AP33" s="320"/>
      <c r="AQ33" s="211">
        <f>AR5-AQ32</f>
        <v>0</v>
      </c>
      <c r="AX33" s="319" t="s">
        <v>21</v>
      </c>
      <c r="AY33" s="320"/>
      <c r="AZ33" s="211">
        <f>AX32-AZ32</f>
        <v>0</v>
      </c>
      <c r="BG33" s="319" t="s">
        <v>21</v>
      </c>
      <c r="BH33" s="320"/>
      <c r="BI33" s="211">
        <f>BG32-BI32</f>
        <v>0</v>
      </c>
      <c r="BP33" s="319" t="s">
        <v>21</v>
      </c>
      <c r="BQ33" s="320"/>
      <c r="BR33" s="211">
        <f>BP32-BR32</f>
        <v>0</v>
      </c>
      <c r="BY33" s="319" t="s">
        <v>21</v>
      </c>
      <c r="BZ33" s="320"/>
      <c r="CA33" s="211">
        <f>BY32-CA32</f>
        <v>0</v>
      </c>
      <c r="CH33" s="319" t="s">
        <v>21</v>
      </c>
      <c r="CI33" s="320"/>
      <c r="CJ33" s="211">
        <f>CH32-CJ32</f>
        <v>0</v>
      </c>
      <c r="CQ33" s="319" t="s">
        <v>21</v>
      </c>
      <c r="CR33" s="320"/>
      <c r="CS33" s="211">
        <f>CQ32-CS32</f>
        <v>0</v>
      </c>
      <c r="CZ33" s="319" t="s">
        <v>21</v>
      </c>
      <c r="DA33" s="320"/>
      <c r="DB33" s="211">
        <f>CZ32-DB32</f>
        <v>0</v>
      </c>
      <c r="DI33" s="319" t="s">
        <v>21</v>
      </c>
      <c r="DJ33" s="320"/>
      <c r="DK33" s="211">
        <f>DI32-DK32</f>
        <v>0</v>
      </c>
      <c r="DR33" s="319" t="s">
        <v>21</v>
      </c>
      <c r="DS33" s="320"/>
      <c r="DT33" s="211">
        <f>DR32-DT32</f>
        <v>0</v>
      </c>
      <c r="EA33" s="319" t="s">
        <v>21</v>
      </c>
      <c r="EB33" s="320"/>
      <c r="EC33" s="211">
        <f>EA32-EC32</f>
        <v>0</v>
      </c>
      <c r="EJ33" s="319" t="s">
        <v>21</v>
      </c>
      <c r="EK33" s="320"/>
      <c r="EL33" s="211">
        <f>EJ32-EL32</f>
        <v>0</v>
      </c>
      <c r="ES33" s="319" t="s">
        <v>21</v>
      </c>
      <c r="ET33" s="320"/>
      <c r="EU33" s="211">
        <f>ES32-EU32</f>
        <v>0</v>
      </c>
      <c r="FB33" s="319" t="s">
        <v>21</v>
      </c>
      <c r="FC33" s="320"/>
      <c r="FD33" s="211">
        <f>FB32-FD32</f>
        <v>0</v>
      </c>
      <c r="FK33" s="319" t="s">
        <v>21</v>
      </c>
      <c r="FL33" s="320"/>
      <c r="FM33" s="211">
        <f>FN5-FM32</f>
        <v>1.0000000002037268E-2</v>
      </c>
      <c r="FT33" s="319" t="s">
        <v>21</v>
      </c>
      <c r="FU33" s="320"/>
      <c r="FV33" s="211">
        <f>FT32-FV32</f>
        <v>0</v>
      </c>
      <c r="GC33" s="319" t="s">
        <v>21</v>
      </c>
      <c r="GD33" s="320"/>
      <c r="GE33" s="211">
        <f>GC32-GE32</f>
        <v>0</v>
      </c>
      <c r="GL33" s="319" t="s">
        <v>21</v>
      </c>
      <c r="GM33" s="320"/>
      <c r="GN33" s="211">
        <f>GL32-GN32</f>
        <v>0</v>
      </c>
      <c r="GU33" s="319" t="s">
        <v>21</v>
      </c>
      <c r="GV33" s="320"/>
      <c r="GW33" s="211">
        <f>GU32-GW32</f>
        <v>0</v>
      </c>
      <c r="HD33" s="319" t="s">
        <v>21</v>
      </c>
      <c r="HE33" s="320"/>
      <c r="HF33" s="211">
        <f>HD32-HF32</f>
        <v>0</v>
      </c>
      <c r="HM33" s="319" t="s">
        <v>21</v>
      </c>
      <c r="HN33" s="320"/>
      <c r="HO33" s="211">
        <f>HM32-HO32</f>
        <v>0</v>
      </c>
      <c r="HV33" s="319" t="s">
        <v>21</v>
      </c>
      <c r="HW33" s="320"/>
      <c r="HX33" s="211">
        <f>HV32-HX32</f>
        <v>0</v>
      </c>
      <c r="IE33" s="319" t="s">
        <v>21</v>
      </c>
      <c r="IF33" s="320"/>
      <c r="IG33" s="211">
        <f>IE32-IG32</f>
        <v>0</v>
      </c>
      <c r="IN33" s="319" t="s">
        <v>21</v>
      </c>
      <c r="IO33" s="320"/>
      <c r="IP33" s="467">
        <f>IQ5-IP32</f>
        <v>0.80000000000291038</v>
      </c>
      <c r="IQ33" s="683"/>
      <c r="IW33" s="319" t="s">
        <v>21</v>
      </c>
      <c r="IX33" s="320"/>
      <c r="IY33" s="211">
        <f>IZ5-IY32</f>
        <v>0</v>
      </c>
      <c r="JF33" s="319" t="s">
        <v>21</v>
      </c>
      <c r="JG33" s="320"/>
      <c r="JH33" s="211">
        <f>JF32-JH32</f>
        <v>0</v>
      </c>
      <c r="JO33" s="319" t="s">
        <v>21</v>
      </c>
      <c r="JP33" s="320"/>
      <c r="JQ33" s="211">
        <f>JR5-JQ32</f>
        <v>0</v>
      </c>
      <c r="JX33" s="319" t="s">
        <v>21</v>
      </c>
      <c r="JY33" s="320"/>
      <c r="JZ33" s="211">
        <f>KA5-JZ32</f>
        <v>0</v>
      </c>
      <c r="KP33" s="319" t="s">
        <v>21</v>
      </c>
      <c r="KQ33" s="320"/>
      <c r="KR33" s="211">
        <f>KS5-KR32</f>
        <v>0</v>
      </c>
      <c r="KY33" s="319" t="s">
        <v>21</v>
      </c>
      <c r="KZ33" s="320"/>
      <c r="LA33" s="211">
        <f>LB5-LA32</f>
        <v>0</v>
      </c>
      <c r="LH33" s="319" t="s">
        <v>21</v>
      </c>
      <c r="LI33" s="320"/>
      <c r="LJ33" s="211">
        <f>LK5-LJ32</f>
        <v>0</v>
      </c>
      <c r="LQ33" s="319" t="s">
        <v>21</v>
      </c>
      <c r="LR33" s="320"/>
      <c r="LS33" s="211">
        <f>LT5-LS32</f>
        <v>0</v>
      </c>
      <c r="LZ33" s="319" t="s">
        <v>21</v>
      </c>
      <c r="MA33" s="320"/>
      <c r="MB33" s="211">
        <f>MC5-MB32</f>
        <v>0</v>
      </c>
      <c r="MI33" s="319" t="s">
        <v>21</v>
      </c>
      <c r="MJ33" s="320"/>
      <c r="MK33" s="211">
        <f>ML5-MK32</f>
        <v>0</v>
      </c>
      <c r="MR33" s="319" t="s">
        <v>21</v>
      </c>
      <c r="MS33" s="320"/>
      <c r="MT33" s="211">
        <f>MU5-MT32</f>
        <v>0</v>
      </c>
      <c r="NA33" s="319" t="s">
        <v>21</v>
      </c>
      <c r="NB33" s="320"/>
      <c r="NC33" s="211">
        <f>ND5-NC32</f>
        <v>0</v>
      </c>
      <c r="NJ33" s="319" t="s">
        <v>21</v>
      </c>
      <c r="NK33" s="320"/>
      <c r="NL33" s="211">
        <f>NM5-NL32</f>
        <v>0</v>
      </c>
      <c r="NS33" s="319" t="s">
        <v>21</v>
      </c>
      <c r="NT33" s="320"/>
      <c r="NU33" s="211">
        <f>NU32-NS32</f>
        <v>0</v>
      </c>
      <c r="OB33" s="319" t="s">
        <v>21</v>
      </c>
      <c r="OC33" s="320"/>
      <c r="OD33" s="211">
        <f>OE5-OD32</f>
        <v>0</v>
      </c>
      <c r="OK33" s="319" t="s">
        <v>21</v>
      </c>
      <c r="OL33" s="320"/>
      <c r="OM33" s="211">
        <f>ON5-OM32</f>
        <v>0</v>
      </c>
      <c r="OT33" s="319" t="s">
        <v>21</v>
      </c>
      <c r="OU33" s="320"/>
      <c r="OV33" s="211">
        <f>OW5-OV32</f>
        <v>0</v>
      </c>
      <c r="PC33" s="319" t="s">
        <v>21</v>
      </c>
      <c r="PD33" s="320"/>
      <c r="PE33" s="211">
        <f>PF5-PE32</f>
        <v>0</v>
      </c>
      <c r="PL33" s="319" t="s">
        <v>21</v>
      </c>
      <c r="PM33" s="320"/>
      <c r="PN33" s="211">
        <f>PO5-PN32</f>
        <v>0</v>
      </c>
      <c r="PU33" s="319" t="s">
        <v>21</v>
      </c>
      <c r="PV33" s="320"/>
      <c r="PW33" s="211">
        <f>PX5-PW32</f>
        <v>0</v>
      </c>
      <c r="QD33" s="319" t="s">
        <v>21</v>
      </c>
      <c r="QE33" s="320"/>
      <c r="QF33" s="211">
        <f>SUM(QG5-QF32)</f>
        <v>0</v>
      </c>
      <c r="QM33" s="746" t="s">
        <v>21</v>
      </c>
      <c r="QN33" s="747"/>
      <c r="QO33" s="211">
        <f>SUM(QP5-QO32)</f>
        <v>0</v>
      </c>
      <c r="QV33" s="746" t="s">
        <v>21</v>
      </c>
      <c r="QW33" s="747"/>
      <c r="QX33" s="467">
        <f>SUM(QY5-QX32)</f>
        <v>0</v>
      </c>
      <c r="RE33" s="746" t="s">
        <v>21</v>
      </c>
      <c r="RF33" s="747"/>
      <c r="RG33" s="211">
        <f>SUM(RH5-RG32)</f>
        <v>0</v>
      </c>
      <c r="RN33" s="746" t="s">
        <v>21</v>
      </c>
      <c r="RO33" s="747"/>
      <c r="RP33" s="211">
        <f>SUM(RQ5-RP32)</f>
        <v>0</v>
      </c>
      <c r="RW33" s="746" t="s">
        <v>21</v>
      </c>
      <c r="RX33" s="747"/>
      <c r="RY33" s="211">
        <f>SUM(RZ5-RY32)</f>
        <v>0</v>
      </c>
      <c r="SF33" s="746" t="s">
        <v>21</v>
      </c>
      <c r="SG33" s="747"/>
      <c r="SH33" s="211">
        <f>SUM(SI5-SH32)</f>
        <v>0</v>
      </c>
      <c r="SO33" s="746" t="s">
        <v>21</v>
      </c>
      <c r="SP33" s="747"/>
      <c r="SQ33" s="211">
        <f>SUM(SR5-SQ32)</f>
        <v>0</v>
      </c>
      <c r="SX33" s="746" t="s">
        <v>21</v>
      </c>
      <c r="SY33" s="747"/>
      <c r="SZ33" s="211">
        <f>SUM(TA5-SZ32)</f>
        <v>0</v>
      </c>
      <c r="TG33" s="319" t="s">
        <v>21</v>
      </c>
      <c r="TH33" s="320"/>
      <c r="TI33" s="211">
        <f>SUM(TJ5-TI32)</f>
        <v>0</v>
      </c>
      <c r="TP33" s="319" t="s">
        <v>21</v>
      </c>
      <c r="TQ33" s="320"/>
      <c r="TR33" s="211">
        <f>SUM(TS5-TR32)</f>
        <v>0</v>
      </c>
      <c r="TY33" s="746" t="s">
        <v>21</v>
      </c>
      <c r="TZ33" s="747"/>
      <c r="UA33" s="211">
        <f>UB5-UA32</f>
        <v>0</v>
      </c>
      <c r="UH33" s="746" t="s">
        <v>21</v>
      </c>
      <c r="UI33" s="747"/>
      <c r="UJ33" s="211">
        <f>UK5-UJ32</f>
        <v>0</v>
      </c>
      <c r="UQ33" s="746" t="s">
        <v>21</v>
      </c>
      <c r="UR33" s="747"/>
      <c r="US33" s="211">
        <f>UT5-US32</f>
        <v>0</v>
      </c>
      <c r="UZ33" s="746" t="s">
        <v>21</v>
      </c>
      <c r="VA33" s="747"/>
      <c r="VB33" s="211">
        <f>VC5-VB32</f>
        <v>0</v>
      </c>
      <c r="VI33" s="746" t="s">
        <v>21</v>
      </c>
      <c r="VJ33" s="747"/>
      <c r="VK33" s="211">
        <f>VL5-VK32</f>
        <v>0</v>
      </c>
      <c r="VR33" s="746" t="s">
        <v>21</v>
      </c>
      <c r="VS33" s="747"/>
      <c r="VT33" s="211">
        <f>VU5-VT32</f>
        <v>0</v>
      </c>
      <c r="WA33" s="746" t="s">
        <v>21</v>
      </c>
      <c r="WB33" s="747"/>
      <c r="WC33" s="211">
        <f>WD5-WC32</f>
        <v>0</v>
      </c>
      <c r="WJ33" s="746" t="s">
        <v>21</v>
      </c>
      <c r="WK33" s="747"/>
      <c r="WL33" s="211">
        <f>WM5-WL32</f>
        <v>0</v>
      </c>
      <c r="WS33" s="746" t="s">
        <v>21</v>
      </c>
      <c r="WT33" s="747"/>
      <c r="WU33" s="211">
        <f>WV5-WU32</f>
        <v>0</v>
      </c>
      <c r="XB33" s="746" t="s">
        <v>21</v>
      </c>
      <c r="XC33" s="747"/>
      <c r="XD33" s="211">
        <f>XE5-XD32</f>
        <v>0</v>
      </c>
      <c r="XK33" s="746" t="s">
        <v>21</v>
      </c>
      <c r="XL33" s="747"/>
      <c r="XM33" s="211">
        <f>XN5-XM32</f>
        <v>0</v>
      </c>
      <c r="XT33" s="746" t="s">
        <v>21</v>
      </c>
      <c r="XU33" s="747"/>
      <c r="XV33" s="211">
        <f>XW5-XV32</f>
        <v>0</v>
      </c>
      <c r="YC33" s="746" t="s">
        <v>21</v>
      </c>
      <c r="YD33" s="747"/>
      <c r="YE33" s="211">
        <f>YF5-YE32</f>
        <v>0</v>
      </c>
      <c r="YL33" s="746" t="s">
        <v>21</v>
      </c>
      <c r="YM33" s="747"/>
      <c r="YN33" s="211">
        <f>YO5-YN32</f>
        <v>0</v>
      </c>
      <c r="YU33" s="746" t="s">
        <v>21</v>
      </c>
      <c r="YV33" s="747"/>
      <c r="YW33" s="211">
        <f>YX5-YW32</f>
        <v>0</v>
      </c>
      <c r="ZD33" s="746" t="s">
        <v>21</v>
      </c>
      <c r="ZE33" s="747"/>
      <c r="ZF33" s="211">
        <f>ZF32-ZD32</f>
        <v>0</v>
      </c>
      <c r="ZM33" s="746" t="s">
        <v>21</v>
      </c>
      <c r="ZN33" s="747"/>
      <c r="ZO33" s="211">
        <f>ZP5-ZO32</f>
        <v>0</v>
      </c>
      <c r="ZV33" s="746" t="s">
        <v>21</v>
      </c>
      <c r="ZW33" s="747"/>
      <c r="ZX33" s="211">
        <f>ZY5-ZX32</f>
        <v>0</v>
      </c>
      <c r="AAE33" s="746" t="s">
        <v>21</v>
      </c>
      <c r="AAF33" s="747"/>
      <c r="AAG33" s="211">
        <f>AAH5-AAG32</f>
        <v>0</v>
      </c>
      <c r="AAN33" s="746" t="s">
        <v>21</v>
      </c>
      <c r="AAO33" s="747"/>
      <c r="AAP33" s="211">
        <f>AAQ5-AAP32</f>
        <v>0</v>
      </c>
      <c r="AAW33" s="746" t="s">
        <v>21</v>
      </c>
      <c r="AAX33" s="747"/>
      <c r="AAY33" s="211">
        <f>AAZ5-AAY32</f>
        <v>0</v>
      </c>
      <c r="ABF33" s="746" t="s">
        <v>21</v>
      </c>
      <c r="ABG33" s="747"/>
      <c r="ABH33" s="211">
        <f>ABI5-ABH32</f>
        <v>0</v>
      </c>
      <c r="ABO33" s="746" t="s">
        <v>21</v>
      </c>
      <c r="ABP33" s="747"/>
      <c r="ABQ33" s="211">
        <f>ABR5-ABQ32</f>
        <v>0</v>
      </c>
      <c r="ABX33" s="746" t="s">
        <v>21</v>
      </c>
      <c r="ABY33" s="747"/>
      <c r="ABZ33" s="211">
        <f>ACA5-ABZ32</f>
        <v>0</v>
      </c>
      <c r="ACG33" s="746" t="s">
        <v>21</v>
      </c>
      <c r="ACH33" s="747"/>
      <c r="ACI33" s="211">
        <f>ACJ5-ACI32</f>
        <v>0</v>
      </c>
      <c r="ACP33" s="746" t="s">
        <v>21</v>
      </c>
      <c r="ACQ33" s="747"/>
      <c r="ACR33" s="211">
        <f>ACS5-ACR32</f>
        <v>0</v>
      </c>
      <c r="ACY33" s="746" t="s">
        <v>21</v>
      </c>
      <c r="ACZ33" s="747"/>
      <c r="ADA33" s="211">
        <f>ADB5-ADA32</f>
        <v>0</v>
      </c>
    </row>
    <row r="34" spans="1:781" s="102" customFormat="1" ht="16.5" thickBot="1" x14ac:dyDescent="0.3">
      <c r="A34" s="19">
        <v>31</v>
      </c>
      <c r="B34" s="102" t="str">
        <f t="shared" ref="B34:H34" si="31">JU5</f>
        <v>SMITHFIELD FRESH MEATS</v>
      </c>
      <c r="C34" s="102" t="str">
        <f t="shared" si="31"/>
        <v>Smithfield</v>
      </c>
      <c r="D34" s="148" t="str">
        <f t="shared" si="31"/>
        <v>PED. 37172720</v>
      </c>
      <c r="E34" s="204">
        <f t="shared" si="31"/>
        <v>43585</v>
      </c>
      <c r="F34" s="128">
        <f t="shared" si="31"/>
        <v>19018.18</v>
      </c>
      <c r="G34" s="97">
        <f t="shared" si="31"/>
        <v>20</v>
      </c>
      <c r="H34" s="52">
        <f t="shared" si="31"/>
        <v>19029.490000000002</v>
      </c>
      <c r="I34" s="154">
        <f t="shared" si="28"/>
        <v>-11.31000000000131</v>
      </c>
      <c r="N34" s="319" t="s">
        <v>21</v>
      </c>
      <c r="O34" s="320"/>
      <c r="P34" s="211">
        <f>Q5-P32</f>
        <v>0</v>
      </c>
      <c r="W34" s="321" t="s">
        <v>4</v>
      </c>
      <c r="X34" s="322"/>
      <c r="Y34" s="53"/>
      <c r="AF34" s="321" t="s">
        <v>4</v>
      </c>
      <c r="AG34" s="322"/>
      <c r="AH34" s="53"/>
      <c r="AO34" s="321" t="s">
        <v>4</v>
      </c>
      <c r="AP34" s="322"/>
      <c r="AQ34" s="53"/>
      <c r="AX34" s="321" t="s">
        <v>4</v>
      </c>
      <c r="AY34" s="322"/>
      <c r="AZ34" s="53"/>
      <c r="BG34" s="321" t="s">
        <v>4</v>
      </c>
      <c r="BH34" s="322"/>
      <c r="BI34" s="53"/>
      <c r="BP34" s="321" t="s">
        <v>4</v>
      </c>
      <c r="BQ34" s="322"/>
      <c r="BR34" s="53"/>
      <c r="BY34" s="321" t="s">
        <v>4</v>
      </c>
      <c r="BZ34" s="322"/>
      <c r="CA34" s="53"/>
      <c r="CH34" s="321" t="s">
        <v>4</v>
      </c>
      <c r="CI34" s="322"/>
      <c r="CJ34" s="53"/>
      <c r="CQ34" s="321" t="s">
        <v>4</v>
      </c>
      <c r="CR34" s="322"/>
      <c r="CS34" s="53"/>
      <c r="CZ34" s="321" t="s">
        <v>4</v>
      </c>
      <c r="DA34" s="322"/>
      <c r="DB34" s="53"/>
      <c r="DI34" s="321" t="s">
        <v>4</v>
      </c>
      <c r="DJ34" s="322"/>
      <c r="DK34" s="53"/>
      <c r="DR34" s="321" t="s">
        <v>4</v>
      </c>
      <c r="DS34" s="322"/>
      <c r="DT34" s="53"/>
      <c r="EA34" s="321" t="s">
        <v>4</v>
      </c>
      <c r="EB34" s="322"/>
      <c r="EC34" s="53"/>
      <c r="EJ34" s="321" t="s">
        <v>4</v>
      </c>
      <c r="EK34" s="322"/>
      <c r="EL34" s="53">
        <v>0</v>
      </c>
      <c r="ES34" s="321" t="s">
        <v>4</v>
      </c>
      <c r="ET34" s="322"/>
      <c r="EU34" s="53"/>
      <c r="FB34" s="321" t="s">
        <v>4</v>
      </c>
      <c r="FC34" s="322"/>
      <c r="FD34" s="53"/>
      <c r="FK34" s="321" t="s">
        <v>4</v>
      </c>
      <c r="FL34" s="322"/>
      <c r="FM34" s="53"/>
      <c r="FT34" s="321" t="s">
        <v>4</v>
      </c>
      <c r="FU34" s="322"/>
      <c r="FV34" s="53"/>
      <c r="GC34" s="321" t="s">
        <v>4</v>
      </c>
      <c r="GD34" s="322"/>
      <c r="GE34" s="53"/>
      <c r="GL34" s="321" t="s">
        <v>4</v>
      </c>
      <c r="GM34" s="322"/>
      <c r="GN34" s="53"/>
      <c r="GU34" s="321" t="s">
        <v>4</v>
      </c>
      <c r="GV34" s="322"/>
      <c r="GW34" s="53">
        <v>0</v>
      </c>
      <c r="HD34" s="321" t="s">
        <v>4</v>
      </c>
      <c r="HE34" s="322"/>
      <c r="HF34" s="53"/>
      <c r="HM34" s="321" t="s">
        <v>4</v>
      </c>
      <c r="HN34" s="322"/>
      <c r="HO34" s="53"/>
      <c r="HV34" s="321" t="s">
        <v>4</v>
      </c>
      <c r="HW34" s="322"/>
      <c r="HX34" s="53"/>
      <c r="IE34" s="321" t="s">
        <v>4</v>
      </c>
      <c r="IF34" s="322"/>
      <c r="IG34" s="53">
        <v>0</v>
      </c>
      <c r="IN34" s="321" t="s">
        <v>4</v>
      </c>
      <c r="IO34" s="322"/>
      <c r="IP34" s="53"/>
      <c r="IW34" s="321" t="s">
        <v>4</v>
      </c>
      <c r="IX34" s="322"/>
      <c r="IY34" s="53"/>
      <c r="JF34" s="321" t="s">
        <v>4</v>
      </c>
      <c r="JG34" s="322"/>
      <c r="JH34" s="53"/>
      <c r="JO34" s="321" t="s">
        <v>4</v>
      </c>
      <c r="JP34" s="322"/>
      <c r="JQ34" s="53"/>
      <c r="JX34" s="321" t="s">
        <v>4</v>
      </c>
      <c r="JY34" s="322"/>
      <c r="JZ34" s="53"/>
      <c r="KG34" s="319" t="s">
        <v>21</v>
      </c>
      <c r="KH34" s="320"/>
      <c r="KI34" s="211">
        <f>KJ5-KI32</f>
        <v>0</v>
      </c>
      <c r="KP34" s="321" t="s">
        <v>4</v>
      </c>
      <c r="KQ34" s="322"/>
      <c r="KR34" s="53"/>
      <c r="KY34" s="321" t="s">
        <v>4</v>
      </c>
      <c r="KZ34" s="322"/>
      <c r="LA34" s="53"/>
      <c r="LH34" s="321" t="s">
        <v>4</v>
      </c>
      <c r="LI34" s="322"/>
      <c r="LJ34" s="53"/>
      <c r="LQ34" s="321" t="s">
        <v>4</v>
      </c>
      <c r="LR34" s="322"/>
      <c r="LS34" s="53"/>
      <c r="LZ34" s="321" t="s">
        <v>4</v>
      </c>
      <c r="MA34" s="322"/>
      <c r="MB34" s="53"/>
      <c r="MI34" s="321" t="s">
        <v>4</v>
      </c>
      <c r="MJ34" s="322"/>
      <c r="MK34" s="53"/>
      <c r="MR34" s="321" t="s">
        <v>4</v>
      </c>
      <c r="MS34" s="322"/>
      <c r="MT34" s="53"/>
      <c r="NA34" s="321" t="s">
        <v>4</v>
      </c>
      <c r="NB34" s="322"/>
      <c r="NC34" s="53"/>
      <c r="NJ34" s="321" t="s">
        <v>4</v>
      </c>
      <c r="NK34" s="322"/>
      <c r="NL34" s="53"/>
      <c r="NS34" s="321" t="s">
        <v>4</v>
      </c>
      <c r="NT34" s="322"/>
      <c r="NU34" s="53"/>
      <c r="OB34" s="321" t="s">
        <v>4</v>
      </c>
      <c r="OC34" s="322"/>
      <c r="OD34" s="53"/>
      <c r="OK34" s="321" t="s">
        <v>4</v>
      </c>
      <c r="OL34" s="322"/>
      <c r="OM34" s="53"/>
      <c r="OT34" s="321" t="s">
        <v>4</v>
      </c>
      <c r="OU34" s="322"/>
      <c r="OV34" s="53"/>
      <c r="PC34" s="321" t="s">
        <v>4</v>
      </c>
      <c r="PD34" s="322"/>
      <c r="PE34" s="53"/>
      <c r="PL34" s="321" t="s">
        <v>4</v>
      </c>
      <c r="PM34" s="322"/>
      <c r="PN34" s="53"/>
      <c r="PU34" s="321" t="s">
        <v>4</v>
      </c>
      <c r="PV34" s="322"/>
      <c r="PW34" s="53"/>
      <c r="QD34" s="321" t="s">
        <v>4</v>
      </c>
      <c r="QE34" s="322"/>
      <c r="QF34" s="53"/>
      <c r="QM34" s="748" t="s">
        <v>4</v>
      </c>
      <c r="QN34" s="749"/>
      <c r="QO34" s="53"/>
      <c r="QV34" s="748" t="s">
        <v>4</v>
      </c>
      <c r="QW34" s="749"/>
      <c r="QX34" s="53"/>
      <c r="RE34" s="748" t="s">
        <v>4</v>
      </c>
      <c r="RF34" s="749"/>
      <c r="RG34" s="53"/>
      <c r="RN34" s="748" t="s">
        <v>4</v>
      </c>
      <c r="RO34" s="749"/>
      <c r="RP34" s="53"/>
      <c r="RW34" s="748" t="s">
        <v>4</v>
      </c>
      <c r="RX34" s="749"/>
      <c r="RY34" s="53"/>
      <c r="SF34" s="748" t="s">
        <v>4</v>
      </c>
      <c r="SG34" s="749"/>
      <c r="SH34" s="53"/>
      <c r="SO34" s="748" t="s">
        <v>4</v>
      </c>
      <c r="SP34" s="749"/>
      <c r="SQ34" s="53"/>
      <c r="SX34" s="748" t="s">
        <v>4</v>
      </c>
      <c r="SY34" s="749"/>
      <c r="SZ34" s="53"/>
      <c r="TG34" s="321" t="s">
        <v>4</v>
      </c>
      <c r="TH34" s="322"/>
      <c r="TI34" s="53"/>
      <c r="TP34" s="321" t="s">
        <v>4</v>
      </c>
      <c r="TQ34" s="322"/>
      <c r="TR34" s="53"/>
      <c r="TY34" s="748" t="s">
        <v>4</v>
      </c>
      <c r="TZ34" s="749"/>
      <c r="UA34" s="53"/>
      <c r="UH34" s="748" t="s">
        <v>4</v>
      </c>
      <c r="UI34" s="749"/>
      <c r="UJ34" s="53"/>
      <c r="UQ34" s="748" t="s">
        <v>4</v>
      </c>
      <c r="UR34" s="749"/>
      <c r="US34" s="53"/>
      <c r="UZ34" s="748" t="s">
        <v>4</v>
      </c>
      <c r="VA34" s="749"/>
      <c r="VB34" s="53"/>
      <c r="VI34" s="748" t="s">
        <v>4</v>
      </c>
      <c r="VJ34" s="749"/>
      <c r="VK34" s="53"/>
      <c r="VR34" s="748" t="s">
        <v>4</v>
      </c>
      <c r="VS34" s="749"/>
      <c r="VT34" s="53"/>
      <c r="WA34" s="748" t="s">
        <v>4</v>
      </c>
      <c r="WB34" s="749"/>
      <c r="WC34" s="53"/>
      <c r="WJ34" s="748" t="s">
        <v>4</v>
      </c>
      <c r="WK34" s="749"/>
      <c r="WL34" s="53"/>
      <c r="WS34" s="748" t="s">
        <v>4</v>
      </c>
      <c r="WT34" s="749"/>
      <c r="WU34" s="53"/>
      <c r="XB34" s="748" t="s">
        <v>4</v>
      </c>
      <c r="XC34" s="749"/>
      <c r="XD34" s="53"/>
      <c r="XK34" s="748" t="s">
        <v>4</v>
      </c>
      <c r="XL34" s="749"/>
      <c r="XM34" s="53"/>
      <c r="XT34" s="748" t="s">
        <v>4</v>
      </c>
      <c r="XU34" s="749"/>
      <c r="XV34" s="53"/>
      <c r="YC34" s="748" t="s">
        <v>4</v>
      </c>
      <c r="YD34" s="749"/>
      <c r="YE34" s="53"/>
      <c r="YL34" s="748" t="s">
        <v>4</v>
      </c>
      <c r="YM34" s="749"/>
      <c r="YN34" s="53"/>
      <c r="YU34" s="748" t="s">
        <v>4</v>
      </c>
      <c r="YV34" s="749"/>
      <c r="YW34" s="53"/>
      <c r="ZD34" s="748" t="s">
        <v>4</v>
      </c>
      <c r="ZE34" s="749"/>
      <c r="ZF34" s="53"/>
      <c r="ZM34" s="748" t="s">
        <v>4</v>
      </c>
      <c r="ZN34" s="749"/>
      <c r="ZO34" s="53"/>
      <c r="ZV34" s="748" t="s">
        <v>4</v>
      </c>
      <c r="ZW34" s="749"/>
      <c r="ZX34" s="53"/>
      <c r="AAE34" s="748" t="s">
        <v>4</v>
      </c>
      <c r="AAF34" s="749"/>
      <c r="AAG34" s="53"/>
      <c r="AAN34" s="748" t="s">
        <v>4</v>
      </c>
      <c r="AAO34" s="749"/>
      <c r="AAP34" s="53"/>
      <c r="AAW34" s="748" t="s">
        <v>4</v>
      </c>
      <c r="AAX34" s="749"/>
      <c r="AAY34" s="53"/>
      <c r="ABF34" s="748" t="s">
        <v>4</v>
      </c>
      <c r="ABG34" s="749"/>
      <c r="ABH34" s="53"/>
      <c r="ABO34" s="748" t="s">
        <v>4</v>
      </c>
      <c r="ABP34" s="749"/>
      <c r="ABQ34" s="53"/>
      <c r="ABX34" s="748" t="s">
        <v>4</v>
      </c>
      <c r="ABY34" s="749"/>
      <c r="ABZ34" s="53"/>
      <c r="ACG34" s="748" t="s">
        <v>4</v>
      </c>
      <c r="ACH34" s="749"/>
      <c r="ACI34" s="53"/>
      <c r="ACP34" s="748" t="s">
        <v>4</v>
      </c>
      <c r="ACQ34" s="749"/>
      <c r="ACR34" s="53"/>
      <c r="ACY34" s="748" t="s">
        <v>4</v>
      </c>
      <c r="ACZ34" s="749"/>
      <c r="ADA34" s="53"/>
    </row>
    <row r="35" spans="1:781" s="102" customFormat="1" ht="16.5" thickBot="1" x14ac:dyDescent="0.3">
      <c r="A35" s="19">
        <v>32</v>
      </c>
      <c r="B35" s="102" t="str">
        <f t="shared" ref="B35:H35" si="32">KD5</f>
        <v>TYSON FRESH MEATS</v>
      </c>
      <c r="C35" s="102" t="str">
        <f t="shared" si="32"/>
        <v xml:space="preserve">I B P </v>
      </c>
      <c r="D35" s="148" t="str">
        <f t="shared" si="32"/>
        <v>PED. 37233205</v>
      </c>
      <c r="E35" s="204">
        <f t="shared" si="32"/>
        <v>43586</v>
      </c>
      <c r="F35" s="128">
        <f t="shared" si="32"/>
        <v>18797.689999999999</v>
      </c>
      <c r="G35" s="97">
        <f t="shared" si="32"/>
        <v>20</v>
      </c>
      <c r="H35" s="52">
        <f t="shared" si="32"/>
        <v>18801.759999999998</v>
      </c>
      <c r="I35" s="154">
        <f t="shared" si="28"/>
        <v>-4.069999999999709</v>
      </c>
      <c r="N35" s="321" t="s">
        <v>4</v>
      </c>
      <c r="O35" s="322"/>
      <c r="P35" s="53"/>
      <c r="KG35" s="321" t="s">
        <v>4</v>
      </c>
      <c r="KH35" s="322"/>
      <c r="KI35" s="53"/>
    </row>
    <row r="36" spans="1:781" s="102" customFormat="1" x14ac:dyDescent="0.25">
      <c r="A36" s="19">
        <v>33</v>
      </c>
      <c r="B36" s="102" t="str">
        <f t="shared" ref="B36:H36" si="33">KM5</f>
        <v>SMITHFIELD FRESH MEATS</v>
      </c>
      <c r="C36" s="102" t="str">
        <f t="shared" si="33"/>
        <v>Smithfield</v>
      </c>
      <c r="D36" s="148" t="str">
        <f t="shared" si="33"/>
        <v>PED. 37232224</v>
      </c>
      <c r="E36" s="204">
        <f t="shared" si="33"/>
        <v>43586</v>
      </c>
      <c r="F36" s="128">
        <f t="shared" si="33"/>
        <v>18997.64</v>
      </c>
      <c r="G36" s="97">
        <f t="shared" si="33"/>
        <v>20</v>
      </c>
      <c r="H36" s="52">
        <f t="shared" si="33"/>
        <v>18905.439999999999</v>
      </c>
      <c r="I36" s="154">
        <f t="shared" si="28"/>
        <v>92.200000000000728</v>
      </c>
    </row>
    <row r="37" spans="1:781" s="102" customFormat="1" x14ac:dyDescent="0.25">
      <c r="A37" s="19">
        <v>34</v>
      </c>
      <c r="B37" s="102" t="str">
        <f t="shared" ref="B37:H37" si="34">KV5</f>
        <v>TYSON FRESH MEATS</v>
      </c>
      <c r="C37" s="102" t="str">
        <f t="shared" si="34"/>
        <v xml:space="preserve">I B P </v>
      </c>
      <c r="D37" s="148" t="str">
        <f t="shared" si="34"/>
        <v>PED. 37305463</v>
      </c>
      <c r="E37" s="204">
        <f t="shared" si="34"/>
        <v>43588</v>
      </c>
      <c r="F37" s="128">
        <f t="shared" si="34"/>
        <v>18620.16</v>
      </c>
      <c r="G37" s="97">
        <f t="shared" si="34"/>
        <v>20</v>
      </c>
      <c r="H37" s="52">
        <f t="shared" si="34"/>
        <v>18638.53</v>
      </c>
      <c r="I37" s="154">
        <f t="shared" si="28"/>
        <v>-18.369999999998981</v>
      </c>
      <c r="FU37" s="102">
        <v>-5</v>
      </c>
    </row>
    <row r="38" spans="1:781" s="102" customFormat="1" x14ac:dyDescent="0.25">
      <c r="A38" s="19">
        <v>35</v>
      </c>
      <c r="B38" s="102" t="str">
        <f t="shared" ref="B38:H38" si="35">LE5</f>
        <v>SEABOARD FOODS</v>
      </c>
      <c r="C38" s="102" t="str">
        <f t="shared" si="35"/>
        <v>Seaboard</v>
      </c>
      <c r="D38" s="212" t="str">
        <f t="shared" si="35"/>
        <v>PED. 37308596</v>
      </c>
      <c r="E38" s="204">
        <f t="shared" si="35"/>
        <v>43588</v>
      </c>
      <c r="F38" s="194">
        <f t="shared" si="35"/>
        <v>19368.849999999999</v>
      </c>
      <c r="G38" s="97">
        <f t="shared" si="35"/>
        <v>21</v>
      </c>
      <c r="H38" s="194">
        <f t="shared" si="35"/>
        <v>19454.86</v>
      </c>
      <c r="I38" s="154">
        <f t="shared" si="28"/>
        <v>-86.010000000002037</v>
      </c>
    </row>
    <row r="39" spans="1:781" s="102" customFormat="1" x14ac:dyDescent="0.25">
      <c r="A39" s="19">
        <v>36</v>
      </c>
      <c r="B39" s="102" t="str">
        <f t="shared" ref="B39:H39" si="36">LN5</f>
        <v>SEABOARD FOODS</v>
      </c>
      <c r="C39" s="102" t="str">
        <f t="shared" si="36"/>
        <v>Seaboard</v>
      </c>
      <c r="D39" s="213" t="str">
        <f t="shared" si="36"/>
        <v>PED. 37363911</v>
      </c>
      <c r="E39" s="204">
        <f t="shared" si="36"/>
        <v>43589</v>
      </c>
      <c r="F39" s="154">
        <f t="shared" si="36"/>
        <v>19313.009999999998</v>
      </c>
      <c r="G39" s="97">
        <f t="shared" si="36"/>
        <v>21</v>
      </c>
      <c r="H39" s="194">
        <f t="shared" si="36"/>
        <v>19371.8</v>
      </c>
      <c r="I39" s="154">
        <f t="shared" si="28"/>
        <v>-58.790000000000873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4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5">
        <f t="shared" ref="B62:H62" si="58">TM5</f>
        <v>0</v>
      </c>
      <c r="C62" s="295">
        <f t="shared" si="58"/>
        <v>0</v>
      </c>
      <c r="D62" s="296">
        <f t="shared" si="58"/>
        <v>0</v>
      </c>
      <c r="E62" s="297">
        <f t="shared" si="58"/>
        <v>0</v>
      </c>
      <c r="F62" s="298">
        <f t="shared" si="58"/>
        <v>0</v>
      </c>
      <c r="G62" s="299">
        <f t="shared" si="58"/>
        <v>0</v>
      </c>
      <c r="H62" s="294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5">
        <f>TV5</f>
        <v>0</v>
      </c>
      <c r="C63" s="295">
        <f>TW5</f>
        <v>0</v>
      </c>
      <c r="D63" s="296">
        <f>TX5</f>
        <v>0</v>
      </c>
      <c r="E63" s="297">
        <f>TY5</f>
        <v>0</v>
      </c>
      <c r="F63" s="298">
        <f>TZ5</f>
        <v>0</v>
      </c>
      <c r="G63" s="300">
        <f>UJ5</f>
        <v>0</v>
      </c>
      <c r="H63" s="294">
        <f>UB5</f>
        <v>0</v>
      </c>
      <c r="I63" s="6">
        <f t="shared" si="28"/>
        <v>0</v>
      </c>
    </row>
    <row r="64" spans="1:240" x14ac:dyDescent="0.25">
      <c r="A64" s="19">
        <v>61</v>
      </c>
      <c r="B64" s="295">
        <f t="shared" ref="B64:H64" si="59">UE5</f>
        <v>0</v>
      </c>
      <c r="C64" s="296">
        <f t="shared" si="59"/>
        <v>0</v>
      </c>
      <c r="D64" s="296">
        <f t="shared" si="59"/>
        <v>0</v>
      </c>
      <c r="E64" s="297">
        <f t="shared" si="59"/>
        <v>0</v>
      </c>
      <c r="F64" s="298">
        <f t="shared" si="59"/>
        <v>0</v>
      </c>
      <c r="G64" s="300">
        <f t="shared" si="59"/>
        <v>0</v>
      </c>
      <c r="H64" s="294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5">
        <f t="shared" ref="B65:H65" si="60">UN5</f>
        <v>0</v>
      </c>
      <c r="C65" s="295">
        <f t="shared" si="60"/>
        <v>0</v>
      </c>
      <c r="D65" s="296">
        <f t="shared" si="60"/>
        <v>0</v>
      </c>
      <c r="E65" s="297">
        <f t="shared" si="60"/>
        <v>0</v>
      </c>
      <c r="F65" s="298">
        <f t="shared" si="60"/>
        <v>0</v>
      </c>
      <c r="G65" s="300">
        <f t="shared" si="60"/>
        <v>0</v>
      </c>
      <c r="H65" s="294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5">
        <f t="shared" ref="B66:H66" si="61">UW5</f>
        <v>0</v>
      </c>
      <c r="C66" s="295">
        <f t="shared" si="61"/>
        <v>0</v>
      </c>
      <c r="D66" s="296">
        <f t="shared" si="61"/>
        <v>0</v>
      </c>
      <c r="E66" s="297">
        <f t="shared" si="61"/>
        <v>0</v>
      </c>
      <c r="F66" s="298">
        <f t="shared" si="61"/>
        <v>0</v>
      </c>
      <c r="G66" s="300">
        <f t="shared" si="61"/>
        <v>0</v>
      </c>
      <c r="H66" s="294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5">
        <f t="shared" ref="B67:H67" si="62">VF5</f>
        <v>0</v>
      </c>
      <c r="C67" s="295">
        <f t="shared" si="62"/>
        <v>0</v>
      </c>
      <c r="D67" s="296">
        <f t="shared" si="62"/>
        <v>0</v>
      </c>
      <c r="E67" s="297">
        <f t="shared" si="62"/>
        <v>0</v>
      </c>
      <c r="F67" s="298">
        <f t="shared" si="62"/>
        <v>0</v>
      </c>
      <c r="G67" s="300">
        <f t="shared" si="62"/>
        <v>0</v>
      </c>
      <c r="H67" s="294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5">
        <f t="shared" ref="B68:H68" si="63">VO5</f>
        <v>0</v>
      </c>
      <c r="C68" s="295">
        <f t="shared" si="63"/>
        <v>0</v>
      </c>
      <c r="D68" s="296">
        <f t="shared" si="63"/>
        <v>0</v>
      </c>
      <c r="E68" s="297">
        <f t="shared" si="63"/>
        <v>0</v>
      </c>
      <c r="F68" s="298">
        <f t="shared" si="63"/>
        <v>0</v>
      </c>
      <c r="G68" s="300">
        <f t="shared" si="63"/>
        <v>0</v>
      </c>
      <c r="H68" s="294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5">
        <f t="shared" ref="B69:H69" si="64">VX5</f>
        <v>0</v>
      </c>
      <c r="C69" s="295">
        <f t="shared" si="64"/>
        <v>0</v>
      </c>
      <c r="D69" s="296">
        <f t="shared" si="64"/>
        <v>0</v>
      </c>
      <c r="E69" s="297">
        <f t="shared" si="64"/>
        <v>0</v>
      </c>
      <c r="F69" s="298">
        <f t="shared" si="64"/>
        <v>0</v>
      </c>
      <c r="G69" s="300">
        <f t="shared" si="64"/>
        <v>0</v>
      </c>
      <c r="H69" s="294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5">
        <f t="shared" ref="B70:H70" si="65">WG5</f>
        <v>0</v>
      </c>
      <c r="C70" s="295">
        <f t="shared" si="65"/>
        <v>0</v>
      </c>
      <c r="D70" s="296">
        <f t="shared" si="65"/>
        <v>0</v>
      </c>
      <c r="E70" s="297">
        <f t="shared" si="65"/>
        <v>0</v>
      </c>
      <c r="F70" s="298">
        <f t="shared" si="65"/>
        <v>0</v>
      </c>
      <c r="G70" s="300">
        <f t="shared" si="65"/>
        <v>0</v>
      </c>
      <c r="H70" s="294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301">
        <f t="shared" ref="B71:H71" si="66">WP5</f>
        <v>0</v>
      </c>
      <c r="C71" s="295">
        <f t="shared" si="66"/>
        <v>0</v>
      </c>
      <c r="D71" s="296">
        <f t="shared" si="66"/>
        <v>0</v>
      </c>
      <c r="E71" s="297">
        <f t="shared" si="66"/>
        <v>0</v>
      </c>
      <c r="F71" s="298">
        <f t="shared" si="66"/>
        <v>0</v>
      </c>
      <c r="G71" s="300">
        <f t="shared" si="66"/>
        <v>0</v>
      </c>
      <c r="H71" s="294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5">
        <f t="shared" ref="B72:H72" si="67">WY5</f>
        <v>0</v>
      </c>
      <c r="C72" s="295">
        <f t="shared" si="67"/>
        <v>0</v>
      </c>
      <c r="D72" s="296">
        <f t="shared" si="67"/>
        <v>0</v>
      </c>
      <c r="E72" s="297">
        <f t="shared" si="67"/>
        <v>0</v>
      </c>
      <c r="F72" s="298">
        <f t="shared" si="67"/>
        <v>0</v>
      </c>
      <c r="G72" s="300">
        <f t="shared" si="67"/>
        <v>0</v>
      </c>
      <c r="H72" s="294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5">
        <f t="shared" ref="B73:H73" si="68">XH5</f>
        <v>0</v>
      </c>
      <c r="C73" s="295">
        <f t="shared" si="68"/>
        <v>0</v>
      </c>
      <c r="D73" s="296">
        <f t="shared" si="68"/>
        <v>0</v>
      </c>
      <c r="E73" s="297">
        <f t="shared" si="68"/>
        <v>0</v>
      </c>
      <c r="F73" s="298">
        <f t="shared" si="68"/>
        <v>0</v>
      </c>
      <c r="G73" s="300">
        <f t="shared" si="68"/>
        <v>0</v>
      </c>
      <c r="H73" s="294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5">
        <f t="shared" ref="B74:H74" si="69">XQ5</f>
        <v>0</v>
      </c>
      <c r="C74" s="295">
        <f t="shared" si="69"/>
        <v>0</v>
      </c>
      <c r="D74" s="296">
        <f t="shared" si="69"/>
        <v>0</v>
      </c>
      <c r="E74" s="297">
        <f t="shared" si="69"/>
        <v>0</v>
      </c>
      <c r="F74" s="298">
        <f t="shared" si="69"/>
        <v>0</v>
      </c>
      <c r="G74" s="300">
        <f t="shared" si="69"/>
        <v>0</v>
      </c>
      <c r="H74" s="294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5">
        <f t="shared" ref="B75:H75" si="70">XZ5</f>
        <v>0</v>
      </c>
      <c r="C75" s="295">
        <f t="shared" si="70"/>
        <v>0</v>
      </c>
      <c r="D75" s="296">
        <f t="shared" si="70"/>
        <v>0</v>
      </c>
      <c r="E75" s="297">
        <f t="shared" si="70"/>
        <v>0</v>
      </c>
      <c r="F75" s="298">
        <f t="shared" si="70"/>
        <v>0</v>
      </c>
      <c r="G75" s="300">
        <f t="shared" si="70"/>
        <v>0</v>
      </c>
      <c r="H75" s="294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5">
        <f t="shared" ref="B76:G76" si="71">YI5</f>
        <v>0</v>
      </c>
      <c r="C76" s="295">
        <f t="shared" si="71"/>
        <v>0</v>
      </c>
      <c r="D76" s="296">
        <f t="shared" si="71"/>
        <v>0</v>
      </c>
      <c r="E76" s="297">
        <f t="shared" si="71"/>
        <v>0</v>
      </c>
      <c r="F76" s="298">
        <f t="shared" si="71"/>
        <v>0</v>
      </c>
      <c r="G76" s="300">
        <f t="shared" si="71"/>
        <v>0</v>
      </c>
      <c r="H76" s="294">
        <f>YX5</f>
        <v>0</v>
      </c>
      <c r="I76" s="6">
        <f t="shared" si="28"/>
        <v>0</v>
      </c>
    </row>
    <row r="77" spans="1:9" x14ac:dyDescent="0.25">
      <c r="A77" s="19">
        <v>74</v>
      </c>
      <c r="B77" s="295">
        <f t="shared" ref="B77:H77" si="72">YR5</f>
        <v>0</v>
      </c>
      <c r="C77" s="295">
        <f t="shared" si="72"/>
        <v>0</v>
      </c>
      <c r="D77" s="296">
        <f t="shared" si="72"/>
        <v>0</v>
      </c>
      <c r="E77" s="297">
        <f t="shared" si="72"/>
        <v>0</v>
      </c>
      <c r="F77" s="298">
        <f t="shared" si="72"/>
        <v>0</v>
      </c>
      <c r="G77" s="300">
        <f t="shared" si="72"/>
        <v>0</v>
      </c>
      <c r="H77" s="294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5">
        <f t="shared" ref="B78:H78" si="73">ZA5</f>
        <v>0</v>
      </c>
      <c r="C78" s="295">
        <f t="shared" si="73"/>
        <v>0</v>
      </c>
      <c r="D78" s="296">
        <f t="shared" si="73"/>
        <v>0</v>
      </c>
      <c r="E78" s="297">
        <f t="shared" si="73"/>
        <v>0</v>
      </c>
      <c r="F78" s="298">
        <f t="shared" si="73"/>
        <v>0</v>
      </c>
      <c r="G78" s="300">
        <f t="shared" si="73"/>
        <v>0</v>
      </c>
      <c r="H78" s="294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5">
        <f>ZJ5</f>
        <v>0</v>
      </c>
      <c r="C79" s="295">
        <f>ZK5</f>
        <v>0</v>
      </c>
      <c r="D79" s="296">
        <f>ZL5</f>
        <v>0</v>
      </c>
      <c r="E79" s="297">
        <f>ZM5</f>
        <v>0</v>
      </c>
      <c r="F79" s="298">
        <f>ZN5</f>
        <v>0</v>
      </c>
      <c r="G79" s="300">
        <f>ZX5</f>
        <v>0</v>
      </c>
      <c r="H79" s="294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5">
        <f t="shared" ref="B81:H81" si="75">AAB5</f>
        <v>0</v>
      </c>
      <c r="C81" s="295">
        <f t="shared" si="75"/>
        <v>0</v>
      </c>
      <c r="D81" s="296">
        <f t="shared" si="75"/>
        <v>0</v>
      </c>
      <c r="E81" s="297">
        <f t="shared" si="75"/>
        <v>0</v>
      </c>
      <c r="F81" s="298">
        <f t="shared" si="75"/>
        <v>0</v>
      </c>
      <c r="G81" s="300">
        <f t="shared" si="75"/>
        <v>0</v>
      </c>
      <c r="H81" s="294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5">
        <f>AAK5</f>
        <v>0</v>
      </c>
      <c r="C82" s="295">
        <f>AAL5</f>
        <v>0</v>
      </c>
      <c r="D82" s="296">
        <f>AAM5</f>
        <v>0</v>
      </c>
      <c r="E82" s="297">
        <f>AAE5</f>
        <v>0</v>
      </c>
      <c r="F82" s="298">
        <f>AAO5</f>
        <v>0</v>
      </c>
      <c r="G82" s="302">
        <f>AAP5</f>
        <v>0</v>
      </c>
      <c r="H82" s="294">
        <f>AAQ5</f>
        <v>0</v>
      </c>
      <c r="I82" s="6">
        <f t="shared" si="28"/>
        <v>0</v>
      </c>
    </row>
    <row r="83" spans="1:9" x14ac:dyDescent="0.25">
      <c r="A83" s="19">
        <v>80</v>
      </c>
      <c r="B83" s="295">
        <f t="shared" ref="B83:H83" si="76">AAT5</f>
        <v>0</v>
      </c>
      <c r="C83" s="295">
        <f t="shared" si="76"/>
        <v>0</v>
      </c>
      <c r="D83" s="296">
        <f t="shared" si="76"/>
        <v>0</v>
      </c>
      <c r="E83" s="297">
        <f t="shared" si="76"/>
        <v>0</v>
      </c>
      <c r="F83" s="298">
        <f t="shared" si="76"/>
        <v>0</v>
      </c>
      <c r="G83" s="300">
        <f t="shared" si="76"/>
        <v>0</v>
      </c>
      <c r="H83" s="294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5">
        <f>ABC5</f>
        <v>0</v>
      </c>
      <c r="C84" s="295">
        <f>ABD5</f>
        <v>0</v>
      </c>
      <c r="D84" s="296">
        <f>ABE5</f>
        <v>0</v>
      </c>
      <c r="E84" s="297">
        <f>ABF5</f>
        <v>0</v>
      </c>
      <c r="F84" s="298">
        <f>ABG5</f>
        <v>0</v>
      </c>
      <c r="G84" s="302">
        <f>ABZ5</f>
        <v>0</v>
      </c>
      <c r="H84" s="294">
        <f>ABI5</f>
        <v>0</v>
      </c>
      <c r="I84" s="6">
        <f t="shared" si="28"/>
        <v>0</v>
      </c>
    </row>
    <row r="85" spans="1:9" x14ac:dyDescent="0.25">
      <c r="A85" s="19">
        <v>82</v>
      </c>
      <c r="B85" s="295">
        <f>ABL5</f>
        <v>0</v>
      </c>
      <c r="C85" s="295">
        <f>ABM5</f>
        <v>0</v>
      </c>
      <c r="D85" s="296">
        <f>ABN5</f>
        <v>0</v>
      </c>
      <c r="E85" s="297">
        <f>ABO5</f>
        <v>0</v>
      </c>
      <c r="F85" s="298">
        <f>ACH5</f>
        <v>0</v>
      </c>
      <c r="G85" s="302">
        <f>ABQ5</f>
        <v>0</v>
      </c>
      <c r="H85" s="294">
        <f>ABR5</f>
        <v>0</v>
      </c>
      <c r="I85" s="6">
        <f t="shared" si="28"/>
        <v>0</v>
      </c>
    </row>
    <row r="86" spans="1:9" x14ac:dyDescent="0.25">
      <c r="A86" s="207">
        <v>83</v>
      </c>
      <c r="B86" s="295">
        <f t="shared" ref="B86:H86" si="77">ABU5</f>
        <v>0</v>
      </c>
      <c r="C86" s="295">
        <f t="shared" si="77"/>
        <v>0</v>
      </c>
      <c r="D86" s="296">
        <f t="shared" si="77"/>
        <v>0</v>
      </c>
      <c r="E86" s="297">
        <f t="shared" si="77"/>
        <v>0</v>
      </c>
      <c r="F86" s="298">
        <f t="shared" si="77"/>
        <v>0</v>
      </c>
      <c r="G86" s="300">
        <f t="shared" si="77"/>
        <v>0</v>
      </c>
      <c r="H86" s="294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5">
        <f t="shared" ref="B87:H87" si="78">ACD5</f>
        <v>0</v>
      </c>
      <c r="C87" s="295">
        <f t="shared" si="78"/>
        <v>0</v>
      </c>
      <c r="D87" s="296">
        <f t="shared" si="78"/>
        <v>0</v>
      </c>
      <c r="E87" s="297">
        <f t="shared" si="78"/>
        <v>0</v>
      </c>
      <c r="F87" s="298">
        <f t="shared" si="78"/>
        <v>0</v>
      </c>
      <c r="G87" s="300">
        <f t="shared" si="78"/>
        <v>0</v>
      </c>
      <c r="H87" s="294">
        <f t="shared" si="78"/>
        <v>0</v>
      </c>
      <c r="I87" s="298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83"/>
  <sheetViews>
    <sheetView workbookViewId="0">
      <pane ySplit="8" topLeftCell="A14" activePane="bottomLeft" state="frozen"/>
      <selection pane="bottomLeft" activeCell="F23" sqref="F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9" ht="40.5" x14ac:dyDescent="0.55000000000000004">
      <c r="A1" s="744" t="s">
        <v>248</v>
      </c>
      <c r="B1" s="744"/>
      <c r="C1" s="744"/>
      <c r="D1" s="744"/>
      <c r="E1" s="744"/>
      <c r="F1" s="744"/>
      <c r="G1" s="744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ht="15" customHeight="1" x14ac:dyDescent="0.25">
      <c r="A5" s="750" t="s">
        <v>96</v>
      </c>
      <c r="B5" s="389" t="s">
        <v>204</v>
      </c>
      <c r="C5" s="426">
        <v>87.8</v>
      </c>
      <c r="D5" s="203">
        <v>43539</v>
      </c>
      <c r="E5" s="116">
        <v>8760.2000000000007</v>
      </c>
      <c r="F5" s="80">
        <v>305</v>
      </c>
      <c r="G5" s="6">
        <f>F78</f>
        <v>8760.2000000000007</v>
      </c>
    </row>
    <row r="6" spans="1:9" x14ac:dyDescent="0.25">
      <c r="A6" s="750"/>
      <c r="B6" s="97"/>
      <c r="C6" s="436"/>
      <c r="D6" s="203"/>
      <c r="E6" s="422"/>
      <c r="F6" s="80"/>
      <c r="G6" s="51"/>
      <c r="H6" s="8">
        <f>E6-G6+E7+E5-G5</f>
        <v>0</v>
      </c>
    </row>
    <row r="7" spans="1:9" ht="15.75" thickBot="1" x14ac:dyDescent="0.3">
      <c r="B7" s="20"/>
      <c r="C7" s="220"/>
      <c r="D7" s="241"/>
      <c r="E7" s="116"/>
      <c r="F7" s="80"/>
    </row>
    <row r="8" spans="1:9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275</v>
      </c>
      <c r="C9" s="16">
        <v>30</v>
      </c>
      <c r="D9" s="89">
        <v>854.39</v>
      </c>
      <c r="E9" s="404">
        <v>43540</v>
      </c>
      <c r="F9" s="89">
        <f t="shared" ref="F9:F18" si="0">D9</f>
        <v>854.39</v>
      </c>
      <c r="G9" s="90" t="s">
        <v>215</v>
      </c>
      <c r="H9" s="91">
        <v>98</v>
      </c>
      <c r="I9" s="154">
        <f>E6-F9+E5</f>
        <v>7905.81</v>
      </c>
    </row>
    <row r="10" spans="1:9" x14ac:dyDescent="0.25">
      <c r="A10" s="379"/>
      <c r="B10" s="125">
        <f>B9-C10</f>
        <v>245</v>
      </c>
      <c r="C10" s="16">
        <v>30</v>
      </c>
      <c r="D10" s="89">
        <v>854.48</v>
      </c>
      <c r="E10" s="404">
        <v>43542</v>
      </c>
      <c r="F10" s="89">
        <f t="shared" si="0"/>
        <v>854.48</v>
      </c>
      <c r="G10" s="90" t="s">
        <v>219</v>
      </c>
      <c r="H10" s="91">
        <v>98</v>
      </c>
      <c r="I10" s="154">
        <f>I9-F10</f>
        <v>7051.33</v>
      </c>
    </row>
    <row r="11" spans="1:9" x14ac:dyDescent="0.25">
      <c r="A11" s="348"/>
      <c r="B11" s="125">
        <f t="shared" ref="B11:B24" si="1">B10-C11</f>
        <v>215</v>
      </c>
      <c r="C11" s="16">
        <v>30</v>
      </c>
      <c r="D11" s="89">
        <v>870.62</v>
      </c>
      <c r="E11" s="404">
        <v>43544</v>
      </c>
      <c r="F11" s="89">
        <f t="shared" si="0"/>
        <v>870.62</v>
      </c>
      <c r="G11" s="90" t="s">
        <v>222</v>
      </c>
      <c r="H11" s="91">
        <v>98</v>
      </c>
      <c r="I11" s="154">
        <f t="shared" ref="I11:I15" si="2">I10-F11</f>
        <v>6180.71</v>
      </c>
    </row>
    <row r="12" spans="1:9" x14ac:dyDescent="0.25">
      <c r="A12" s="348"/>
      <c r="B12" s="125">
        <f t="shared" si="1"/>
        <v>185</v>
      </c>
      <c r="C12" s="16">
        <v>30</v>
      </c>
      <c r="D12" s="89">
        <v>816.87</v>
      </c>
      <c r="E12" s="404">
        <v>43546</v>
      </c>
      <c r="F12" s="89">
        <f t="shared" si="0"/>
        <v>816.87</v>
      </c>
      <c r="G12" s="90" t="s">
        <v>224</v>
      </c>
      <c r="H12" s="91">
        <v>98</v>
      </c>
      <c r="I12" s="154">
        <f t="shared" si="2"/>
        <v>5363.84</v>
      </c>
    </row>
    <row r="13" spans="1:9" x14ac:dyDescent="0.25">
      <c r="A13" s="122" t="s">
        <v>33</v>
      </c>
      <c r="B13" s="125">
        <f t="shared" si="1"/>
        <v>155</v>
      </c>
      <c r="C13" s="16">
        <v>30</v>
      </c>
      <c r="D13" s="89">
        <v>845.72</v>
      </c>
      <c r="E13" s="404">
        <v>43547</v>
      </c>
      <c r="F13" s="89">
        <f t="shared" si="0"/>
        <v>845.72</v>
      </c>
      <c r="G13" s="90" t="s">
        <v>230</v>
      </c>
      <c r="H13" s="91">
        <v>98</v>
      </c>
      <c r="I13" s="154">
        <f t="shared" si="2"/>
        <v>4518.12</v>
      </c>
    </row>
    <row r="14" spans="1:9" x14ac:dyDescent="0.25">
      <c r="A14" s="97"/>
      <c r="B14" s="125">
        <f t="shared" si="1"/>
        <v>140</v>
      </c>
      <c r="C14" s="16">
        <v>15</v>
      </c>
      <c r="D14" s="89">
        <v>444.7</v>
      </c>
      <c r="E14" s="404">
        <v>43550</v>
      </c>
      <c r="F14" s="89">
        <f t="shared" si="0"/>
        <v>444.7</v>
      </c>
      <c r="G14" s="90" t="s">
        <v>233</v>
      </c>
      <c r="H14" s="91">
        <v>98</v>
      </c>
      <c r="I14" s="154">
        <f t="shared" si="2"/>
        <v>4073.42</v>
      </c>
    </row>
    <row r="15" spans="1:9" x14ac:dyDescent="0.25">
      <c r="A15" s="97"/>
      <c r="B15" s="125">
        <f t="shared" si="1"/>
        <v>137</v>
      </c>
      <c r="C15" s="16">
        <v>3</v>
      </c>
      <c r="D15" s="89">
        <v>98.15</v>
      </c>
      <c r="E15" s="404">
        <v>43550</v>
      </c>
      <c r="F15" s="89">
        <f t="shared" si="0"/>
        <v>98.15</v>
      </c>
      <c r="G15" s="90" t="s">
        <v>232</v>
      </c>
      <c r="H15" s="91">
        <v>98</v>
      </c>
      <c r="I15" s="154">
        <f t="shared" si="2"/>
        <v>3975.27</v>
      </c>
    </row>
    <row r="16" spans="1:9" x14ac:dyDescent="0.25">
      <c r="B16" s="125">
        <f t="shared" si="1"/>
        <v>107</v>
      </c>
      <c r="C16" s="16">
        <v>30</v>
      </c>
      <c r="D16" s="89">
        <v>847.04</v>
      </c>
      <c r="E16" s="404">
        <v>43550</v>
      </c>
      <c r="F16" s="89">
        <f t="shared" si="0"/>
        <v>847.04</v>
      </c>
      <c r="G16" s="90" t="s">
        <v>234</v>
      </c>
      <c r="H16" s="91">
        <v>98</v>
      </c>
      <c r="I16" s="154">
        <f t="shared" ref="I16:I75" si="3">I15-F16</f>
        <v>3128.23</v>
      </c>
    </row>
    <row r="17" spans="1:9" x14ac:dyDescent="0.25">
      <c r="B17" s="125">
        <f t="shared" si="1"/>
        <v>72</v>
      </c>
      <c r="C17" s="16">
        <v>35</v>
      </c>
      <c r="D17" s="89">
        <v>1072.58</v>
      </c>
      <c r="E17" s="404">
        <v>43553</v>
      </c>
      <c r="F17" s="89">
        <f t="shared" si="0"/>
        <v>1072.58</v>
      </c>
      <c r="G17" s="90" t="s">
        <v>236</v>
      </c>
      <c r="H17" s="91">
        <v>98</v>
      </c>
      <c r="I17" s="154">
        <f t="shared" si="3"/>
        <v>2055.65</v>
      </c>
    </row>
    <row r="18" spans="1:9" x14ac:dyDescent="0.25">
      <c r="A18" s="180"/>
      <c r="B18" s="125">
        <f t="shared" si="1"/>
        <v>42</v>
      </c>
      <c r="C18" s="16">
        <v>30</v>
      </c>
      <c r="D18" s="89">
        <v>874.19</v>
      </c>
      <c r="E18" s="404">
        <v>43556</v>
      </c>
      <c r="F18" s="89">
        <f t="shared" si="0"/>
        <v>874.19</v>
      </c>
      <c r="G18" s="90" t="s">
        <v>241</v>
      </c>
      <c r="H18" s="91">
        <v>98</v>
      </c>
      <c r="I18" s="154">
        <f t="shared" si="3"/>
        <v>1181.46</v>
      </c>
    </row>
    <row r="19" spans="1:9" x14ac:dyDescent="0.25">
      <c r="A19" s="180"/>
      <c r="B19" s="125">
        <f t="shared" si="1"/>
        <v>22</v>
      </c>
      <c r="C19" s="16">
        <v>20</v>
      </c>
      <c r="D19" s="632">
        <v>560.09</v>
      </c>
      <c r="E19" s="636">
        <v>43556</v>
      </c>
      <c r="F19" s="632">
        <f t="shared" ref="F19:F73" si="4">D19</f>
        <v>560.09</v>
      </c>
      <c r="G19" s="634" t="s">
        <v>365</v>
      </c>
      <c r="H19" s="635">
        <v>98</v>
      </c>
      <c r="I19" s="154">
        <f t="shared" si="3"/>
        <v>621.37</v>
      </c>
    </row>
    <row r="20" spans="1:9" x14ac:dyDescent="0.25">
      <c r="A20" s="180"/>
      <c r="B20" s="125">
        <f t="shared" si="1"/>
        <v>0</v>
      </c>
      <c r="C20" s="16">
        <v>22</v>
      </c>
      <c r="D20" s="632">
        <v>621.37</v>
      </c>
      <c r="E20" s="636">
        <v>43557</v>
      </c>
      <c r="F20" s="632">
        <f t="shared" si="4"/>
        <v>621.37</v>
      </c>
      <c r="G20" s="634" t="s">
        <v>366</v>
      </c>
      <c r="H20" s="635">
        <v>98</v>
      </c>
      <c r="I20" s="154">
        <f t="shared" si="3"/>
        <v>0</v>
      </c>
    </row>
    <row r="21" spans="1:9" x14ac:dyDescent="0.25">
      <c r="A21" s="180"/>
      <c r="B21" s="125">
        <f t="shared" si="1"/>
        <v>0</v>
      </c>
      <c r="C21" s="16"/>
      <c r="D21" s="632"/>
      <c r="E21" s="636"/>
      <c r="F21" s="632">
        <f t="shared" si="4"/>
        <v>0</v>
      </c>
      <c r="G21" s="660"/>
      <c r="H21" s="661"/>
      <c r="I21" s="694">
        <f t="shared" si="3"/>
        <v>0</v>
      </c>
    </row>
    <row r="22" spans="1:9" x14ac:dyDescent="0.25">
      <c r="A22" s="180"/>
      <c r="B22" s="125">
        <f t="shared" si="1"/>
        <v>0</v>
      </c>
      <c r="C22" s="16"/>
      <c r="D22" s="632"/>
      <c r="E22" s="636"/>
      <c r="F22" s="632">
        <f t="shared" si="4"/>
        <v>0</v>
      </c>
      <c r="G22" s="660"/>
      <c r="H22" s="661"/>
      <c r="I22" s="694">
        <f t="shared" si="3"/>
        <v>0</v>
      </c>
    </row>
    <row r="23" spans="1:9" x14ac:dyDescent="0.25">
      <c r="A23" s="181"/>
      <c r="B23" s="125">
        <f t="shared" si="1"/>
        <v>0</v>
      </c>
      <c r="C23" s="16"/>
      <c r="D23" s="632"/>
      <c r="E23" s="636"/>
      <c r="F23" s="632">
        <f t="shared" si="4"/>
        <v>0</v>
      </c>
      <c r="G23" s="660"/>
      <c r="H23" s="661"/>
      <c r="I23" s="694">
        <f t="shared" si="3"/>
        <v>0</v>
      </c>
    </row>
    <row r="24" spans="1:9" x14ac:dyDescent="0.25">
      <c r="A24" s="180"/>
      <c r="B24" s="125">
        <f t="shared" si="1"/>
        <v>0</v>
      </c>
      <c r="C24" s="16"/>
      <c r="D24" s="632"/>
      <c r="E24" s="636"/>
      <c r="F24" s="632">
        <f t="shared" si="4"/>
        <v>0</v>
      </c>
      <c r="G24" s="660"/>
      <c r="H24" s="661"/>
      <c r="I24" s="694">
        <f t="shared" si="3"/>
        <v>0</v>
      </c>
    </row>
    <row r="25" spans="1:9" x14ac:dyDescent="0.25">
      <c r="A25" s="180"/>
      <c r="B25" s="125">
        <f t="shared" ref="B25:B54" si="5">B24-C25</f>
        <v>0</v>
      </c>
      <c r="C25" s="16"/>
      <c r="D25" s="632"/>
      <c r="E25" s="636"/>
      <c r="F25" s="632">
        <f t="shared" si="4"/>
        <v>0</v>
      </c>
      <c r="G25" s="634"/>
      <c r="H25" s="635"/>
      <c r="I25" s="154">
        <f t="shared" si="3"/>
        <v>0</v>
      </c>
    </row>
    <row r="26" spans="1:9" x14ac:dyDescent="0.25">
      <c r="A26" s="180"/>
      <c r="B26" s="439">
        <f t="shared" si="5"/>
        <v>0</v>
      </c>
      <c r="C26" s="16"/>
      <c r="D26" s="632"/>
      <c r="E26" s="636"/>
      <c r="F26" s="632">
        <f t="shared" si="4"/>
        <v>0</v>
      </c>
      <c r="G26" s="634"/>
      <c r="H26" s="635"/>
      <c r="I26" s="154">
        <f t="shared" si="3"/>
        <v>0</v>
      </c>
    </row>
    <row r="27" spans="1:9" x14ac:dyDescent="0.25">
      <c r="A27" s="180"/>
      <c r="B27" s="125">
        <f t="shared" si="5"/>
        <v>0</v>
      </c>
      <c r="C27" s="16"/>
      <c r="D27" s="632"/>
      <c r="E27" s="636"/>
      <c r="F27" s="632">
        <f t="shared" si="4"/>
        <v>0</v>
      </c>
      <c r="G27" s="634"/>
      <c r="H27" s="635"/>
      <c r="I27" s="154">
        <f t="shared" si="3"/>
        <v>0</v>
      </c>
    </row>
    <row r="28" spans="1:9" x14ac:dyDescent="0.25">
      <c r="A28" s="180"/>
      <c r="B28" s="439">
        <f t="shared" si="5"/>
        <v>0</v>
      </c>
      <c r="C28" s="16"/>
      <c r="D28" s="632"/>
      <c r="E28" s="636"/>
      <c r="F28" s="632">
        <f t="shared" si="4"/>
        <v>0</v>
      </c>
      <c r="G28" s="634"/>
      <c r="H28" s="635"/>
      <c r="I28" s="154">
        <f t="shared" si="3"/>
        <v>0</v>
      </c>
    </row>
    <row r="29" spans="1:9" x14ac:dyDescent="0.25">
      <c r="A29" s="180"/>
      <c r="B29" s="125">
        <f t="shared" si="5"/>
        <v>0</v>
      </c>
      <c r="C29" s="16"/>
      <c r="D29" s="632"/>
      <c r="E29" s="636"/>
      <c r="F29" s="632">
        <f t="shared" si="4"/>
        <v>0</v>
      </c>
      <c r="G29" s="634"/>
      <c r="H29" s="635"/>
      <c r="I29" s="154">
        <f t="shared" si="3"/>
        <v>0</v>
      </c>
    </row>
    <row r="30" spans="1:9" x14ac:dyDescent="0.25">
      <c r="A30" s="180"/>
      <c r="B30" s="125">
        <f t="shared" si="5"/>
        <v>0</v>
      </c>
      <c r="C30" s="16"/>
      <c r="D30" s="632"/>
      <c r="E30" s="636"/>
      <c r="F30" s="632">
        <f t="shared" si="4"/>
        <v>0</v>
      </c>
      <c r="G30" s="634"/>
      <c r="H30" s="635"/>
      <c r="I30" s="154">
        <f t="shared" si="3"/>
        <v>0</v>
      </c>
    </row>
    <row r="31" spans="1:9" x14ac:dyDescent="0.25">
      <c r="A31" s="180"/>
      <c r="B31" s="125">
        <f t="shared" si="5"/>
        <v>0</v>
      </c>
      <c r="C31" s="16"/>
      <c r="D31" s="632"/>
      <c r="E31" s="636"/>
      <c r="F31" s="632">
        <f t="shared" si="4"/>
        <v>0</v>
      </c>
      <c r="G31" s="634"/>
      <c r="H31" s="635"/>
      <c r="I31" s="154">
        <f t="shared" si="3"/>
        <v>0</v>
      </c>
    </row>
    <row r="32" spans="1:9" x14ac:dyDescent="0.25">
      <c r="A32" s="180"/>
      <c r="B32" s="125">
        <f t="shared" si="5"/>
        <v>0</v>
      </c>
      <c r="C32" s="16"/>
      <c r="D32" s="632"/>
      <c r="E32" s="636"/>
      <c r="F32" s="632">
        <f t="shared" si="4"/>
        <v>0</v>
      </c>
      <c r="G32" s="634"/>
      <c r="H32" s="635"/>
      <c r="I32" s="154">
        <f t="shared" si="3"/>
        <v>0</v>
      </c>
    </row>
    <row r="33" spans="1:9" x14ac:dyDescent="0.25">
      <c r="A33" s="180"/>
      <c r="B33" s="125">
        <f t="shared" si="5"/>
        <v>0</v>
      </c>
      <c r="C33" s="16"/>
      <c r="D33" s="632"/>
      <c r="E33" s="636"/>
      <c r="F33" s="632">
        <f t="shared" si="4"/>
        <v>0</v>
      </c>
      <c r="G33" s="634"/>
      <c r="H33" s="635"/>
      <c r="I33" s="154">
        <f t="shared" si="3"/>
        <v>0</v>
      </c>
    </row>
    <row r="34" spans="1:9" x14ac:dyDescent="0.25">
      <c r="A34" s="180"/>
      <c r="B34" s="125">
        <f t="shared" si="5"/>
        <v>0</v>
      </c>
      <c r="C34" s="16"/>
      <c r="D34" s="632"/>
      <c r="E34" s="636"/>
      <c r="F34" s="632">
        <f t="shared" si="4"/>
        <v>0</v>
      </c>
      <c r="G34" s="634"/>
      <c r="H34" s="635"/>
      <c r="I34" s="154">
        <f t="shared" si="3"/>
        <v>0</v>
      </c>
    </row>
    <row r="35" spans="1:9" x14ac:dyDescent="0.25">
      <c r="A35" s="180"/>
      <c r="B35" s="125">
        <f t="shared" si="5"/>
        <v>0</v>
      </c>
      <c r="C35" s="16"/>
      <c r="D35" s="632"/>
      <c r="E35" s="636"/>
      <c r="F35" s="632">
        <f t="shared" si="4"/>
        <v>0</v>
      </c>
      <c r="G35" s="634"/>
      <c r="H35" s="635"/>
      <c r="I35" s="154">
        <f t="shared" si="3"/>
        <v>0</v>
      </c>
    </row>
    <row r="36" spans="1:9" x14ac:dyDescent="0.25">
      <c r="A36" s="180" t="s">
        <v>22</v>
      </c>
      <c r="B36" s="125">
        <f t="shared" si="5"/>
        <v>0</v>
      </c>
      <c r="C36" s="16"/>
      <c r="D36" s="632"/>
      <c r="E36" s="636"/>
      <c r="F36" s="632">
        <f t="shared" si="4"/>
        <v>0</v>
      </c>
      <c r="G36" s="634"/>
      <c r="H36" s="635"/>
      <c r="I36" s="154">
        <f t="shared" si="3"/>
        <v>0</v>
      </c>
    </row>
    <row r="37" spans="1:9" x14ac:dyDescent="0.25">
      <c r="A37" s="181"/>
      <c r="B37" s="125">
        <f t="shared" si="5"/>
        <v>0</v>
      </c>
      <c r="C37" s="16"/>
      <c r="D37" s="89"/>
      <c r="E37" s="404"/>
      <c r="F37" s="89">
        <f t="shared" si="4"/>
        <v>0</v>
      </c>
      <c r="G37" s="90"/>
      <c r="H37" s="91"/>
      <c r="I37" s="154">
        <f t="shared" si="3"/>
        <v>0</v>
      </c>
    </row>
    <row r="38" spans="1:9" x14ac:dyDescent="0.25">
      <c r="A38" s="180"/>
      <c r="B38" s="125">
        <f t="shared" si="5"/>
        <v>0</v>
      </c>
      <c r="C38" s="16"/>
      <c r="D38" s="89"/>
      <c r="E38" s="404"/>
      <c r="F38" s="89">
        <f t="shared" si="4"/>
        <v>0</v>
      </c>
      <c r="G38" s="90"/>
      <c r="H38" s="91"/>
      <c r="I38" s="154">
        <f t="shared" si="3"/>
        <v>0</v>
      </c>
    </row>
    <row r="39" spans="1:9" x14ac:dyDescent="0.25">
      <c r="A39" s="180"/>
      <c r="B39" s="125">
        <f t="shared" si="5"/>
        <v>0</v>
      </c>
      <c r="C39" s="16"/>
      <c r="D39" s="89"/>
      <c r="E39" s="404"/>
      <c r="F39" s="89">
        <f t="shared" si="4"/>
        <v>0</v>
      </c>
      <c r="G39" s="90"/>
      <c r="H39" s="91"/>
      <c r="I39" s="154">
        <f t="shared" si="3"/>
        <v>0</v>
      </c>
    </row>
    <row r="40" spans="1:9" x14ac:dyDescent="0.25">
      <c r="A40" s="180"/>
      <c r="B40" s="125">
        <f t="shared" si="5"/>
        <v>0</v>
      </c>
      <c r="C40" s="16"/>
      <c r="D40" s="89"/>
      <c r="E40" s="404"/>
      <c r="F40" s="89">
        <f t="shared" si="4"/>
        <v>0</v>
      </c>
      <c r="G40" s="90"/>
      <c r="H40" s="91"/>
      <c r="I40" s="154">
        <f t="shared" si="3"/>
        <v>0</v>
      </c>
    </row>
    <row r="41" spans="1:9" x14ac:dyDescent="0.25">
      <c r="A41" s="180"/>
      <c r="B41" s="125">
        <f t="shared" si="5"/>
        <v>0</v>
      </c>
      <c r="C41" s="16"/>
      <c r="D41" s="89"/>
      <c r="E41" s="404"/>
      <c r="F41" s="89">
        <f t="shared" si="4"/>
        <v>0</v>
      </c>
      <c r="G41" s="90"/>
      <c r="H41" s="91"/>
      <c r="I41" s="154">
        <f t="shared" si="3"/>
        <v>0</v>
      </c>
    </row>
    <row r="42" spans="1:9" x14ac:dyDescent="0.25">
      <c r="A42" s="180"/>
      <c r="B42" s="125">
        <f t="shared" si="5"/>
        <v>0</v>
      </c>
      <c r="C42" s="16"/>
      <c r="D42" s="89"/>
      <c r="E42" s="404"/>
      <c r="F42" s="89">
        <f t="shared" si="4"/>
        <v>0</v>
      </c>
      <c r="G42" s="90"/>
      <c r="H42" s="91"/>
      <c r="I42" s="154">
        <f t="shared" si="3"/>
        <v>0</v>
      </c>
    </row>
    <row r="43" spans="1:9" x14ac:dyDescent="0.25">
      <c r="A43" s="180"/>
      <c r="B43" s="125">
        <f t="shared" si="5"/>
        <v>0</v>
      </c>
      <c r="C43" s="16"/>
      <c r="D43" s="89"/>
      <c r="E43" s="404"/>
      <c r="F43" s="89">
        <f t="shared" si="4"/>
        <v>0</v>
      </c>
      <c r="G43" s="90"/>
      <c r="H43" s="91"/>
      <c r="I43" s="154">
        <f t="shared" si="3"/>
        <v>0</v>
      </c>
    </row>
    <row r="44" spans="1:9" x14ac:dyDescent="0.25">
      <c r="A44" s="180"/>
      <c r="B44" s="125">
        <f t="shared" si="5"/>
        <v>0</v>
      </c>
      <c r="C44" s="16"/>
      <c r="D44" s="89"/>
      <c r="E44" s="404"/>
      <c r="F44" s="89">
        <f t="shared" si="4"/>
        <v>0</v>
      </c>
      <c r="G44" s="90"/>
      <c r="H44" s="91"/>
      <c r="I44" s="154">
        <f t="shared" si="3"/>
        <v>0</v>
      </c>
    </row>
    <row r="45" spans="1:9" x14ac:dyDescent="0.25">
      <c r="A45" s="180"/>
      <c r="B45" s="125">
        <f t="shared" si="5"/>
        <v>0</v>
      </c>
      <c r="C45" s="16"/>
      <c r="D45" s="89"/>
      <c r="E45" s="404"/>
      <c r="F45" s="89">
        <f t="shared" si="4"/>
        <v>0</v>
      </c>
      <c r="G45" s="90"/>
      <c r="H45" s="91"/>
      <c r="I45" s="154">
        <f t="shared" si="3"/>
        <v>0</v>
      </c>
    </row>
    <row r="46" spans="1:9" x14ac:dyDescent="0.25">
      <c r="A46" s="180"/>
      <c r="B46" s="125">
        <f t="shared" si="5"/>
        <v>0</v>
      </c>
      <c r="C46" s="16"/>
      <c r="D46" s="89"/>
      <c r="E46" s="404"/>
      <c r="F46" s="89">
        <f t="shared" si="4"/>
        <v>0</v>
      </c>
      <c r="G46" s="90"/>
      <c r="H46" s="91"/>
      <c r="I46" s="154">
        <f t="shared" si="3"/>
        <v>0</v>
      </c>
    </row>
    <row r="47" spans="1:9" x14ac:dyDescent="0.25">
      <c r="A47" s="180"/>
      <c r="B47" s="125">
        <f t="shared" si="5"/>
        <v>0</v>
      </c>
      <c r="C47" s="16"/>
      <c r="D47" s="89"/>
      <c r="E47" s="404"/>
      <c r="F47" s="89">
        <f t="shared" si="4"/>
        <v>0</v>
      </c>
      <c r="G47" s="90"/>
      <c r="H47" s="91"/>
      <c r="I47" s="154">
        <f t="shared" si="3"/>
        <v>0</v>
      </c>
    </row>
    <row r="48" spans="1:9" x14ac:dyDescent="0.25">
      <c r="A48" s="180"/>
      <c r="B48" s="125">
        <f t="shared" si="5"/>
        <v>0</v>
      </c>
      <c r="C48" s="16"/>
      <c r="D48" s="89"/>
      <c r="E48" s="404"/>
      <c r="F48" s="89">
        <f t="shared" si="4"/>
        <v>0</v>
      </c>
      <c r="G48" s="90"/>
      <c r="H48" s="91"/>
      <c r="I48" s="154">
        <f t="shared" si="3"/>
        <v>0</v>
      </c>
    </row>
    <row r="49" spans="1:9" x14ac:dyDescent="0.25">
      <c r="A49" s="180"/>
      <c r="B49" s="125">
        <f t="shared" si="5"/>
        <v>0</v>
      </c>
      <c r="C49" s="16"/>
      <c r="D49" s="89"/>
      <c r="E49" s="404"/>
      <c r="F49" s="89">
        <f t="shared" si="4"/>
        <v>0</v>
      </c>
      <c r="G49" s="90"/>
      <c r="H49" s="91"/>
      <c r="I49" s="154">
        <f t="shared" si="3"/>
        <v>0</v>
      </c>
    </row>
    <row r="50" spans="1:9" x14ac:dyDescent="0.25">
      <c r="A50" s="180"/>
      <c r="B50" s="125">
        <f t="shared" si="5"/>
        <v>0</v>
      </c>
      <c r="C50" s="16"/>
      <c r="D50" s="89"/>
      <c r="E50" s="404"/>
      <c r="F50" s="89">
        <f t="shared" si="4"/>
        <v>0</v>
      </c>
      <c r="G50" s="90"/>
      <c r="H50" s="91"/>
      <c r="I50" s="154">
        <f t="shared" si="3"/>
        <v>0</v>
      </c>
    </row>
    <row r="51" spans="1:9" x14ac:dyDescent="0.25">
      <c r="A51" s="180"/>
      <c r="B51" s="125">
        <f t="shared" si="5"/>
        <v>0</v>
      </c>
      <c r="C51" s="16"/>
      <c r="D51" s="89"/>
      <c r="E51" s="404"/>
      <c r="F51" s="89">
        <f t="shared" si="4"/>
        <v>0</v>
      </c>
      <c r="G51" s="90"/>
      <c r="H51" s="91"/>
      <c r="I51" s="154">
        <f t="shared" si="3"/>
        <v>0</v>
      </c>
    </row>
    <row r="52" spans="1:9" x14ac:dyDescent="0.25">
      <c r="A52" s="180"/>
      <c r="B52" s="125">
        <f t="shared" si="5"/>
        <v>0</v>
      </c>
      <c r="C52" s="16"/>
      <c r="D52" s="89"/>
      <c r="E52" s="404"/>
      <c r="F52" s="89">
        <f t="shared" si="4"/>
        <v>0</v>
      </c>
      <c r="G52" s="90"/>
      <c r="H52" s="91"/>
      <c r="I52" s="154">
        <f t="shared" si="3"/>
        <v>0</v>
      </c>
    </row>
    <row r="53" spans="1:9" x14ac:dyDescent="0.25">
      <c r="A53" s="180"/>
      <c r="B53" s="125">
        <f t="shared" si="5"/>
        <v>0</v>
      </c>
      <c r="C53" s="16"/>
      <c r="D53" s="89"/>
      <c r="E53" s="404"/>
      <c r="F53" s="89">
        <f t="shared" si="4"/>
        <v>0</v>
      </c>
      <c r="G53" s="90"/>
      <c r="H53" s="91"/>
      <c r="I53" s="154">
        <f t="shared" si="3"/>
        <v>0</v>
      </c>
    </row>
    <row r="54" spans="1:9" x14ac:dyDescent="0.25">
      <c r="A54" s="180"/>
      <c r="B54" s="125">
        <f t="shared" si="5"/>
        <v>0</v>
      </c>
      <c r="C54" s="16"/>
      <c r="D54" s="89"/>
      <c r="E54" s="404"/>
      <c r="F54" s="89">
        <f t="shared" si="4"/>
        <v>0</v>
      </c>
      <c r="G54" s="90"/>
      <c r="H54" s="91"/>
      <c r="I54" s="154">
        <f t="shared" si="3"/>
        <v>0</v>
      </c>
    </row>
    <row r="55" spans="1:9" x14ac:dyDescent="0.25">
      <c r="A55" s="180"/>
      <c r="B55" s="13"/>
      <c r="C55" s="16"/>
      <c r="D55" s="89"/>
      <c r="E55" s="404"/>
      <c r="F55" s="89">
        <f t="shared" si="4"/>
        <v>0</v>
      </c>
      <c r="G55" s="90"/>
      <c r="H55" s="91"/>
      <c r="I55" s="154">
        <f t="shared" si="3"/>
        <v>0</v>
      </c>
    </row>
    <row r="56" spans="1:9" x14ac:dyDescent="0.25">
      <c r="A56" s="180"/>
      <c r="B56" s="13"/>
      <c r="C56" s="16"/>
      <c r="D56" s="89"/>
      <c r="E56" s="404"/>
      <c r="F56" s="89">
        <f t="shared" si="4"/>
        <v>0</v>
      </c>
      <c r="G56" s="90"/>
      <c r="H56" s="91"/>
      <c r="I56" s="154">
        <f t="shared" si="3"/>
        <v>0</v>
      </c>
    </row>
    <row r="57" spans="1:9" x14ac:dyDescent="0.25">
      <c r="A57" s="180"/>
      <c r="B57" s="13"/>
      <c r="C57" s="16"/>
      <c r="D57" s="89"/>
      <c r="E57" s="404"/>
      <c r="F57" s="89">
        <f t="shared" si="4"/>
        <v>0</v>
      </c>
      <c r="G57" s="90"/>
      <c r="H57" s="91"/>
      <c r="I57" s="154">
        <f t="shared" si="3"/>
        <v>0</v>
      </c>
    </row>
    <row r="58" spans="1:9" x14ac:dyDescent="0.25">
      <c r="A58" s="180"/>
      <c r="B58" s="13"/>
      <c r="C58" s="16"/>
      <c r="D58" s="89"/>
      <c r="E58" s="404"/>
      <c r="F58" s="89">
        <f t="shared" si="4"/>
        <v>0</v>
      </c>
      <c r="G58" s="90"/>
      <c r="H58" s="91"/>
      <c r="I58" s="154">
        <f t="shared" si="3"/>
        <v>0</v>
      </c>
    </row>
    <row r="59" spans="1:9" x14ac:dyDescent="0.25">
      <c r="A59" s="180"/>
      <c r="B59" s="13"/>
      <c r="C59" s="16"/>
      <c r="D59" s="89"/>
      <c r="E59" s="404"/>
      <c r="F59" s="89">
        <f t="shared" si="4"/>
        <v>0</v>
      </c>
      <c r="G59" s="90"/>
      <c r="H59" s="91"/>
      <c r="I59" s="154">
        <f t="shared" si="3"/>
        <v>0</v>
      </c>
    </row>
    <row r="60" spans="1:9" x14ac:dyDescent="0.25">
      <c r="A60" s="180"/>
      <c r="B60" s="13"/>
      <c r="C60" s="16"/>
      <c r="D60" s="89"/>
      <c r="E60" s="404"/>
      <c r="F60" s="89">
        <f t="shared" si="4"/>
        <v>0</v>
      </c>
      <c r="G60" s="90"/>
      <c r="H60" s="91"/>
      <c r="I60" s="154">
        <f t="shared" si="3"/>
        <v>0</v>
      </c>
    </row>
    <row r="61" spans="1:9" x14ac:dyDescent="0.25">
      <c r="A61" s="180"/>
      <c r="B61" s="13"/>
      <c r="C61" s="16"/>
      <c r="D61" s="89"/>
      <c r="E61" s="404"/>
      <c r="F61" s="89">
        <f t="shared" si="4"/>
        <v>0</v>
      </c>
      <c r="G61" s="90"/>
      <c r="H61" s="91"/>
      <c r="I61" s="154">
        <f t="shared" si="3"/>
        <v>0</v>
      </c>
    </row>
    <row r="62" spans="1:9" x14ac:dyDescent="0.25">
      <c r="A62" s="180"/>
      <c r="B62" s="13"/>
      <c r="C62" s="16"/>
      <c r="D62" s="89"/>
      <c r="E62" s="404"/>
      <c r="F62" s="89">
        <f t="shared" si="4"/>
        <v>0</v>
      </c>
      <c r="G62" s="90"/>
      <c r="H62" s="91"/>
      <c r="I62" s="154">
        <f t="shared" si="3"/>
        <v>0</v>
      </c>
    </row>
    <row r="63" spans="1:9" x14ac:dyDescent="0.25">
      <c r="A63" s="180"/>
      <c r="B63" s="13"/>
      <c r="C63" s="16"/>
      <c r="D63" s="89"/>
      <c r="E63" s="404"/>
      <c r="F63" s="89">
        <f t="shared" si="4"/>
        <v>0</v>
      </c>
      <c r="G63" s="90"/>
      <c r="H63" s="91"/>
      <c r="I63" s="154">
        <f t="shared" si="3"/>
        <v>0</v>
      </c>
    </row>
    <row r="64" spans="1:9" x14ac:dyDescent="0.25">
      <c r="A64" s="180"/>
      <c r="C64" s="16"/>
      <c r="D64" s="89"/>
      <c r="E64" s="404"/>
      <c r="F64" s="89">
        <f t="shared" si="4"/>
        <v>0</v>
      </c>
      <c r="G64" s="90"/>
      <c r="H64" s="91"/>
      <c r="I64" s="154">
        <f t="shared" si="3"/>
        <v>0</v>
      </c>
    </row>
    <row r="65" spans="1:9" x14ac:dyDescent="0.25">
      <c r="A65" s="180"/>
      <c r="C65" s="16"/>
      <c r="D65" s="89"/>
      <c r="E65" s="404"/>
      <c r="F65" s="89">
        <f t="shared" si="4"/>
        <v>0</v>
      </c>
      <c r="G65" s="90"/>
      <c r="H65" s="91"/>
      <c r="I65" s="154">
        <f t="shared" si="3"/>
        <v>0</v>
      </c>
    </row>
    <row r="66" spans="1:9" x14ac:dyDescent="0.25">
      <c r="A66" s="180"/>
      <c r="C66" s="16"/>
      <c r="D66" s="89"/>
      <c r="E66" s="404"/>
      <c r="F66" s="89">
        <f t="shared" si="4"/>
        <v>0</v>
      </c>
      <c r="G66" s="90"/>
      <c r="H66" s="91"/>
      <c r="I66" s="154">
        <f t="shared" si="3"/>
        <v>0</v>
      </c>
    </row>
    <row r="67" spans="1:9" x14ac:dyDescent="0.25">
      <c r="A67" s="180"/>
      <c r="C67" s="16"/>
      <c r="D67" s="89"/>
      <c r="E67" s="404"/>
      <c r="F67" s="89">
        <f t="shared" si="4"/>
        <v>0</v>
      </c>
      <c r="G67" s="90"/>
      <c r="H67" s="91"/>
      <c r="I67" s="154">
        <f t="shared" si="3"/>
        <v>0</v>
      </c>
    </row>
    <row r="68" spans="1:9" x14ac:dyDescent="0.25">
      <c r="A68" s="180"/>
      <c r="C68" s="16"/>
      <c r="D68" s="77"/>
      <c r="E68" s="429"/>
      <c r="F68" s="89">
        <f t="shared" si="4"/>
        <v>0</v>
      </c>
      <c r="G68" s="90"/>
      <c r="H68" s="91"/>
      <c r="I68" s="154">
        <f t="shared" si="3"/>
        <v>0</v>
      </c>
    </row>
    <row r="69" spans="1:9" x14ac:dyDescent="0.25">
      <c r="A69" s="180"/>
      <c r="C69" s="16"/>
      <c r="D69" s="77"/>
      <c r="E69" s="429"/>
      <c r="F69" s="89">
        <f t="shared" si="4"/>
        <v>0</v>
      </c>
      <c r="G69" s="90"/>
      <c r="H69" s="91"/>
      <c r="I69" s="154">
        <f t="shared" si="3"/>
        <v>0</v>
      </c>
    </row>
    <row r="70" spans="1:9" x14ac:dyDescent="0.25">
      <c r="A70" s="180"/>
      <c r="C70" s="16"/>
      <c r="D70" s="77"/>
      <c r="E70" s="429"/>
      <c r="F70" s="89">
        <f t="shared" si="4"/>
        <v>0</v>
      </c>
      <c r="G70" s="90"/>
      <c r="H70" s="91"/>
      <c r="I70" s="154">
        <f t="shared" si="3"/>
        <v>0</v>
      </c>
    </row>
    <row r="71" spans="1:9" x14ac:dyDescent="0.25">
      <c r="A71" s="180"/>
      <c r="C71" s="16"/>
      <c r="D71" s="77"/>
      <c r="E71" s="429"/>
      <c r="F71" s="89">
        <f t="shared" si="4"/>
        <v>0</v>
      </c>
      <c r="G71" s="90"/>
      <c r="H71" s="91"/>
      <c r="I71" s="154">
        <f t="shared" si="3"/>
        <v>0</v>
      </c>
    </row>
    <row r="72" spans="1:9" x14ac:dyDescent="0.25">
      <c r="A72" s="180"/>
      <c r="C72" s="16"/>
      <c r="D72" s="77"/>
      <c r="E72" s="429"/>
      <c r="F72" s="89">
        <f t="shared" si="4"/>
        <v>0</v>
      </c>
      <c r="G72" s="90"/>
      <c r="H72" s="91"/>
      <c r="I72" s="154">
        <f t="shared" si="3"/>
        <v>0</v>
      </c>
    </row>
    <row r="73" spans="1:9" x14ac:dyDescent="0.25">
      <c r="A73" s="180"/>
      <c r="C73" s="16"/>
      <c r="D73" s="77"/>
      <c r="E73" s="429"/>
      <c r="F73" s="89">
        <f t="shared" si="4"/>
        <v>0</v>
      </c>
      <c r="G73" s="90"/>
      <c r="H73" s="91"/>
      <c r="I73" s="154">
        <f t="shared" si="3"/>
        <v>0</v>
      </c>
    </row>
    <row r="74" spans="1:9" x14ac:dyDescent="0.25">
      <c r="A74" s="180"/>
      <c r="C74" s="16"/>
      <c r="D74" s="77"/>
      <c r="E74" s="429"/>
      <c r="F74" s="89">
        <f>D74</f>
        <v>0</v>
      </c>
      <c r="G74" s="90"/>
      <c r="H74" s="91"/>
      <c r="I74" s="154">
        <f t="shared" si="3"/>
        <v>0</v>
      </c>
    </row>
    <row r="75" spans="1:9" x14ac:dyDescent="0.25">
      <c r="A75" s="180"/>
      <c r="C75" s="16"/>
      <c r="D75" s="77"/>
      <c r="E75" s="429"/>
      <c r="F75" s="89">
        <f>D75</f>
        <v>0</v>
      </c>
      <c r="G75" s="90"/>
      <c r="H75" s="91"/>
      <c r="I75" s="154">
        <f t="shared" si="3"/>
        <v>0</v>
      </c>
    </row>
    <row r="76" spans="1:9" x14ac:dyDescent="0.25">
      <c r="A76" s="180"/>
      <c r="C76" s="16"/>
      <c r="D76" s="77"/>
      <c r="E76" s="429"/>
      <c r="F76" s="89">
        <f>D76</f>
        <v>0</v>
      </c>
      <c r="G76" s="90"/>
      <c r="H76" s="91"/>
      <c r="I76" s="154">
        <f t="shared" ref="I76" si="6">I75-F76</f>
        <v>0</v>
      </c>
    </row>
    <row r="77" spans="1:9" ht="15.75" thickBot="1" x14ac:dyDescent="0.3">
      <c r="A77" s="180"/>
      <c r="B77" s="17"/>
      <c r="C77" s="61"/>
      <c r="D77" s="156"/>
      <c r="E77" s="390"/>
      <c r="F77" s="149"/>
      <c r="G77" s="150"/>
      <c r="H77" s="78"/>
    </row>
    <row r="78" spans="1:9" x14ac:dyDescent="0.25">
      <c r="C78" s="62">
        <f>SUM(C9:C77)</f>
        <v>305</v>
      </c>
      <c r="D78" s="7">
        <f>SUM(D9:D77)</f>
        <v>8760.2000000000007</v>
      </c>
      <c r="F78" s="7">
        <f>SUM(F9:F77)</f>
        <v>8760.2000000000007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751" t="s">
        <v>11</v>
      </c>
      <c r="D83" s="752"/>
      <c r="E83" s="74">
        <f>E5+E6-F78+E7</f>
        <v>0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M1" zoomScaleNormal="100" workbookViewId="0">
      <selection activeCell="W20" sqref="W20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  <col min="21" max="21" width="37.140625" customWidth="1"/>
    <col min="22" max="22" width="16.28515625" bestFit="1" customWidth="1"/>
  </cols>
  <sheetData>
    <row r="1" spans="1:29" ht="40.5" x14ac:dyDescent="0.55000000000000004">
      <c r="A1" s="744" t="s">
        <v>249</v>
      </c>
      <c r="B1" s="744"/>
      <c r="C1" s="744"/>
      <c r="D1" s="744"/>
      <c r="E1" s="744"/>
      <c r="F1" s="744"/>
      <c r="G1" s="744"/>
      <c r="H1" s="12">
        <v>1</v>
      </c>
      <c r="I1" s="79"/>
      <c r="K1" s="745" t="s">
        <v>244</v>
      </c>
      <c r="L1" s="745"/>
      <c r="M1" s="745"/>
      <c r="N1" s="745"/>
      <c r="O1" s="745"/>
      <c r="P1" s="745"/>
      <c r="Q1" s="745"/>
      <c r="R1" s="12">
        <v>1</v>
      </c>
      <c r="S1" s="79"/>
      <c r="U1" s="745" t="s">
        <v>244</v>
      </c>
      <c r="V1" s="745"/>
      <c r="W1" s="745"/>
      <c r="X1" s="745"/>
      <c r="Y1" s="745"/>
      <c r="Z1" s="745"/>
      <c r="AA1" s="745"/>
      <c r="AB1" s="12">
        <v>1</v>
      </c>
      <c r="AC1" s="79"/>
    </row>
    <row r="2" spans="1:29" ht="15.75" thickBot="1" x14ac:dyDescent="0.3">
      <c r="C2" s="13"/>
      <c r="D2" s="13"/>
      <c r="F2" s="13"/>
      <c r="I2" s="79"/>
      <c r="M2" s="13"/>
      <c r="N2" s="13"/>
      <c r="P2" s="13"/>
      <c r="S2" s="79"/>
      <c r="W2" s="13"/>
      <c r="X2" s="13"/>
      <c r="Z2" s="13"/>
      <c r="AC2" s="79"/>
    </row>
    <row r="3" spans="1:2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  <c r="U3" s="81" t="s">
        <v>0</v>
      </c>
      <c r="V3" s="9" t="s">
        <v>1</v>
      </c>
      <c r="W3" s="10"/>
      <c r="X3" s="10" t="s">
        <v>2</v>
      </c>
      <c r="Y3" s="10" t="s">
        <v>3</v>
      </c>
      <c r="Z3" s="10" t="s">
        <v>4</v>
      </c>
      <c r="AA3" s="27" t="s">
        <v>34</v>
      </c>
      <c r="AB3" s="38" t="s">
        <v>11</v>
      </c>
      <c r="AC3" s="79"/>
    </row>
    <row r="4" spans="1:29" ht="16.5" thickTop="1" x14ac:dyDescent="0.25">
      <c r="A4" s="13"/>
      <c r="B4" s="13"/>
      <c r="C4" s="207"/>
      <c r="D4" s="478"/>
      <c r="E4" s="137">
        <v>5.25</v>
      </c>
      <c r="F4" s="13"/>
      <c r="G4" s="247"/>
      <c r="H4" s="247"/>
      <c r="I4" s="79"/>
      <c r="K4" s="13"/>
      <c r="L4" s="13"/>
      <c r="M4" s="207"/>
      <c r="N4" s="478"/>
      <c r="O4" s="137"/>
      <c r="P4" s="13"/>
      <c r="Q4" s="247"/>
      <c r="R4" s="247"/>
      <c r="S4" s="79"/>
      <c r="U4" s="13"/>
      <c r="V4" s="13"/>
      <c r="W4" s="207"/>
      <c r="X4" s="478"/>
      <c r="Y4" s="137"/>
      <c r="Z4" s="13"/>
      <c r="AA4" s="247"/>
      <c r="AB4" s="247"/>
      <c r="AC4" s="79"/>
    </row>
    <row r="5" spans="1:29" ht="15" customHeight="1" x14ac:dyDescent="0.25">
      <c r="A5" s="750" t="s">
        <v>96</v>
      </c>
      <c r="B5" s="452" t="s">
        <v>100</v>
      </c>
      <c r="C5" s="426">
        <v>89.5</v>
      </c>
      <c r="D5" s="203">
        <v>43517</v>
      </c>
      <c r="E5" s="116">
        <v>3007.44</v>
      </c>
      <c r="F5" s="80">
        <v>107</v>
      </c>
      <c r="G5" s="6">
        <f>F77</f>
        <v>12073.550000000001</v>
      </c>
      <c r="I5" s="79"/>
      <c r="K5" s="750" t="s">
        <v>96</v>
      </c>
      <c r="L5" s="452" t="s">
        <v>100</v>
      </c>
      <c r="M5" s="426">
        <v>92</v>
      </c>
      <c r="N5" s="203">
        <v>43572</v>
      </c>
      <c r="O5" s="116">
        <v>9015.8799999999992</v>
      </c>
      <c r="P5" s="80">
        <v>323</v>
      </c>
      <c r="Q5" s="6">
        <f>P77</f>
        <v>9015.880000000001</v>
      </c>
      <c r="S5" s="79"/>
      <c r="U5" s="750" t="s">
        <v>96</v>
      </c>
      <c r="V5" s="452" t="s">
        <v>100</v>
      </c>
      <c r="W5" s="426">
        <v>91</v>
      </c>
      <c r="X5" s="203">
        <v>43580</v>
      </c>
      <c r="Y5" s="116">
        <v>3238.93</v>
      </c>
      <c r="Z5" s="80">
        <v>112</v>
      </c>
      <c r="AA5" s="699">
        <f>Z77</f>
        <v>7287.96</v>
      </c>
      <c r="AC5" s="79"/>
    </row>
    <row r="6" spans="1:29" ht="15.75" x14ac:dyDescent="0.25">
      <c r="A6" s="750"/>
      <c r="B6" s="452" t="s">
        <v>102</v>
      </c>
      <c r="C6" s="454"/>
      <c r="D6" s="203"/>
      <c r="E6" s="422">
        <v>57.77</v>
      </c>
      <c r="F6" s="80">
        <v>3</v>
      </c>
      <c r="G6" s="51"/>
      <c r="H6" s="8">
        <f>E6-G6+E7+E5-G5+E4</f>
        <v>-6</v>
      </c>
      <c r="I6" s="79"/>
      <c r="K6" s="750"/>
      <c r="L6" s="452" t="s">
        <v>102</v>
      </c>
      <c r="M6" s="454"/>
      <c r="N6" s="203"/>
      <c r="O6" s="672">
        <v>-6</v>
      </c>
      <c r="P6" s="80">
        <v>0</v>
      </c>
      <c r="Q6" s="51"/>
      <c r="R6" s="8">
        <f>O6-Q6+O7+O5-Q5+O4</f>
        <v>-6.000000000001819</v>
      </c>
      <c r="S6" s="79"/>
      <c r="U6" s="750"/>
      <c r="V6" s="452" t="s">
        <v>102</v>
      </c>
      <c r="W6" s="454">
        <v>89.4</v>
      </c>
      <c r="X6" s="203">
        <v>43588</v>
      </c>
      <c r="Y6" s="456">
        <v>4049.03</v>
      </c>
      <c r="Z6" s="80">
        <v>140</v>
      </c>
      <c r="AA6" s="700"/>
      <c r="AB6" s="8">
        <f>Y6-AA6+Y7+Y5-AA5+Y4</f>
        <v>0</v>
      </c>
      <c r="AC6" s="79"/>
    </row>
    <row r="7" spans="1:29" ht="15.75" thickBot="1" x14ac:dyDescent="0.3">
      <c r="B7" s="20"/>
      <c r="C7" s="220"/>
      <c r="D7" s="241">
        <v>43525</v>
      </c>
      <c r="E7" s="116">
        <v>8997.09</v>
      </c>
      <c r="F7" s="80">
        <v>319</v>
      </c>
      <c r="I7" s="79"/>
      <c r="L7" s="20"/>
      <c r="M7" s="220"/>
      <c r="N7" s="241"/>
      <c r="O7" s="116"/>
      <c r="P7" s="80"/>
      <c r="S7" s="79"/>
      <c r="V7" s="20"/>
      <c r="W7" s="220"/>
      <c r="X7" s="241"/>
      <c r="Y7" s="116"/>
      <c r="Z7" s="80"/>
      <c r="AC7" s="79"/>
    </row>
    <row r="8" spans="1:2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79"/>
      <c r="L8" s="82" t="s">
        <v>7</v>
      </c>
      <c r="M8" s="28"/>
      <c r="N8" s="33"/>
      <c r="O8" s="34"/>
      <c r="P8" s="10" t="s">
        <v>9</v>
      </c>
      <c r="Q8" s="11" t="s">
        <v>15</v>
      </c>
      <c r="R8" s="25"/>
      <c r="S8" s="79"/>
      <c r="V8" s="82" t="s">
        <v>7</v>
      </c>
      <c r="W8" s="28"/>
      <c r="X8" s="33"/>
      <c r="Y8" s="34"/>
      <c r="Z8" s="10" t="s">
        <v>9</v>
      </c>
      <c r="AA8" s="11" t="s">
        <v>15</v>
      </c>
      <c r="AB8" s="25"/>
      <c r="AC8" s="79"/>
    </row>
    <row r="9" spans="1:29" ht="15.75" thickTop="1" x14ac:dyDescent="0.25">
      <c r="A9" s="120" t="s">
        <v>32</v>
      </c>
      <c r="B9" s="125">
        <f>F6-C9+F5+F4+F7</f>
        <v>399</v>
      </c>
      <c r="C9" s="16">
        <v>30</v>
      </c>
      <c r="D9" s="89">
        <v>839.28</v>
      </c>
      <c r="E9" s="404">
        <v>43522</v>
      </c>
      <c r="F9" s="89">
        <f t="shared" ref="F9:F72" si="0">D9</f>
        <v>839.28</v>
      </c>
      <c r="G9" s="90" t="s">
        <v>188</v>
      </c>
      <c r="H9" s="91">
        <v>98</v>
      </c>
      <c r="I9" s="154">
        <f>E6-F9+E5+E4+E7</f>
        <v>11228.27</v>
      </c>
      <c r="K9" s="120" t="s">
        <v>32</v>
      </c>
      <c r="L9" s="125">
        <f>P6-M9+P5+P4+P7</f>
        <v>313</v>
      </c>
      <c r="M9" s="16">
        <v>10</v>
      </c>
      <c r="N9" s="89">
        <v>260.49</v>
      </c>
      <c r="O9" s="404">
        <v>43573</v>
      </c>
      <c r="P9" s="89">
        <f t="shared" ref="P9:P72" si="1">N9</f>
        <v>260.49</v>
      </c>
      <c r="Q9" s="90" t="s">
        <v>448</v>
      </c>
      <c r="R9" s="91">
        <v>98</v>
      </c>
      <c r="S9" s="154">
        <f>O6-P9+O5+O4+O7</f>
        <v>8749.39</v>
      </c>
      <c r="U9" s="120" t="s">
        <v>32</v>
      </c>
      <c r="V9" s="125">
        <f>Z6-W9+Z5+Z4+Z7</f>
        <v>222</v>
      </c>
      <c r="W9" s="16">
        <v>30</v>
      </c>
      <c r="X9" s="89">
        <v>898.3</v>
      </c>
      <c r="Y9" s="404">
        <v>43584</v>
      </c>
      <c r="Z9" s="89">
        <f t="shared" ref="Z9:Z72" si="2">X9</f>
        <v>898.3</v>
      </c>
      <c r="AA9" s="90" t="s">
        <v>514</v>
      </c>
      <c r="AB9" s="91">
        <v>98</v>
      </c>
      <c r="AC9" s="154">
        <f>Y6-Z9+Y5+Y4+Y7</f>
        <v>6389.66</v>
      </c>
    </row>
    <row r="10" spans="1:29" x14ac:dyDescent="0.25">
      <c r="A10" s="379"/>
      <c r="B10" s="125">
        <f>B9-C10</f>
        <v>369</v>
      </c>
      <c r="C10" s="16">
        <v>30</v>
      </c>
      <c r="D10" s="89">
        <v>846.44</v>
      </c>
      <c r="E10" s="404">
        <v>43524</v>
      </c>
      <c r="F10" s="89">
        <f t="shared" si="0"/>
        <v>846.44</v>
      </c>
      <c r="G10" s="90" t="s">
        <v>195</v>
      </c>
      <c r="H10" s="91">
        <v>98</v>
      </c>
      <c r="I10" s="154">
        <f>I9-F10</f>
        <v>10381.83</v>
      </c>
      <c r="K10" s="379"/>
      <c r="L10" s="125">
        <f>L9-M10</f>
        <v>283</v>
      </c>
      <c r="M10" s="16">
        <v>30</v>
      </c>
      <c r="N10" s="89">
        <v>820.39</v>
      </c>
      <c r="O10" s="404">
        <v>43573</v>
      </c>
      <c r="P10" s="89">
        <f t="shared" si="1"/>
        <v>820.39</v>
      </c>
      <c r="Q10" s="90" t="s">
        <v>449</v>
      </c>
      <c r="R10" s="91">
        <v>98</v>
      </c>
      <c r="S10" s="154">
        <f>S9-P10</f>
        <v>7928.9999999999991</v>
      </c>
      <c r="U10" s="379"/>
      <c r="V10" s="125">
        <f>V9-W10</f>
        <v>192</v>
      </c>
      <c r="W10" s="16">
        <v>30</v>
      </c>
      <c r="X10" s="89">
        <v>838.81</v>
      </c>
      <c r="Y10" s="404">
        <v>43584</v>
      </c>
      <c r="Z10" s="89">
        <f t="shared" si="2"/>
        <v>838.81</v>
      </c>
      <c r="AA10" s="90" t="s">
        <v>514</v>
      </c>
      <c r="AB10" s="91">
        <v>98</v>
      </c>
      <c r="AC10" s="154">
        <f>AC9-Z10</f>
        <v>5550.85</v>
      </c>
    </row>
    <row r="11" spans="1:29" x14ac:dyDescent="0.25">
      <c r="A11" s="348"/>
      <c r="B11" s="125">
        <f t="shared" ref="B11:B21" si="3">B10-C11</f>
        <v>339</v>
      </c>
      <c r="C11" s="16">
        <v>30</v>
      </c>
      <c r="D11" s="89">
        <v>826.19</v>
      </c>
      <c r="E11" s="404">
        <v>43526</v>
      </c>
      <c r="F11" s="89">
        <f t="shared" si="0"/>
        <v>826.19</v>
      </c>
      <c r="G11" s="90" t="s">
        <v>197</v>
      </c>
      <c r="H11" s="91">
        <v>98</v>
      </c>
      <c r="I11" s="154">
        <f t="shared" ref="I11:I74" si="4">I10-F11</f>
        <v>9555.64</v>
      </c>
      <c r="K11" s="348"/>
      <c r="L11" s="125">
        <f t="shared" ref="L11" si="5">L10-M11</f>
        <v>253</v>
      </c>
      <c r="M11" s="16">
        <v>30</v>
      </c>
      <c r="N11" s="89">
        <v>895.7</v>
      </c>
      <c r="O11" s="404">
        <v>43573</v>
      </c>
      <c r="P11" s="89">
        <f t="shared" si="1"/>
        <v>895.7</v>
      </c>
      <c r="Q11" s="90" t="s">
        <v>449</v>
      </c>
      <c r="R11" s="91">
        <v>98</v>
      </c>
      <c r="S11" s="154">
        <f t="shared" ref="S11:S74" si="6">S10-P11</f>
        <v>7033.2999999999993</v>
      </c>
      <c r="U11" s="348"/>
      <c r="V11" s="125">
        <f t="shared" ref="V11" si="7">V10-W11</f>
        <v>162</v>
      </c>
      <c r="W11" s="16">
        <v>30</v>
      </c>
      <c r="X11" s="89">
        <v>880.23</v>
      </c>
      <c r="Y11" s="404">
        <v>43584</v>
      </c>
      <c r="Z11" s="89">
        <f t="shared" si="2"/>
        <v>880.23</v>
      </c>
      <c r="AA11" s="90" t="s">
        <v>514</v>
      </c>
      <c r="AB11" s="91">
        <v>98</v>
      </c>
      <c r="AC11" s="154">
        <f t="shared" ref="AC11:AC74" si="8">AC10-Z11</f>
        <v>4670.6200000000008</v>
      </c>
    </row>
    <row r="12" spans="1:29" x14ac:dyDescent="0.25">
      <c r="A12" s="122" t="s">
        <v>33</v>
      </c>
      <c r="B12" s="125">
        <f>B11-C12</f>
        <v>319</v>
      </c>
      <c r="C12" s="16">
        <v>20</v>
      </c>
      <c r="D12" s="89">
        <v>562.12</v>
      </c>
      <c r="E12" s="404">
        <v>43528</v>
      </c>
      <c r="F12" s="89">
        <f t="shared" si="0"/>
        <v>562.12</v>
      </c>
      <c r="G12" s="90" t="s">
        <v>199</v>
      </c>
      <c r="H12" s="91">
        <v>98</v>
      </c>
      <c r="I12" s="154">
        <f t="shared" si="4"/>
        <v>8993.5199999999986</v>
      </c>
      <c r="K12" s="122" t="s">
        <v>33</v>
      </c>
      <c r="L12" s="125">
        <f>L11-M12</f>
        <v>223</v>
      </c>
      <c r="M12" s="16">
        <v>30</v>
      </c>
      <c r="N12" s="89">
        <v>836.88</v>
      </c>
      <c r="O12" s="404">
        <v>43573</v>
      </c>
      <c r="P12" s="89">
        <f t="shared" si="1"/>
        <v>836.88</v>
      </c>
      <c r="Q12" s="90" t="s">
        <v>449</v>
      </c>
      <c r="R12" s="91">
        <v>98</v>
      </c>
      <c r="S12" s="154">
        <f t="shared" si="6"/>
        <v>6196.4199999999992</v>
      </c>
      <c r="U12" s="122" t="s">
        <v>33</v>
      </c>
      <c r="V12" s="125">
        <f>V11-W12</f>
        <v>140</v>
      </c>
      <c r="W12" s="16">
        <v>22</v>
      </c>
      <c r="X12" s="89">
        <v>621.59</v>
      </c>
      <c r="Y12" s="404">
        <v>43584</v>
      </c>
      <c r="Z12" s="89">
        <f t="shared" si="2"/>
        <v>621.59</v>
      </c>
      <c r="AA12" s="90" t="s">
        <v>514</v>
      </c>
      <c r="AB12" s="91">
        <v>98</v>
      </c>
      <c r="AC12" s="154">
        <f t="shared" si="8"/>
        <v>4049.0300000000007</v>
      </c>
    </row>
    <row r="13" spans="1:29" x14ac:dyDescent="0.25">
      <c r="A13" s="97"/>
      <c r="B13" s="125">
        <f>B12-C13</f>
        <v>289</v>
      </c>
      <c r="C13" s="16">
        <v>30</v>
      </c>
      <c r="D13" s="89">
        <v>850.59</v>
      </c>
      <c r="E13" s="404">
        <v>43528</v>
      </c>
      <c r="F13" s="89">
        <f t="shared" si="0"/>
        <v>850.59</v>
      </c>
      <c r="G13" s="90" t="s">
        <v>200</v>
      </c>
      <c r="H13" s="91">
        <v>98</v>
      </c>
      <c r="I13" s="154">
        <f t="shared" si="4"/>
        <v>8142.9299999999985</v>
      </c>
      <c r="K13" s="97"/>
      <c r="L13" s="125">
        <f>L12-M13</f>
        <v>193</v>
      </c>
      <c r="M13" s="16">
        <v>30</v>
      </c>
      <c r="N13" s="89">
        <v>802.96</v>
      </c>
      <c r="O13" s="404">
        <v>43575</v>
      </c>
      <c r="P13" s="89">
        <f t="shared" si="1"/>
        <v>802.96</v>
      </c>
      <c r="Q13" s="90" t="s">
        <v>434</v>
      </c>
      <c r="R13" s="91">
        <v>98</v>
      </c>
      <c r="S13" s="154">
        <f t="shared" si="6"/>
        <v>5393.4599999999991</v>
      </c>
      <c r="U13" s="97"/>
      <c r="V13" s="125">
        <f>V12-W13</f>
        <v>135</v>
      </c>
      <c r="W13" s="16">
        <v>5</v>
      </c>
      <c r="X13" s="89">
        <v>143.75</v>
      </c>
      <c r="Y13" s="404">
        <v>43589</v>
      </c>
      <c r="Z13" s="89">
        <f t="shared" si="2"/>
        <v>143.75</v>
      </c>
      <c r="AA13" s="90" t="s">
        <v>550</v>
      </c>
      <c r="AB13" s="91">
        <v>98</v>
      </c>
      <c r="AC13" s="154">
        <f t="shared" si="8"/>
        <v>3905.2800000000007</v>
      </c>
    </row>
    <row r="14" spans="1:29" x14ac:dyDescent="0.25">
      <c r="A14" s="97"/>
      <c r="B14" s="125">
        <f t="shared" si="3"/>
        <v>259</v>
      </c>
      <c r="C14" s="16">
        <v>30</v>
      </c>
      <c r="D14" s="89">
        <v>830.32</v>
      </c>
      <c r="E14" s="404">
        <v>43535</v>
      </c>
      <c r="F14" s="89">
        <f t="shared" si="0"/>
        <v>830.32</v>
      </c>
      <c r="G14" s="90" t="s">
        <v>213</v>
      </c>
      <c r="H14" s="91">
        <v>98</v>
      </c>
      <c r="I14" s="154">
        <f t="shared" si="4"/>
        <v>7312.6099999999988</v>
      </c>
      <c r="K14" s="97"/>
      <c r="L14" s="125">
        <f t="shared" ref="L14:L21" si="9">L13-M14</f>
        <v>163</v>
      </c>
      <c r="M14" s="16">
        <v>30</v>
      </c>
      <c r="N14" s="89">
        <v>819.89</v>
      </c>
      <c r="O14" s="404">
        <v>43575</v>
      </c>
      <c r="P14" s="89">
        <f t="shared" si="1"/>
        <v>819.89</v>
      </c>
      <c r="Q14" s="90" t="s">
        <v>453</v>
      </c>
      <c r="R14" s="91">
        <v>98</v>
      </c>
      <c r="S14" s="154">
        <f t="shared" si="6"/>
        <v>4573.5699999999988</v>
      </c>
      <c r="U14" s="97"/>
      <c r="V14" s="125">
        <f t="shared" ref="V14:V21" si="10">V13-W14</f>
        <v>105</v>
      </c>
      <c r="W14" s="16">
        <v>30</v>
      </c>
      <c r="X14" s="89">
        <v>881.29</v>
      </c>
      <c r="Y14" s="404">
        <v>43589</v>
      </c>
      <c r="Z14" s="89">
        <f t="shared" si="2"/>
        <v>881.29</v>
      </c>
      <c r="AA14" s="90" t="s">
        <v>552</v>
      </c>
      <c r="AB14" s="91">
        <v>98</v>
      </c>
      <c r="AC14" s="154">
        <f t="shared" si="8"/>
        <v>3023.9900000000007</v>
      </c>
    </row>
    <row r="15" spans="1:29" x14ac:dyDescent="0.25">
      <c r="B15" s="125">
        <f t="shared" si="3"/>
        <v>240</v>
      </c>
      <c r="C15" s="16">
        <v>19</v>
      </c>
      <c r="D15" s="89">
        <v>515.09</v>
      </c>
      <c r="E15" s="404">
        <v>43536</v>
      </c>
      <c r="F15" s="89">
        <f t="shared" si="0"/>
        <v>515.09</v>
      </c>
      <c r="G15" s="90" t="s">
        <v>217</v>
      </c>
      <c r="H15" s="91">
        <v>98</v>
      </c>
      <c r="I15" s="154">
        <f t="shared" si="4"/>
        <v>6797.5199999999986</v>
      </c>
      <c r="L15" s="125">
        <f t="shared" si="9"/>
        <v>133</v>
      </c>
      <c r="M15" s="16">
        <v>30</v>
      </c>
      <c r="N15" s="89">
        <v>851.91</v>
      </c>
      <c r="O15" s="404">
        <v>43575</v>
      </c>
      <c r="P15" s="89">
        <f t="shared" si="1"/>
        <v>851.91</v>
      </c>
      <c r="Q15" s="90" t="s">
        <v>458</v>
      </c>
      <c r="R15" s="91">
        <v>98</v>
      </c>
      <c r="S15" s="154">
        <f t="shared" si="6"/>
        <v>3721.6599999999989</v>
      </c>
      <c r="V15" s="125">
        <f t="shared" si="10"/>
        <v>75</v>
      </c>
      <c r="W15" s="16">
        <v>30</v>
      </c>
      <c r="X15" s="89">
        <v>850.18</v>
      </c>
      <c r="Y15" s="404">
        <v>43591</v>
      </c>
      <c r="Z15" s="89">
        <f t="shared" si="2"/>
        <v>850.18</v>
      </c>
      <c r="AA15" s="90" t="s">
        <v>558</v>
      </c>
      <c r="AB15" s="91">
        <v>98</v>
      </c>
      <c r="AC15" s="154">
        <f t="shared" si="8"/>
        <v>2173.8100000000009</v>
      </c>
    </row>
    <row r="16" spans="1:29" x14ac:dyDescent="0.25">
      <c r="B16" s="125">
        <f t="shared" si="3"/>
        <v>210</v>
      </c>
      <c r="C16" s="16">
        <v>30</v>
      </c>
      <c r="D16" s="89">
        <v>917.21</v>
      </c>
      <c r="E16" s="404">
        <v>43538</v>
      </c>
      <c r="F16" s="89">
        <f t="shared" si="0"/>
        <v>917.21</v>
      </c>
      <c r="G16" s="90" t="s">
        <v>218</v>
      </c>
      <c r="H16" s="91">
        <v>98</v>
      </c>
      <c r="I16" s="154">
        <f t="shared" si="4"/>
        <v>5880.3099999999986</v>
      </c>
      <c r="L16" s="125">
        <f t="shared" si="9"/>
        <v>103</v>
      </c>
      <c r="M16" s="16">
        <v>30</v>
      </c>
      <c r="N16" s="89">
        <v>889.38</v>
      </c>
      <c r="O16" s="404">
        <v>43579</v>
      </c>
      <c r="P16" s="89">
        <f t="shared" si="1"/>
        <v>889.38</v>
      </c>
      <c r="Q16" s="90" t="s">
        <v>464</v>
      </c>
      <c r="R16" s="91">
        <v>98</v>
      </c>
      <c r="S16" s="154">
        <f t="shared" si="6"/>
        <v>2832.2799999999988</v>
      </c>
      <c r="V16" s="125">
        <f t="shared" si="10"/>
        <v>45</v>
      </c>
      <c r="W16" s="16">
        <v>30</v>
      </c>
      <c r="X16" s="89">
        <v>878.52</v>
      </c>
      <c r="Y16" s="404">
        <v>43591</v>
      </c>
      <c r="Z16" s="89">
        <f t="shared" si="2"/>
        <v>878.52</v>
      </c>
      <c r="AA16" s="90" t="s">
        <v>558</v>
      </c>
      <c r="AB16" s="91">
        <v>98</v>
      </c>
      <c r="AC16" s="154">
        <f t="shared" si="8"/>
        <v>1295.2900000000009</v>
      </c>
    </row>
    <row r="17" spans="1:29" x14ac:dyDescent="0.25">
      <c r="A17" s="180"/>
      <c r="B17" s="125">
        <f t="shared" si="3"/>
        <v>180</v>
      </c>
      <c r="C17" s="16">
        <v>30</v>
      </c>
      <c r="D17" s="632">
        <v>848.63</v>
      </c>
      <c r="E17" s="636">
        <v>43558</v>
      </c>
      <c r="F17" s="632">
        <f t="shared" si="0"/>
        <v>848.63</v>
      </c>
      <c r="G17" s="634" t="s">
        <v>371</v>
      </c>
      <c r="H17" s="635">
        <v>98</v>
      </c>
      <c r="I17" s="154">
        <f t="shared" si="4"/>
        <v>5031.6799999999985</v>
      </c>
      <c r="K17" s="180"/>
      <c r="L17" s="125">
        <f t="shared" si="9"/>
        <v>73</v>
      </c>
      <c r="M17" s="16">
        <v>30</v>
      </c>
      <c r="N17" s="89">
        <v>800.94</v>
      </c>
      <c r="O17" s="404">
        <v>43580</v>
      </c>
      <c r="P17" s="89">
        <f t="shared" si="1"/>
        <v>800.94</v>
      </c>
      <c r="Q17" s="90" t="s">
        <v>500</v>
      </c>
      <c r="R17" s="91">
        <v>98</v>
      </c>
      <c r="S17" s="154">
        <f t="shared" si="6"/>
        <v>2031.3399999999988</v>
      </c>
      <c r="U17" s="180"/>
      <c r="V17" s="125">
        <f t="shared" si="10"/>
        <v>15</v>
      </c>
      <c r="W17" s="16">
        <v>30</v>
      </c>
      <c r="X17" s="89">
        <v>900.01</v>
      </c>
      <c r="Y17" s="404">
        <v>43591</v>
      </c>
      <c r="Z17" s="89">
        <f t="shared" si="2"/>
        <v>900.01</v>
      </c>
      <c r="AA17" s="90" t="s">
        <v>558</v>
      </c>
      <c r="AB17" s="91">
        <v>98</v>
      </c>
      <c r="AC17" s="154">
        <f t="shared" si="8"/>
        <v>395.28000000000088</v>
      </c>
    </row>
    <row r="18" spans="1:29" x14ac:dyDescent="0.25">
      <c r="A18" s="180"/>
      <c r="B18" s="125">
        <f t="shared" si="3"/>
        <v>150</v>
      </c>
      <c r="C18" s="16">
        <v>30</v>
      </c>
      <c r="D18" s="632">
        <v>830.26</v>
      </c>
      <c r="E18" s="636">
        <v>43560</v>
      </c>
      <c r="F18" s="632">
        <f t="shared" si="0"/>
        <v>830.26</v>
      </c>
      <c r="G18" s="634" t="s">
        <v>388</v>
      </c>
      <c r="H18" s="635">
        <v>98</v>
      </c>
      <c r="I18" s="154">
        <f t="shared" si="4"/>
        <v>4201.4199999999983</v>
      </c>
      <c r="K18" s="180"/>
      <c r="L18" s="125">
        <f t="shared" si="9"/>
        <v>43</v>
      </c>
      <c r="M18" s="16">
        <v>30</v>
      </c>
      <c r="N18" s="89">
        <v>844.36</v>
      </c>
      <c r="O18" s="404">
        <v>43580</v>
      </c>
      <c r="P18" s="89">
        <f t="shared" si="1"/>
        <v>844.36</v>
      </c>
      <c r="Q18" s="90" t="s">
        <v>502</v>
      </c>
      <c r="R18" s="91">
        <v>98</v>
      </c>
      <c r="S18" s="154">
        <f t="shared" si="6"/>
        <v>1186.9799999999987</v>
      </c>
      <c r="U18" s="180"/>
      <c r="V18" s="125">
        <f t="shared" si="10"/>
        <v>0</v>
      </c>
      <c r="W18" s="16">
        <v>15</v>
      </c>
      <c r="X18" s="89">
        <v>395.28</v>
      </c>
      <c r="Y18" s="404">
        <v>43591</v>
      </c>
      <c r="Z18" s="89">
        <f t="shared" si="2"/>
        <v>395.28</v>
      </c>
      <c r="AA18" s="90" t="s">
        <v>558</v>
      </c>
      <c r="AB18" s="91">
        <v>98</v>
      </c>
      <c r="AC18" s="154">
        <f t="shared" si="8"/>
        <v>9.0949470177292824E-13</v>
      </c>
    </row>
    <row r="19" spans="1:29" x14ac:dyDescent="0.25">
      <c r="A19" s="180"/>
      <c r="B19" s="125">
        <f t="shared" si="3"/>
        <v>120</v>
      </c>
      <c r="C19" s="16">
        <v>30</v>
      </c>
      <c r="D19" s="632">
        <v>858.3</v>
      </c>
      <c r="E19" s="636">
        <v>43563</v>
      </c>
      <c r="F19" s="632">
        <f t="shared" si="0"/>
        <v>858.3</v>
      </c>
      <c r="G19" s="634" t="s">
        <v>399</v>
      </c>
      <c r="H19" s="635">
        <v>98</v>
      </c>
      <c r="I19" s="154">
        <f t="shared" si="4"/>
        <v>3343.1199999999981</v>
      </c>
      <c r="K19" s="180"/>
      <c r="L19" s="125">
        <f t="shared" si="9"/>
        <v>23</v>
      </c>
      <c r="M19" s="16">
        <v>20</v>
      </c>
      <c r="N19" s="89">
        <v>546.27</v>
      </c>
      <c r="O19" s="404">
        <v>43580</v>
      </c>
      <c r="P19" s="89">
        <f t="shared" si="1"/>
        <v>546.27</v>
      </c>
      <c r="Q19" s="90" t="s">
        <v>502</v>
      </c>
      <c r="R19" s="91">
        <v>98</v>
      </c>
      <c r="S19" s="154">
        <f t="shared" si="6"/>
        <v>640.70999999999867</v>
      </c>
      <c r="U19" s="180"/>
      <c r="V19" s="125">
        <f t="shared" si="10"/>
        <v>0</v>
      </c>
      <c r="W19" s="16"/>
      <c r="X19" s="89"/>
      <c r="Y19" s="404"/>
      <c r="Z19" s="89">
        <f t="shared" si="2"/>
        <v>0</v>
      </c>
      <c r="AA19" s="696"/>
      <c r="AB19" s="697"/>
      <c r="AC19" s="698">
        <f t="shared" si="8"/>
        <v>9.0949470177292824E-13</v>
      </c>
    </row>
    <row r="20" spans="1:29" x14ac:dyDescent="0.25">
      <c r="A20" s="180"/>
      <c r="B20" s="516">
        <f t="shared" si="3"/>
        <v>105</v>
      </c>
      <c r="C20" s="16">
        <v>15</v>
      </c>
      <c r="D20" s="632">
        <v>431.23</v>
      </c>
      <c r="E20" s="636">
        <v>43564</v>
      </c>
      <c r="F20" s="632">
        <f t="shared" si="0"/>
        <v>431.23</v>
      </c>
      <c r="G20" s="634" t="s">
        <v>397</v>
      </c>
      <c r="H20" s="635">
        <v>98</v>
      </c>
      <c r="I20" s="154">
        <f t="shared" si="4"/>
        <v>2911.8899999999981</v>
      </c>
      <c r="K20" s="180"/>
      <c r="L20" s="516">
        <f t="shared" si="9"/>
        <v>0</v>
      </c>
      <c r="M20" s="16">
        <v>23</v>
      </c>
      <c r="N20" s="89">
        <v>646.71</v>
      </c>
      <c r="O20" s="404">
        <v>43580</v>
      </c>
      <c r="P20" s="89">
        <f t="shared" si="1"/>
        <v>646.71</v>
      </c>
      <c r="Q20" s="90" t="s">
        <v>502</v>
      </c>
      <c r="R20" s="91">
        <v>98</v>
      </c>
      <c r="S20" s="154">
        <f t="shared" si="6"/>
        <v>-6.0000000000013642</v>
      </c>
      <c r="U20" s="180"/>
      <c r="V20" s="516">
        <f t="shared" si="10"/>
        <v>0</v>
      </c>
      <c r="W20" s="16"/>
      <c r="X20" s="89"/>
      <c r="Y20" s="404"/>
      <c r="Z20" s="89">
        <f t="shared" si="2"/>
        <v>0</v>
      </c>
      <c r="AA20" s="696"/>
      <c r="AB20" s="697"/>
      <c r="AC20" s="698">
        <f t="shared" si="8"/>
        <v>9.0949470177292824E-13</v>
      </c>
    </row>
    <row r="21" spans="1:29" x14ac:dyDescent="0.25">
      <c r="A21" s="180"/>
      <c r="B21" s="516">
        <f t="shared" si="3"/>
        <v>75</v>
      </c>
      <c r="C21" s="16">
        <v>30</v>
      </c>
      <c r="D21" s="632">
        <v>848.7</v>
      </c>
      <c r="E21" s="636">
        <v>43565</v>
      </c>
      <c r="F21" s="632">
        <f t="shared" si="0"/>
        <v>848.7</v>
      </c>
      <c r="G21" s="634" t="s">
        <v>400</v>
      </c>
      <c r="H21" s="635">
        <v>98</v>
      </c>
      <c r="I21" s="154">
        <f t="shared" si="4"/>
        <v>2063.1899999999978</v>
      </c>
      <c r="K21" s="180"/>
      <c r="L21" s="516">
        <f t="shared" si="9"/>
        <v>0</v>
      </c>
      <c r="M21" s="16"/>
      <c r="N21" s="89"/>
      <c r="O21" s="404"/>
      <c r="P21" s="89">
        <f t="shared" si="1"/>
        <v>0</v>
      </c>
      <c r="Q21" s="90"/>
      <c r="R21" s="682"/>
      <c r="S21" s="659">
        <f t="shared" si="6"/>
        <v>-6.0000000000013642</v>
      </c>
      <c r="U21" s="180"/>
      <c r="V21" s="516">
        <f t="shared" si="10"/>
        <v>0</v>
      </c>
      <c r="W21" s="16"/>
      <c r="X21" s="89"/>
      <c r="Y21" s="404"/>
      <c r="Z21" s="89">
        <f t="shared" si="2"/>
        <v>0</v>
      </c>
      <c r="AA21" s="696"/>
      <c r="AB21" s="697"/>
      <c r="AC21" s="698">
        <f t="shared" si="8"/>
        <v>9.0949470177292824E-13</v>
      </c>
    </row>
    <row r="22" spans="1:29" x14ac:dyDescent="0.25">
      <c r="A22" s="181"/>
      <c r="B22" s="516">
        <f>B21-C22</f>
        <v>45</v>
      </c>
      <c r="C22" s="16">
        <v>30</v>
      </c>
      <c r="D22" s="632">
        <v>828.77</v>
      </c>
      <c r="E22" s="636">
        <v>43565</v>
      </c>
      <c r="F22" s="632">
        <f t="shared" si="0"/>
        <v>828.77</v>
      </c>
      <c r="G22" s="634" t="s">
        <v>402</v>
      </c>
      <c r="H22" s="635">
        <v>98</v>
      </c>
      <c r="I22" s="154">
        <f t="shared" si="4"/>
        <v>1234.4199999999978</v>
      </c>
      <c r="K22" s="181"/>
      <c r="L22" s="516">
        <f>L21-M22</f>
        <v>0</v>
      </c>
      <c r="M22" s="16"/>
      <c r="N22" s="89"/>
      <c r="O22" s="404"/>
      <c r="P22" s="89">
        <f t="shared" si="1"/>
        <v>0</v>
      </c>
      <c r="Q22" s="90"/>
      <c r="R22" s="682"/>
      <c r="S22" s="659">
        <f t="shared" si="6"/>
        <v>-6.0000000000013642</v>
      </c>
      <c r="U22" s="181"/>
      <c r="V22" s="516">
        <f>V21-W22</f>
        <v>0</v>
      </c>
      <c r="W22" s="16"/>
      <c r="X22" s="89"/>
      <c r="Y22" s="404"/>
      <c r="Z22" s="89">
        <f t="shared" si="2"/>
        <v>0</v>
      </c>
      <c r="AA22" s="696"/>
      <c r="AB22" s="697"/>
      <c r="AC22" s="698">
        <f t="shared" si="8"/>
        <v>9.0949470177292824E-13</v>
      </c>
    </row>
    <row r="23" spans="1:29" x14ac:dyDescent="0.25">
      <c r="A23" s="180"/>
      <c r="B23" s="516">
        <f t="shared" ref="B23:B53" si="11">B22-C23</f>
        <v>15</v>
      </c>
      <c r="C23" s="16">
        <v>30</v>
      </c>
      <c r="D23" s="632">
        <v>824.19</v>
      </c>
      <c r="E23" s="636">
        <v>43567</v>
      </c>
      <c r="F23" s="632">
        <f t="shared" si="0"/>
        <v>824.19</v>
      </c>
      <c r="G23" s="634" t="s">
        <v>416</v>
      </c>
      <c r="H23" s="635">
        <v>98</v>
      </c>
      <c r="I23" s="154">
        <f t="shared" si="4"/>
        <v>410.22999999999774</v>
      </c>
      <c r="K23" s="180"/>
      <c r="L23" s="516">
        <f t="shared" ref="L23:L53" si="12">L22-M23</f>
        <v>0</v>
      </c>
      <c r="M23" s="16"/>
      <c r="N23" s="438"/>
      <c r="O23" s="404"/>
      <c r="P23" s="89">
        <f t="shared" si="1"/>
        <v>0</v>
      </c>
      <c r="Q23" s="90"/>
      <c r="R23" s="682"/>
      <c r="S23" s="659">
        <f t="shared" si="6"/>
        <v>-6.0000000000013642</v>
      </c>
      <c r="U23" s="180"/>
      <c r="V23" s="516">
        <f t="shared" ref="V23:V53" si="13">V22-W23</f>
        <v>0</v>
      </c>
      <c r="W23" s="16"/>
      <c r="X23" s="438"/>
      <c r="Y23" s="404"/>
      <c r="Z23" s="89">
        <f t="shared" si="2"/>
        <v>0</v>
      </c>
      <c r="AA23" s="696"/>
      <c r="AB23" s="697"/>
      <c r="AC23" s="698">
        <f t="shared" si="8"/>
        <v>9.0949470177292824E-13</v>
      </c>
    </row>
    <row r="24" spans="1:29" x14ac:dyDescent="0.25">
      <c r="A24" s="180"/>
      <c r="B24" s="516">
        <f t="shared" si="11"/>
        <v>0</v>
      </c>
      <c r="C24" s="16">
        <v>15</v>
      </c>
      <c r="D24" s="632">
        <v>416.23</v>
      </c>
      <c r="E24" s="636">
        <v>43568</v>
      </c>
      <c r="F24" s="632">
        <f t="shared" si="0"/>
        <v>416.23</v>
      </c>
      <c r="G24" s="634" t="s">
        <v>420</v>
      </c>
      <c r="H24" s="635">
        <v>98</v>
      </c>
      <c r="I24" s="659">
        <f t="shared" si="4"/>
        <v>-6.0000000000022737</v>
      </c>
      <c r="K24" s="180"/>
      <c r="L24" s="516">
        <f t="shared" si="12"/>
        <v>0</v>
      </c>
      <c r="M24" s="16"/>
      <c r="N24" s="438"/>
      <c r="O24" s="404"/>
      <c r="P24" s="89">
        <f t="shared" si="1"/>
        <v>0</v>
      </c>
      <c r="Q24" s="90"/>
      <c r="R24" s="682"/>
      <c r="S24" s="659">
        <f t="shared" si="6"/>
        <v>-6.0000000000013642</v>
      </c>
      <c r="U24" s="180"/>
      <c r="V24" s="516">
        <f t="shared" si="13"/>
        <v>0</v>
      </c>
      <c r="W24" s="16"/>
      <c r="X24" s="438"/>
      <c r="Y24" s="404"/>
      <c r="Z24" s="89">
        <f t="shared" si="2"/>
        <v>0</v>
      </c>
      <c r="AA24" s="696"/>
      <c r="AB24" s="697"/>
      <c r="AC24" s="698">
        <f t="shared" si="8"/>
        <v>9.0949470177292824E-13</v>
      </c>
    </row>
    <row r="25" spans="1:29" x14ac:dyDescent="0.25">
      <c r="A25" s="180"/>
      <c r="B25" s="517">
        <f t="shared" si="11"/>
        <v>0</v>
      </c>
      <c r="C25" s="16"/>
      <c r="D25" s="632"/>
      <c r="E25" s="636"/>
      <c r="F25" s="632">
        <f t="shared" si="0"/>
        <v>0</v>
      </c>
      <c r="G25" s="634"/>
      <c r="H25" s="635"/>
      <c r="I25" s="659">
        <f t="shared" si="4"/>
        <v>-6.0000000000022737</v>
      </c>
      <c r="K25" s="180"/>
      <c r="L25" s="517">
        <f t="shared" si="12"/>
        <v>0</v>
      </c>
      <c r="M25" s="16"/>
      <c r="N25" s="438"/>
      <c r="O25" s="404"/>
      <c r="P25" s="89">
        <f t="shared" si="1"/>
        <v>0</v>
      </c>
      <c r="Q25" s="90"/>
      <c r="R25" s="682"/>
      <c r="S25" s="659">
        <f t="shared" si="6"/>
        <v>-6.0000000000013642</v>
      </c>
      <c r="U25" s="180"/>
      <c r="V25" s="517">
        <f t="shared" si="13"/>
        <v>0</v>
      </c>
      <c r="W25" s="16"/>
      <c r="X25" s="438"/>
      <c r="Y25" s="404"/>
      <c r="Z25" s="89">
        <f t="shared" si="2"/>
        <v>0</v>
      </c>
      <c r="AA25" s="696"/>
      <c r="AB25" s="697"/>
      <c r="AC25" s="698">
        <f t="shared" si="8"/>
        <v>9.0949470177292824E-13</v>
      </c>
    </row>
    <row r="26" spans="1:29" x14ac:dyDescent="0.25">
      <c r="A26" s="180"/>
      <c r="B26" s="516">
        <f t="shared" si="11"/>
        <v>0</v>
      </c>
      <c r="C26" s="16"/>
      <c r="D26" s="632"/>
      <c r="E26" s="636"/>
      <c r="F26" s="632">
        <f t="shared" si="0"/>
        <v>0</v>
      </c>
      <c r="G26" s="634"/>
      <c r="H26" s="635"/>
      <c r="I26" s="659">
        <f t="shared" si="4"/>
        <v>-6.0000000000022737</v>
      </c>
      <c r="K26" s="180"/>
      <c r="L26" s="516">
        <f t="shared" si="12"/>
        <v>0</v>
      </c>
      <c r="M26" s="16"/>
      <c r="N26" s="438"/>
      <c r="O26" s="404"/>
      <c r="P26" s="89">
        <f t="shared" si="1"/>
        <v>0</v>
      </c>
      <c r="Q26" s="90"/>
      <c r="R26" s="91"/>
      <c r="S26" s="154">
        <f t="shared" si="6"/>
        <v>-6.0000000000013642</v>
      </c>
      <c r="U26" s="180"/>
      <c r="V26" s="516">
        <f t="shared" si="13"/>
        <v>0</v>
      </c>
      <c r="W26" s="16"/>
      <c r="X26" s="438"/>
      <c r="Y26" s="404"/>
      <c r="Z26" s="89">
        <f t="shared" si="2"/>
        <v>0</v>
      </c>
      <c r="AA26" s="696"/>
      <c r="AB26" s="697"/>
      <c r="AC26" s="698">
        <f t="shared" si="8"/>
        <v>9.0949470177292824E-13</v>
      </c>
    </row>
    <row r="27" spans="1:29" x14ac:dyDescent="0.25">
      <c r="A27" s="180"/>
      <c r="B27" s="517">
        <f t="shared" si="11"/>
        <v>0</v>
      </c>
      <c r="C27" s="16"/>
      <c r="D27" s="438"/>
      <c r="E27" s="404"/>
      <c r="F27" s="89">
        <f t="shared" si="0"/>
        <v>0</v>
      </c>
      <c r="G27" s="90"/>
      <c r="H27" s="91"/>
      <c r="I27" s="659">
        <f t="shared" si="4"/>
        <v>-6.0000000000022737</v>
      </c>
      <c r="K27" s="180"/>
      <c r="L27" s="517">
        <f t="shared" si="12"/>
        <v>0</v>
      </c>
      <c r="M27" s="16"/>
      <c r="N27" s="438"/>
      <c r="O27" s="404"/>
      <c r="P27" s="89">
        <f t="shared" si="1"/>
        <v>0</v>
      </c>
      <c r="Q27" s="90"/>
      <c r="R27" s="91"/>
      <c r="S27" s="154">
        <f t="shared" si="6"/>
        <v>-6.0000000000013642</v>
      </c>
      <c r="U27" s="180"/>
      <c r="V27" s="517">
        <f t="shared" si="13"/>
        <v>0</v>
      </c>
      <c r="W27" s="16"/>
      <c r="X27" s="438"/>
      <c r="Y27" s="404"/>
      <c r="Z27" s="89">
        <f t="shared" si="2"/>
        <v>0</v>
      </c>
      <c r="AA27" s="696"/>
      <c r="AB27" s="697"/>
      <c r="AC27" s="698">
        <f t="shared" si="8"/>
        <v>9.0949470177292824E-13</v>
      </c>
    </row>
    <row r="28" spans="1:29" x14ac:dyDescent="0.25">
      <c r="A28" s="180"/>
      <c r="B28" s="516">
        <f t="shared" si="11"/>
        <v>0</v>
      </c>
      <c r="C28" s="16"/>
      <c r="D28" s="438"/>
      <c r="E28" s="404"/>
      <c r="F28" s="89">
        <f t="shared" si="0"/>
        <v>0</v>
      </c>
      <c r="G28" s="90"/>
      <c r="H28" s="91"/>
      <c r="I28" s="659">
        <f t="shared" si="4"/>
        <v>-6.0000000000022737</v>
      </c>
      <c r="K28" s="180"/>
      <c r="L28" s="516">
        <f t="shared" si="12"/>
        <v>0</v>
      </c>
      <c r="M28" s="16"/>
      <c r="N28" s="438"/>
      <c r="O28" s="404"/>
      <c r="P28" s="89">
        <f t="shared" si="1"/>
        <v>0</v>
      </c>
      <c r="Q28" s="90"/>
      <c r="R28" s="91"/>
      <c r="S28" s="154">
        <f t="shared" si="6"/>
        <v>-6.0000000000013642</v>
      </c>
      <c r="U28" s="180"/>
      <c r="V28" s="516">
        <f t="shared" si="13"/>
        <v>0</v>
      </c>
      <c r="W28" s="16"/>
      <c r="X28" s="438"/>
      <c r="Y28" s="404"/>
      <c r="Z28" s="89">
        <f t="shared" si="2"/>
        <v>0</v>
      </c>
      <c r="AA28" s="696"/>
      <c r="AB28" s="697"/>
      <c r="AC28" s="698">
        <f t="shared" si="8"/>
        <v>9.0949470177292824E-13</v>
      </c>
    </row>
    <row r="29" spans="1:29" x14ac:dyDescent="0.25">
      <c r="A29" s="180"/>
      <c r="B29" s="125">
        <f t="shared" si="11"/>
        <v>0</v>
      </c>
      <c r="C29" s="16"/>
      <c r="D29" s="442"/>
      <c r="E29" s="404"/>
      <c r="F29" s="89">
        <f t="shared" si="0"/>
        <v>0</v>
      </c>
      <c r="G29" s="90"/>
      <c r="H29" s="91"/>
      <c r="I29" s="659">
        <f t="shared" si="4"/>
        <v>-6.0000000000022737</v>
      </c>
      <c r="K29" s="180"/>
      <c r="L29" s="125">
        <f t="shared" si="12"/>
        <v>0</v>
      </c>
      <c r="M29" s="16"/>
      <c r="N29" s="442"/>
      <c r="O29" s="404"/>
      <c r="P29" s="89">
        <f t="shared" si="1"/>
        <v>0</v>
      </c>
      <c r="Q29" s="90"/>
      <c r="R29" s="91"/>
      <c r="S29" s="154">
        <f t="shared" si="6"/>
        <v>-6.0000000000013642</v>
      </c>
      <c r="U29" s="180"/>
      <c r="V29" s="125">
        <f t="shared" si="13"/>
        <v>0</v>
      </c>
      <c r="W29" s="16"/>
      <c r="X29" s="442"/>
      <c r="Y29" s="404"/>
      <c r="Z29" s="89">
        <f t="shared" si="2"/>
        <v>0</v>
      </c>
      <c r="AA29" s="90"/>
      <c r="AB29" s="91"/>
      <c r="AC29" s="154">
        <f t="shared" si="8"/>
        <v>9.0949470177292824E-13</v>
      </c>
    </row>
    <row r="30" spans="1:29" x14ac:dyDescent="0.25">
      <c r="A30" s="180"/>
      <c r="B30" s="125">
        <f t="shared" si="11"/>
        <v>0</v>
      </c>
      <c r="C30" s="16"/>
      <c r="D30" s="442"/>
      <c r="E30" s="404"/>
      <c r="F30" s="89">
        <f t="shared" si="0"/>
        <v>0</v>
      </c>
      <c r="G30" s="90"/>
      <c r="H30" s="91"/>
      <c r="I30" s="154">
        <f t="shared" si="4"/>
        <v>-6.0000000000022737</v>
      </c>
      <c r="K30" s="180"/>
      <c r="L30" s="125">
        <f t="shared" si="12"/>
        <v>0</v>
      </c>
      <c r="M30" s="16"/>
      <c r="N30" s="442"/>
      <c r="O30" s="404"/>
      <c r="P30" s="89">
        <f t="shared" si="1"/>
        <v>0</v>
      </c>
      <c r="Q30" s="90"/>
      <c r="R30" s="91"/>
      <c r="S30" s="154">
        <f t="shared" si="6"/>
        <v>-6.0000000000013642</v>
      </c>
      <c r="U30" s="180"/>
      <c r="V30" s="125">
        <f t="shared" si="13"/>
        <v>0</v>
      </c>
      <c r="W30" s="16"/>
      <c r="X30" s="442"/>
      <c r="Y30" s="404"/>
      <c r="Z30" s="89">
        <f t="shared" si="2"/>
        <v>0</v>
      </c>
      <c r="AA30" s="90"/>
      <c r="AB30" s="91"/>
      <c r="AC30" s="154">
        <f t="shared" si="8"/>
        <v>9.0949470177292824E-13</v>
      </c>
    </row>
    <row r="31" spans="1:29" x14ac:dyDescent="0.25">
      <c r="A31" s="180"/>
      <c r="B31" s="125">
        <f t="shared" si="11"/>
        <v>0</v>
      </c>
      <c r="C31" s="16"/>
      <c r="D31" s="442"/>
      <c r="E31" s="404"/>
      <c r="F31" s="89">
        <f t="shared" si="0"/>
        <v>0</v>
      </c>
      <c r="G31" s="90"/>
      <c r="H31" s="91"/>
      <c r="I31" s="154">
        <f t="shared" si="4"/>
        <v>-6.0000000000022737</v>
      </c>
      <c r="K31" s="180"/>
      <c r="L31" s="125">
        <f t="shared" si="12"/>
        <v>0</v>
      </c>
      <c r="M31" s="16"/>
      <c r="N31" s="442"/>
      <c r="O31" s="404"/>
      <c r="P31" s="89">
        <f t="shared" si="1"/>
        <v>0</v>
      </c>
      <c r="Q31" s="90"/>
      <c r="R31" s="91"/>
      <c r="S31" s="154">
        <f t="shared" si="6"/>
        <v>-6.0000000000013642</v>
      </c>
      <c r="U31" s="180"/>
      <c r="V31" s="125">
        <f t="shared" si="13"/>
        <v>0</v>
      </c>
      <c r="W31" s="16"/>
      <c r="X31" s="442"/>
      <c r="Y31" s="404"/>
      <c r="Z31" s="89">
        <f t="shared" si="2"/>
        <v>0</v>
      </c>
      <c r="AA31" s="90"/>
      <c r="AB31" s="91"/>
      <c r="AC31" s="154">
        <f t="shared" si="8"/>
        <v>9.0949470177292824E-13</v>
      </c>
    </row>
    <row r="32" spans="1:29" x14ac:dyDescent="0.25">
      <c r="A32" s="180"/>
      <c r="B32" s="125">
        <f t="shared" si="11"/>
        <v>0</v>
      </c>
      <c r="C32" s="16"/>
      <c r="D32" s="442"/>
      <c r="E32" s="404"/>
      <c r="F32" s="89">
        <f t="shared" si="0"/>
        <v>0</v>
      </c>
      <c r="G32" s="90"/>
      <c r="H32" s="91"/>
      <c r="I32" s="154">
        <f t="shared" si="4"/>
        <v>-6.0000000000022737</v>
      </c>
      <c r="K32" s="180"/>
      <c r="L32" s="125">
        <f t="shared" si="12"/>
        <v>0</v>
      </c>
      <c r="M32" s="16"/>
      <c r="N32" s="442"/>
      <c r="O32" s="404"/>
      <c r="P32" s="89">
        <f t="shared" si="1"/>
        <v>0</v>
      </c>
      <c r="Q32" s="90"/>
      <c r="R32" s="91"/>
      <c r="S32" s="154">
        <f t="shared" si="6"/>
        <v>-6.0000000000013642</v>
      </c>
      <c r="U32" s="180"/>
      <c r="V32" s="125">
        <f t="shared" si="13"/>
        <v>0</v>
      </c>
      <c r="W32" s="16"/>
      <c r="X32" s="442"/>
      <c r="Y32" s="404"/>
      <c r="Z32" s="89">
        <f t="shared" si="2"/>
        <v>0</v>
      </c>
      <c r="AA32" s="90"/>
      <c r="AB32" s="91"/>
      <c r="AC32" s="154">
        <f t="shared" si="8"/>
        <v>9.0949470177292824E-13</v>
      </c>
    </row>
    <row r="33" spans="1:29" x14ac:dyDescent="0.25">
      <c r="A33" s="180"/>
      <c r="B33" s="125">
        <f t="shared" si="11"/>
        <v>0</v>
      </c>
      <c r="C33" s="16"/>
      <c r="D33" s="442"/>
      <c r="E33" s="404"/>
      <c r="F33" s="89">
        <f t="shared" si="0"/>
        <v>0</v>
      </c>
      <c r="G33" s="90"/>
      <c r="H33" s="91"/>
      <c r="I33" s="154">
        <f t="shared" si="4"/>
        <v>-6.0000000000022737</v>
      </c>
      <c r="K33" s="180"/>
      <c r="L33" s="125">
        <f t="shared" si="12"/>
        <v>0</v>
      </c>
      <c r="M33" s="16"/>
      <c r="N33" s="442"/>
      <c r="O33" s="404"/>
      <c r="P33" s="89">
        <f t="shared" si="1"/>
        <v>0</v>
      </c>
      <c r="Q33" s="90"/>
      <c r="R33" s="91"/>
      <c r="S33" s="154">
        <f t="shared" si="6"/>
        <v>-6.0000000000013642</v>
      </c>
      <c r="U33" s="180"/>
      <c r="V33" s="125">
        <f t="shared" si="13"/>
        <v>0</v>
      </c>
      <c r="W33" s="16"/>
      <c r="X33" s="442"/>
      <c r="Y33" s="404"/>
      <c r="Z33" s="89">
        <f t="shared" si="2"/>
        <v>0</v>
      </c>
      <c r="AA33" s="90"/>
      <c r="AB33" s="91"/>
      <c r="AC33" s="154">
        <f t="shared" si="8"/>
        <v>9.0949470177292824E-13</v>
      </c>
    </row>
    <row r="34" spans="1:29" x14ac:dyDescent="0.25">
      <c r="A34" s="180"/>
      <c r="B34" s="125">
        <f t="shared" si="11"/>
        <v>0</v>
      </c>
      <c r="C34" s="16"/>
      <c r="D34" s="442"/>
      <c r="E34" s="404"/>
      <c r="F34" s="89">
        <f t="shared" si="0"/>
        <v>0</v>
      </c>
      <c r="G34" s="90"/>
      <c r="H34" s="91"/>
      <c r="I34" s="154">
        <f t="shared" si="4"/>
        <v>-6.0000000000022737</v>
      </c>
      <c r="K34" s="180"/>
      <c r="L34" s="125">
        <f t="shared" si="12"/>
        <v>0</v>
      </c>
      <c r="M34" s="16"/>
      <c r="N34" s="442"/>
      <c r="O34" s="404"/>
      <c r="P34" s="89">
        <f t="shared" si="1"/>
        <v>0</v>
      </c>
      <c r="Q34" s="90"/>
      <c r="R34" s="91"/>
      <c r="S34" s="154">
        <f t="shared" si="6"/>
        <v>-6.0000000000013642</v>
      </c>
      <c r="U34" s="180"/>
      <c r="V34" s="125">
        <f t="shared" si="13"/>
        <v>0</v>
      </c>
      <c r="W34" s="16"/>
      <c r="X34" s="442"/>
      <c r="Y34" s="404"/>
      <c r="Z34" s="89">
        <f t="shared" si="2"/>
        <v>0</v>
      </c>
      <c r="AA34" s="90"/>
      <c r="AB34" s="91"/>
      <c r="AC34" s="154">
        <f t="shared" si="8"/>
        <v>9.0949470177292824E-13</v>
      </c>
    </row>
    <row r="35" spans="1:29" x14ac:dyDescent="0.25">
      <c r="A35" s="180" t="s">
        <v>22</v>
      </c>
      <c r="B35" s="125">
        <f t="shared" si="11"/>
        <v>0</v>
      </c>
      <c r="C35" s="16"/>
      <c r="D35" s="442"/>
      <c r="E35" s="404"/>
      <c r="F35" s="89">
        <f t="shared" si="0"/>
        <v>0</v>
      </c>
      <c r="G35" s="90"/>
      <c r="H35" s="91"/>
      <c r="I35" s="154">
        <f t="shared" si="4"/>
        <v>-6.0000000000022737</v>
      </c>
      <c r="K35" s="180" t="s">
        <v>22</v>
      </c>
      <c r="L35" s="125">
        <f t="shared" si="12"/>
        <v>0</v>
      </c>
      <c r="M35" s="16"/>
      <c r="N35" s="442"/>
      <c r="O35" s="404"/>
      <c r="P35" s="89">
        <f t="shared" si="1"/>
        <v>0</v>
      </c>
      <c r="Q35" s="90"/>
      <c r="R35" s="91"/>
      <c r="S35" s="154">
        <f t="shared" si="6"/>
        <v>-6.0000000000013642</v>
      </c>
      <c r="U35" s="180" t="s">
        <v>22</v>
      </c>
      <c r="V35" s="125">
        <f t="shared" si="13"/>
        <v>0</v>
      </c>
      <c r="W35" s="16"/>
      <c r="X35" s="442"/>
      <c r="Y35" s="404"/>
      <c r="Z35" s="89">
        <f t="shared" si="2"/>
        <v>0</v>
      </c>
      <c r="AA35" s="90"/>
      <c r="AB35" s="91"/>
      <c r="AC35" s="154">
        <f t="shared" si="8"/>
        <v>9.0949470177292824E-13</v>
      </c>
    </row>
    <row r="36" spans="1:29" x14ac:dyDescent="0.25">
      <c r="A36" s="181"/>
      <c r="B36" s="125">
        <f t="shared" si="11"/>
        <v>0</v>
      </c>
      <c r="C36" s="16"/>
      <c r="D36" s="442"/>
      <c r="E36" s="404"/>
      <c r="F36" s="89">
        <f t="shared" si="0"/>
        <v>0</v>
      </c>
      <c r="G36" s="90"/>
      <c r="H36" s="91"/>
      <c r="I36" s="154">
        <f t="shared" si="4"/>
        <v>-6.0000000000022737</v>
      </c>
      <c r="K36" s="181"/>
      <c r="L36" s="125">
        <f t="shared" si="12"/>
        <v>0</v>
      </c>
      <c r="M36" s="16"/>
      <c r="N36" s="442"/>
      <c r="O36" s="404"/>
      <c r="P36" s="89">
        <f t="shared" si="1"/>
        <v>0</v>
      </c>
      <c r="Q36" s="90"/>
      <c r="R36" s="91"/>
      <c r="S36" s="154">
        <f t="shared" si="6"/>
        <v>-6.0000000000013642</v>
      </c>
      <c r="U36" s="181"/>
      <c r="V36" s="125">
        <f t="shared" si="13"/>
        <v>0</v>
      </c>
      <c r="W36" s="16"/>
      <c r="X36" s="442"/>
      <c r="Y36" s="404"/>
      <c r="Z36" s="89">
        <f t="shared" si="2"/>
        <v>0</v>
      </c>
      <c r="AA36" s="90"/>
      <c r="AB36" s="91"/>
      <c r="AC36" s="154">
        <f t="shared" si="8"/>
        <v>9.0949470177292824E-13</v>
      </c>
    </row>
    <row r="37" spans="1:29" x14ac:dyDescent="0.25">
      <c r="A37" s="180"/>
      <c r="B37" s="125">
        <f t="shared" si="11"/>
        <v>0</v>
      </c>
      <c r="C37" s="16"/>
      <c r="D37" s="442"/>
      <c r="E37" s="404"/>
      <c r="F37" s="89">
        <f t="shared" si="0"/>
        <v>0</v>
      </c>
      <c r="G37" s="90"/>
      <c r="H37" s="91"/>
      <c r="I37" s="154">
        <f t="shared" si="4"/>
        <v>-6.0000000000022737</v>
      </c>
      <c r="K37" s="180"/>
      <c r="L37" s="125">
        <f t="shared" si="12"/>
        <v>0</v>
      </c>
      <c r="M37" s="16"/>
      <c r="N37" s="442"/>
      <c r="O37" s="404"/>
      <c r="P37" s="89">
        <f t="shared" si="1"/>
        <v>0</v>
      </c>
      <c r="Q37" s="90"/>
      <c r="R37" s="91"/>
      <c r="S37" s="154">
        <f t="shared" si="6"/>
        <v>-6.0000000000013642</v>
      </c>
      <c r="U37" s="180"/>
      <c r="V37" s="125">
        <f t="shared" si="13"/>
        <v>0</v>
      </c>
      <c r="W37" s="16"/>
      <c r="X37" s="442"/>
      <c r="Y37" s="404"/>
      <c r="Z37" s="89">
        <f t="shared" si="2"/>
        <v>0</v>
      </c>
      <c r="AA37" s="90"/>
      <c r="AB37" s="91"/>
      <c r="AC37" s="154">
        <f t="shared" si="8"/>
        <v>9.0949470177292824E-13</v>
      </c>
    </row>
    <row r="38" spans="1:29" x14ac:dyDescent="0.25">
      <c r="A38" s="180"/>
      <c r="B38" s="125">
        <f t="shared" si="11"/>
        <v>0</v>
      </c>
      <c r="C38" s="16"/>
      <c r="D38" s="442"/>
      <c r="E38" s="404"/>
      <c r="F38" s="89">
        <f t="shared" si="0"/>
        <v>0</v>
      </c>
      <c r="G38" s="90"/>
      <c r="H38" s="91"/>
      <c r="I38" s="154">
        <f t="shared" si="4"/>
        <v>-6.0000000000022737</v>
      </c>
      <c r="K38" s="180"/>
      <c r="L38" s="125">
        <f t="shared" si="12"/>
        <v>0</v>
      </c>
      <c r="M38" s="16"/>
      <c r="N38" s="442"/>
      <c r="O38" s="404"/>
      <c r="P38" s="89">
        <f t="shared" si="1"/>
        <v>0</v>
      </c>
      <c r="Q38" s="90"/>
      <c r="R38" s="91"/>
      <c r="S38" s="154">
        <f t="shared" si="6"/>
        <v>-6.0000000000013642</v>
      </c>
      <c r="U38" s="180"/>
      <c r="V38" s="125">
        <f t="shared" si="13"/>
        <v>0</v>
      </c>
      <c r="W38" s="16"/>
      <c r="X38" s="442"/>
      <c r="Y38" s="404"/>
      <c r="Z38" s="89">
        <f t="shared" si="2"/>
        <v>0</v>
      </c>
      <c r="AA38" s="90"/>
      <c r="AB38" s="91"/>
      <c r="AC38" s="154">
        <f t="shared" si="8"/>
        <v>9.0949470177292824E-13</v>
      </c>
    </row>
    <row r="39" spans="1:29" x14ac:dyDescent="0.25">
      <c r="A39" s="180"/>
      <c r="B39" s="125">
        <f t="shared" si="11"/>
        <v>0</v>
      </c>
      <c r="C39" s="16"/>
      <c r="D39" s="442"/>
      <c r="E39" s="404"/>
      <c r="F39" s="89">
        <f t="shared" si="0"/>
        <v>0</v>
      </c>
      <c r="G39" s="90"/>
      <c r="H39" s="91"/>
      <c r="I39" s="154">
        <f t="shared" si="4"/>
        <v>-6.0000000000022737</v>
      </c>
      <c r="K39" s="180"/>
      <c r="L39" s="125">
        <f t="shared" si="12"/>
        <v>0</v>
      </c>
      <c r="M39" s="16"/>
      <c r="N39" s="442"/>
      <c r="O39" s="404"/>
      <c r="P39" s="89">
        <f t="shared" si="1"/>
        <v>0</v>
      </c>
      <c r="Q39" s="90"/>
      <c r="R39" s="91"/>
      <c r="S39" s="154">
        <f t="shared" si="6"/>
        <v>-6.0000000000013642</v>
      </c>
      <c r="U39" s="180"/>
      <c r="V39" s="125">
        <f t="shared" si="13"/>
        <v>0</v>
      </c>
      <c r="W39" s="16"/>
      <c r="X39" s="442"/>
      <c r="Y39" s="404"/>
      <c r="Z39" s="89">
        <f t="shared" si="2"/>
        <v>0</v>
      </c>
      <c r="AA39" s="90"/>
      <c r="AB39" s="91"/>
      <c r="AC39" s="154">
        <f t="shared" si="8"/>
        <v>9.0949470177292824E-13</v>
      </c>
    </row>
    <row r="40" spans="1:29" x14ac:dyDescent="0.25">
      <c r="A40" s="180"/>
      <c r="B40" s="125">
        <f t="shared" si="11"/>
        <v>0</v>
      </c>
      <c r="C40" s="16"/>
      <c r="D40" s="442"/>
      <c r="E40" s="404"/>
      <c r="F40" s="89">
        <f t="shared" si="0"/>
        <v>0</v>
      </c>
      <c r="G40" s="90"/>
      <c r="H40" s="91"/>
      <c r="I40" s="154">
        <f t="shared" si="4"/>
        <v>-6.0000000000022737</v>
      </c>
      <c r="K40" s="180"/>
      <c r="L40" s="125">
        <f t="shared" si="12"/>
        <v>0</v>
      </c>
      <c r="M40" s="16"/>
      <c r="N40" s="442"/>
      <c r="O40" s="404"/>
      <c r="P40" s="89">
        <f t="shared" si="1"/>
        <v>0</v>
      </c>
      <c r="Q40" s="90"/>
      <c r="R40" s="91"/>
      <c r="S40" s="154">
        <f t="shared" si="6"/>
        <v>-6.0000000000013642</v>
      </c>
      <c r="U40" s="180"/>
      <c r="V40" s="125">
        <f t="shared" si="13"/>
        <v>0</v>
      </c>
      <c r="W40" s="16"/>
      <c r="X40" s="442"/>
      <c r="Y40" s="404"/>
      <c r="Z40" s="89">
        <f t="shared" si="2"/>
        <v>0</v>
      </c>
      <c r="AA40" s="90"/>
      <c r="AB40" s="91"/>
      <c r="AC40" s="154">
        <f t="shared" si="8"/>
        <v>9.0949470177292824E-13</v>
      </c>
    </row>
    <row r="41" spans="1:29" x14ac:dyDescent="0.25">
      <c r="A41" s="180"/>
      <c r="B41" s="125">
        <f t="shared" si="11"/>
        <v>0</v>
      </c>
      <c r="C41" s="16"/>
      <c r="D41" s="442"/>
      <c r="E41" s="404"/>
      <c r="F41" s="89">
        <f t="shared" si="0"/>
        <v>0</v>
      </c>
      <c r="G41" s="90"/>
      <c r="H41" s="91"/>
      <c r="I41" s="154">
        <f t="shared" si="4"/>
        <v>-6.0000000000022737</v>
      </c>
      <c r="K41" s="180"/>
      <c r="L41" s="125">
        <f t="shared" si="12"/>
        <v>0</v>
      </c>
      <c r="M41" s="16"/>
      <c r="N41" s="442"/>
      <c r="O41" s="404"/>
      <c r="P41" s="89">
        <f t="shared" si="1"/>
        <v>0</v>
      </c>
      <c r="Q41" s="90"/>
      <c r="R41" s="91"/>
      <c r="S41" s="154">
        <f t="shared" si="6"/>
        <v>-6.0000000000013642</v>
      </c>
      <c r="U41" s="180"/>
      <c r="V41" s="125">
        <f t="shared" si="13"/>
        <v>0</v>
      </c>
      <c r="W41" s="16"/>
      <c r="X41" s="442"/>
      <c r="Y41" s="404"/>
      <c r="Z41" s="89">
        <f t="shared" si="2"/>
        <v>0</v>
      </c>
      <c r="AA41" s="90"/>
      <c r="AB41" s="91"/>
      <c r="AC41" s="154">
        <f t="shared" si="8"/>
        <v>9.0949470177292824E-13</v>
      </c>
    </row>
    <row r="42" spans="1:29" x14ac:dyDescent="0.25">
      <c r="A42" s="180"/>
      <c r="B42" s="125">
        <f t="shared" si="11"/>
        <v>0</v>
      </c>
      <c r="C42" s="16"/>
      <c r="D42" s="442"/>
      <c r="E42" s="404"/>
      <c r="F42" s="89">
        <f t="shared" si="0"/>
        <v>0</v>
      </c>
      <c r="G42" s="90"/>
      <c r="H42" s="91"/>
      <c r="I42" s="154">
        <f t="shared" si="4"/>
        <v>-6.0000000000022737</v>
      </c>
      <c r="K42" s="180"/>
      <c r="L42" s="125">
        <f t="shared" si="12"/>
        <v>0</v>
      </c>
      <c r="M42" s="16"/>
      <c r="N42" s="442"/>
      <c r="O42" s="404"/>
      <c r="P42" s="89">
        <f t="shared" si="1"/>
        <v>0</v>
      </c>
      <c r="Q42" s="90"/>
      <c r="R42" s="91"/>
      <c r="S42" s="154">
        <f t="shared" si="6"/>
        <v>-6.0000000000013642</v>
      </c>
      <c r="U42" s="180"/>
      <c r="V42" s="125">
        <f t="shared" si="13"/>
        <v>0</v>
      </c>
      <c r="W42" s="16"/>
      <c r="X42" s="442"/>
      <c r="Y42" s="404"/>
      <c r="Z42" s="89">
        <f t="shared" si="2"/>
        <v>0</v>
      </c>
      <c r="AA42" s="90"/>
      <c r="AB42" s="91"/>
      <c r="AC42" s="154">
        <f t="shared" si="8"/>
        <v>9.0949470177292824E-13</v>
      </c>
    </row>
    <row r="43" spans="1:29" x14ac:dyDescent="0.25">
      <c r="A43" s="180"/>
      <c r="B43" s="125">
        <f t="shared" si="11"/>
        <v>0</v>
      </c>
      <c r="C43" s="16"/>
      <c r="D43" s="442"/>
      <c r="E43" s="404"/>
      <c r="F43" s="89">
        <f t="shared" si="0"/>
        <v>0</v>
      </c>
      <c r="G43" s="90"/>
      <c r="H43" s="91"/>
      <c r="I43" s="154">
        <f t="shared" si="4"/>
        <v>-6.0000000000022737</v>
      </c>
      <c r="K43" s="180"/>
      <c r="L43" s="125">
        <f t="shared" si="12"/>
        <v>0</v>
      </c>
      <c r="M43" s="16"/>
      <c r="N43" s="442"/>
      <c r="O43" s="404"/>
      <c r="P43" s="89">
        <f t="shared" si="1"/>
        <v>0</v>
      </c>
      <c r="Q43" s="90"/>
      <c r="R43" s="91"/>
      <c r="S43" s="154">
        <f t="shared" si="6"/>
        <v>-6.0000000000013642</v>
      </c>
      <c r="U43" s="180"/>
      <c r="V43" s="125">
        <f t="shared" si="13"/>
        <v>0</v>
      </c>
      <c r="W43" s="16"/>
      <c r="X43" s="442"/>
      <c r="Y43" s="404"/>
      <c r="Z43" s="89">
        <f t="shared" si="2"/>
        <v>0</v>
      </c>
      <c r="AA43" s="90"/>
      <c r="AB43" s="91"/>
      <c r="AC43" s="154">
        <f t="shared" si="8"/>
        <v>9.0949470177292824E-13</v>
      </c>
    </row>
    <row r="44" spans="1:29" x14ac:dyDescent="0.25">
      <c r="A44" s="180"/>
      <c r="B44" s="125">
        <f t="shared" si="11"/>
        <v>0</v>
      </c>
      <c r="C44" s="16"/>
      <c r="D44" s="442"/>
      <c r="E44" s="404"/>
      <c r="F44" s="89">
        <f t="shared" si="0"/>
        <v>0</v>
      </c>
      <c r="G44" s="90"/>
      <c r="H44" s="91"/>
      <c r="I44" s="154">
        <f t="shared" si="4"/>
        <v>-6.0000000000022737</v>
      </c>
      <c r="K44" s="180"/>
      <c r="L44" s="125">
        <f t="shared" si="12"/>
        <v>0</v>
      </c>
      <c r="M44" s="16"/>
      <c r="N44" s="442"/>
      <c r="O44" s="404"/>
      <c r="P44" s="89">
        <f t="shared" si="1"/>
        <v>0</v>
      </c>
      <c r="Q44" s="90"/>
      <c r="R44" s="91"/>
      <c r="S44" s="154">
        <f t="shared" si="6"/>
        <v>-6.0000000000013642</v>
      </c>
      <c r="U44" s="180"/>
      <c r="V44" s="125">
        <f t="shared" si="13"/>
        <v>0</v>
      </c>
      <c r="W44" s="16"/>
      <c r="X44" s="442"/>
      <c r="Y44" s="404"/>
      <c r="Z44" s="89">
        <f t="shared" si="2"/>
        <v>0</v>
      </c>
      <c r="AA44" s="90"/>
      <c r="AB44" s="91"/>
      <c r="AC44" s="154">
        <f t="shared" si="8"/>
        <v>9.0949470177292824E-13</v>
      </c>
    </row>
    <row r="45" spans="1:29" x14ac:dyDescent="0.25">
      <c r="A45" s="180"/>
      <c r="B45" s="125">
        <f t="shared" si="11"/>
        <v>0</v>
      </c>
      <c r="C45" s="16"/>
      <c r="D45" s="442"/>
      <c r="E45" s="404"/>
      <c r="F45" s="89">
        <f t="shared" si="0"/>
        <v>0</v>
      </c>
      <c r="G45" s="90"/>
      <c r="H45" s="91"/>
      <c r="I45" s="154">
        <f t="shared" si="4"/>
        <v>-6.0000000000022737</v>
      </c>
      <c r="K45" s="180"/>
      <c r="L45" s="125">
        <f t="shared" si="12"/>
        <v>0</v>
      </c>
      <c r="M45" s="16"/>
      <c r="N45" s="442"/>
      <c r="O45" s="404"/>
      <c r="P45" s="89">
        <f t="shared" si="1"/>
        <v>0</v>
      </c>
      <c r="Q45" s="90"/>
      <c r="R45" s="91"/>
      <c r="S45" s="154">
        <f t="shared" si="6"/>
        <v>-6.0000000000013642</v>
      </c>
      <c r="U45" s="180"/>
      <c r="V45" s="125">
        <f t="shared" si="13"/>
        <v>0</v>
      </c>
      <c r="W45" s="16"/>
      <c r="X45" s="442"/>
      <c r="Y45" s="404"/>
      <c r="Z45" s="89">
        <f t="shared" si="2"/>
        <v>0</v>
      </c>
      <c r="AA45" s="90"/>
      <c r="AB45" s="91"/>
      <c r="AC45" s="154">
        <f t="shared" si="8"/>
        <v>9.0949470177292824E-13</v>
      </c>
    </row>
    <row r="46" spans="1:29" x14ac:dyDescent="0.25">
      <c r="A46" s="180"/>
      <c r="B46" s="125">
        <f t="shared" si="11"/>
        <v>0</v>
      </c>
      <c r="C46" s="16"/>
      <c r="D46" s="442"/>
      <c r="E46" s="404"/>
      <c r="F46" s="89">
        <f t="shared" si="0"/>
        <v>0</v>
      </c>
      <c r="G46" s="90"/>
      <c r="H46" s="91"/>
      <c r="I46" s="154">
        <f t="shared" si="4"/>
        <v>-6.0000000000022737</v>
      </c>
      <c r="K46" s="180"/>
      <c r="L46" s="125">
        <f t="shared" si="12"/>
        <v>0</v>
      </c>
      <c r="M46" s="16"/>
      <c r="N46" s="442"/>
      <c r="O46" s="404"/>
      <c r="P46" s="89">
        <f t="shared" si="1"/>
        <v>0</v>
      </c>
      <c r="Q46" s="90"/>
      <c r="R46" s="91"/>
      <c r="S46" s="154">
        <f t="shared" si="6"/>
        <v>-6.0000000000013642</v>
      </c>
      <c r="U46" s="180"/>
      <c r="V46" s="125">
        <f t="shared" si="13"/>
        <v>0</v>
      </c>
      <c r="W46" s="16"/>
      <c r="X46" s="442"/>
      <c r="Y46" s="404"/>
      <c r="Z46" s="89">
        <f t="shared" si="2"/>
        <v>0</v>
      </c>
      <c r="AA46" s="90"/>
      <c r="AB46" s="91"/>
      <c r="AC46" s="154">
        <f t="shared" si="8"/>
        <v>9.0949470177292824E-13</v>
      </c>
    </row>
    <row r="47" spans="1:29" x14ac:dyDescent="0.25">
      <c r="A47" s="180"/>
      <c r="B47" s="125">
        <f t="shared" si="11"/>
        <v>0</v>
      </c>
      <c r="C47" s="16"/>
      <c r="D47" s="442"/>
      <c r="E47" s="404"/>
      <c r="F47" s="89">
        <f t="shared" si="0"/>
        <v>0</v>
      </c>
      <c r="G47" s="90"/>
      <c r="H47" s="91"/>
      <c r="I47" s="154">
        <f t="shared" si="4"/>
        <v>-6.0000000000022737</v>
      </c>
      <c r="K47" s="180"/>
      <c r="L47" s="125">
        <f t="shared" si="12"/>
        <v>0</v>
      </c>
      <c r="M47" s="16"/>
      <c r="N47" s="442"/>
      <c r="O47" s="404"/>
      <c r="P47" s="89">
        <f t="shared" si="1"/>
        <v>0</v>
      </c>
      <c r="Q47" s="90"/>
      <c r="R47" s="91"/>
      <c r="S47" s="154">
        <f t="shared" si="6"/>
        <v>-6.0000000000013642</v>
      </c>
      <c r="U47" s="180"/>
      <c r="V47" s="125">
        <f t="shared" si="13"/>
        <v>0</v>
      </c>
      <c r="W47" s="16"/>
      <c r="X47" s="442"/>
      <c r="Y47" s="404"/>
      <c r="Z47" s="89">
        <f t="shared" si="2"/>
        <v>0</v>
      </c>
      <c r="AA47" s="90"/>
      <c r="AB47" s="91"/>
      <c r="AC47" s="154">
        <f t="shared" si="8"/>
        <v>9.0949470177292824E-13</v>
      </c>
    </row>
    <row r="48" spans="1:29" x14ac:dyDescent="0.25">
      <c r="A48" s="180"/>
      <c r="B48" s="125">
        <f t="shared" si="11"/>
        <v>0</v>
      </c>
      <c r="C48" s="16"/>
      <c r="D48" s="442"/>
      <c r="E48" s="404"/>
      <c r="F48" s="89">
        <f t="shared" si="0"/>
        <v>0</v>
      </c>
      <c r="G48" s="90"/>
      <c r="H48" s="91"/>
      <c r="I48" s="154">
        <f t="shared" si="4"/>
        <v>-6.0000000000022737</v>
      </c>
      <c r="K48" s="180"/>
      <c r="L48" s="125">
        <f t="shared" si="12"/>
        <v>0</v>
      </c>
      <c r="M48" s="16"/>
      <c r="N48" s="442"/>
      <c r="O48" s="404"/>
      <c r="P48" s="89">
        <f t="shared" si="1"/>
        <v>0</v>
      </c>
      <c r="Q48" s="90"/>
      <c r="R48" s="91"/>
      <c r="S48" s="154">
        <f t="shared" si="6"/>
        <v>-6.0000000000013642</v>
      </c>
      <c r="U48" s="180"/>
      <c r="V48" s="125">
        <f t="shared" si="13"/>
        <v>0</v>
      </c>
      <c r="W48" s="16"/>
      <c r="X48" s="442"/>
      <c r="Y48" s="404"/>
      <c r="Z48" s="89">
        <f t="shared" si="2"/>
        <v>0</v>
      </c>
      <c r="AA48" s="90"/>
      <c r="AB48" s="91"/>
      <c r="AC48" s="154">
        <f t="shared" si="8"/>
        <v>9.0949470177292824E-13</v>
      </c>
    </row>
    <row r="49" spans="1:29" x14ac:dyDescent="0.25">
      <c r="A49" s="180"/>
      <c r="B49" s="125">
        <f t="shared" si="11"/>
        <v>0</v>
      </c>
      <c r="C49" s="16"/>
      <c r="D49" s="442"/>
      <c r="E49" s="404"/>
      <c r="F49" s="89">
        <f t="shared" si="0"/>
        <v>0</v>
      </c>
      <c r="G49" s="90"/>
      <c r="H49" s="91"/>
      <c r="I49" s="154">
        <f t="shared" si="4"/>
        <v>-6.0000000000022737</v>
      </c>
      <c r="K49" s="180"/>
      <c r="L49" s="125">
        <f t="shared" si="12"/>
        <v>0</v>
      </c>
      <c r="M49" s="16"/>
      <c r="N49" s="442"/>
      <c r="O49" s="404"/>
      <c r="P49" s="89">
        <f t="shared" si="1"/>
        <v>0</v>
      </c>
      <c r="Q49" s="90"/>
      <c r="R49" s="91"/>
      <c r="S49" s="154">
        <f t="shared" si="6"/>
        <v>-6.0000000000013642</v>
      </c>
      <c r="U49" s="180"/>
      <c r="V49" s="125">
        <f t="shared" si="13"/>
        <v>0</v>
      </c>
      <c r="W49" s="16"/>
      <c r="X49" s="442"/>
      <c r="Y49" s="404"/>
      <c r="Z49" s="89">
        <f t="shared" si="2"/>
        <v>0</v>
      </c>
      <c r="AA49" s="90"/>
      <c r="AB49" s="91"/>
      <c r="AC49" s="154">
        <f t="shared" si="8"/>
        <v>9.0949470177292824E-13</v>
      </c>
    </row>
    <row r="50" spans="1:29" x14ac:dyDescent="0.25">
      <c r="A50" s="180"/>
      <c r="B50" s="125">
        <f t="shared" si="11"/>
        <v>0</v>
      </c>
      <c r="C50" s="16"/>
      <c r="D50" s="442"/>
      <c r="E50" s="404"/>
      <c r="F50" s="89">
        <f t="shared" si="0"/>
        <v>0</v>
      </c>
      <c r="G50" s="90"/>
      <c r="H50" s="91"/>
      <c r="I50" s="154">
        <f t="shared" si="4"/>
        <v>-6.0000000000022737</v>
      </c>
      <c r="K50" s="180"/>
      <c r="L50" s="125">
        <f t="shared" si="12"/>
        <v>0</v>
      </c>
      <c r="M50" s="16"/>
      <c r="N50" s="442"/>
      <c r="O50" s="404"/>
      <c r="P50" s="89">
        <f t="shared" si="1"/>
        <v>0</v>
      </c>
      <c r="Q50" s="90"/>
      <c r="R50" s="91"/>
      <c r="S50" s="154">
        <f t="shared" si="6"/>
        <v>-6.0000000000013642</v>
      </c>
      <c r="U50" s="180"/>
      <c r="V50" s="125">
        <f t="shared" si="13"/>
        <v>0</v>
      </c>
      <c r="W50" s="16"/>
      <c r="X50" s="442"/>
      <c r="Y50" s="404"/>
      <c r="Z50" s="89">
        <f t="shared" si="2"/>
        <v>0</v>
      </c>
      <c r="AA50" s="90"/>
      <c r="AB50" s="91"/>
      <c r="AC50" s="154">
        <f t="shared" si="8"/>
        <v>9.0949470177292824E-13</v>
      </c>
    </row>
    <row r="51" spans="1:29" x14ac:dyDescent="0.25">
      <c r="A51" s="180"/>
      <c r="B51" s="125">
        <f t="shared" si="11"/>
        <v>0</v>
      </c>
      <c r="C51" s="16"/>
      <c r="D51" s="77"/>
      <c r="E51" s="404"/>
      <c r="F51" s="89">
        <f t="shared" si="0"/>
        <v>0</v>
      </c>
      <c r="G51" s="90"/>
      <c r="H51" s="91"/>
      <c r="I51" s="154">
        <f t="shared" si="4"/>
        <v>-6.0000000000022737</v>
      </c>
      <c r="K51" s="180"/>
      <c r="L51" s="125">
        <f t="shared" si="12"/>
        <v>0</v>
      </c>
      <c r="M51" s="16"/>
      <c r="N51" s="77"/>
      <c r="O51" s="404"/>
      <c r="P51" s="89">
        <f t="shared" si="1"/>
        <v>0</v>
      </c>
      <c r="Q51" s="90"/>
      <c r="R51" s="91"/>
      <c r="S51" s="154">
        <f t="shared" si="6"/>
        <v>-6.0000000000013642</v>
      </c>
      <c r="U51" s="180"/>
      <c r="V51" s="125">
        <f t="shared" si="13"/>
        <v>0</v>
      </c>
      <c r="W51" s="16"/>
      <c r="X51" s="77"/>
      <c r="Y51" s="404"/>
      <c r="Z51" s="89">
        <f t="shared" si="2"/>
        <v>0</v>
      </c>
      <c r="AA51" s="90"/>
      <c r="AB51" s="91"/>
      <c r="AC51" s="154">
        <f t="shared" si="8"/>
        <v>9.0949470177292824E-13</v>
      </c>
    </row>
    <row r="52" spans="1:29" x14ac:dyDescent="0.25">
      <c r="A52" s="180"/>
      <c r="B52" s="125">
        <f t="shared" si="11"/>
        <v>0</v>
      </c>
      <c r="C52" s="16"/>
      <c r="D52" s="77"/>
      <c r="E52" s="404"/>
      <c r="F52" s="89">
        <f t="shared" si="0"/>
        <v>0</v>
      </c>
      <c r="G52" s="90"/>
      <c r="H52" s="91"/>
      <c r="I52" s="154">
        <f t="shared" si="4"/>
        <v>-6.0000000000022737</v>
      </c>
      <c r="K52" s="180"/>
      <c r="L52" s="125">
        <f t="shared" si="12"/>
        <v>0</v>
      </c>
      <c r="M52" s="16"/>
      <c r="N52" s="77"/>
      <c r="O52" s="404"/>
      <c r="P52" s="89">
        <f t="shared" si="1"/>
        <v>0</v>
      </c>
      <c r="Q52" s="90"/>
      <c r="R52" s="91"/>
      <c r="S52" s="154">
        <f t="shared" si="6"/>
        <v>-6.0000000000013642</v>
      </c>
      <c r="U52" s="180"/>
      <c r="V52" s="125">
        <f t="shared" si="13"/>
        <v>0</v>
      </c>
      <c r="W52" s="16"/>
      <c r="X52" s="77"/>
      <c r="Y52" s="404"/>
      <c r="Z52" s="89">
        <f t="shared" si="2"/>
        <v>0</v>
      </c>
      <c r="AA52" s="90"/>
      <c r="AB52" s="91"/>
      <c r="AC52" s="154">
        <f t="shared" si="8"/>
        <v>9.0949470177292824E-13</v>
      </c>
    </row>
    <row r="53" spans="1:29" x14ac:dyDescent="0.25">
      <c r="A53" s="180"/>
      <c r="B53" s="125">
        <f t="shared" si="11"/>
        <v>0</v>
      </c>
      <c r="C53" s="16"/>
      <c r="D53" s="77"/>
      <c r="E53" s="404"/>
      <c r="F53" s="89">
        <f t="shared" si="0"/>
        <v>0</v>
      </c>
      <c r="G53" s="90"/>
      <c r="H53" s="91"/>
      <c r="I53" s="154">
        <f t="shared" si="4"/>
        <v>-6.0000000000022737</v>
      </c>
      <c r="K53" s="180"/>
      <c r="L53" s="125">
        <f t="shared" si="12"/>
        <v>0</v>
      </c>
      <c r="M53" s="16"/>
      <c r="N53" s="77"/>
      <c r="O53" s="404"/>
      <c r="P53" s="89">
        <f t="shared" si="1"/>
        <v>0</v>
      </c>
      <c r="Q53" s="90"/>
      <c r="R53" s="91"/>
      <c r="S53" s="154">
        <f t="shared" si="6"/>
        <v>-6.0000000000013642</v>
      </c>
      <c r="U53" s="180"/>
      <c r="V53" s="125">
        <f t="shared" si="13"/>
        <v>0</v>
      </c>
      <c r="W53" s="16"/>
      <c r="X53" s="77"/>
      <c r="Y53" s="404"/>
      <c r="Z53" s="89">
        <f t="shared" si="2"/>
        <v>0</v>
      </c>
      <c r="AA53" s="90"/>
      <c r="AB53" s="91"/>
      <c r="AC53" s="154">
        <f t="shared" si="8"/>
        <v>9.0949470177292824E-13</v>
      </c>
    </row>
    <row r="54" spans="1:29" x14ac:dyDescent="0.25">
      <c r="A54" s="180"/>
      <c r="B54" s="13"/>
      <c r="C54" s="16"/>
      <c r="D54" s="77"/>
      <c r="E54" s="404"/>
      <c r="F54" s="89">
        <f t="shared" si="0"/>
        <v>0</v>
      </c>
      <c r="G54" s="90"/>
      <c r="H54" s="91"/>
      <c r="I54" s="154">
        <f t="shared" si="4"/>
        <v>-6.0000000000022737</v>
      </c>
      <c r="K54" s="180"/>
      <c r="L54" s="13"/>
      <c r="M54" s="16"/>
      <c r="N54" s="77"/>
      <c r="O54" s="404"/>
      <c r="P54" s="89">
        <f t="shared" si="1"/>
        <v>0</v>
      </c>
      <c r="Q54" s="90"/>
      <c r="R54" s="91"/>
      <c r="S54" s="154">
        <f t="shared" si="6"/>
        <v>-6.0000000000013642</v>
      </c>
      <c r="U54" s="180"/>
      <c r="V54" s="13"/>
      <c r="W54" s="16"/>
      <c r="X54" s="77"/>
      <c r="Y54" s="404"/>
      <c r="Z54" s="89">
        <f t="shared" si="2"/>
        <v>0</v>
      </c>
      <c r="AA54" s="90"/>
      <c r="AB54" s="91"/>
      <c r="AC54" s="154">
        <f t="shared" si="8"/>
        <v>9.0949470177292824E-13</v>
      </c>
    </row>
    <row r="55" spans="1:29" x14ac:dyDescent="0.25">
      <c r="A55" s="180"/>
      <c r="B55" s="13"/>
      <c r="C55" s="16"/>
      <c r="D55" s="77"/>
      <c r="E55" s="404"/>
      <c r="F55" s="89">
        <f t="shared" si="0"/>
        <v>0</v>
      </c>
      <c r="G55" s="90"/>
      <c r="H55" s="91"/>
      <c r="I55" s="154">
        <f t="shared" si="4"/>
        <v>-6.0000000000022737</v>
      </c>
      <c r="K55" s="180"/>
      <c r="L55" s="13"/>
      <c r="M55" s="16"/>
      <c r="N55" s="77"/>
      <c r="O55" s="404"/>
      <c r="P55" s="89">
        <f t="shared" si="1"/>
        <v>0</v>
      </c>
      <c r="Q55" s="90"/>
      <c r="R55" s="91"/>
      <c r="S55" s="154">
        <f t="shared" si="6"/>
        <v>-6.0000000000013642</v>
      </c>
      <c r="U55" s="180"/>
      <c r="V55" s="13"/>
      <c r="W55" s="16"/>
      <c r="X55" s="77"/>
      <c r="Y55" s="404"/>
      <c r="Z55" s="89">
        <f t="shared" si="2"/>
        <v>0</v>
      </c>
      <c r="AA55" s="90"/>
      <c r="AB55" s="91"/>
      <c r="AC55" s="154">
        <f t="shared" si="8"/>
        <v>9.0949470177292824E-13</v>
      </c>
    </row>
    <row r="56" spans="1:29" x14ac:dyDescent="0.25">
      <c r="A56" s="180"/>
      <c r="B56" s="13"/>
      <c r="C56" s="16"/>
      <c r="D56" s="77"/>
      <c r="E56" s="404"/>
      <c r="F56" s="89">
        <f t="shared" si="0"/>
        <v>0</v>
      </c>
      <c r="G56" s="90"/>
      <c r="H56" s="91"/>
      <c r="I56" s="154">
        <f t="shared" si="4"/>
        <v>-6.0000000000022737</v>
      </c>
      <c r="K56" s="180"/>
      <c r="L56" s="13"/>
      <c r="M56" s="16"/>
      <c r="N56" s="77"/>
      <c r="O56" s="404"/>
      <c r="P56" s="89">
        <f t="shared" si="1"/>
        <v>0</v>
      </c>
      <c r="Q56" s="90"/>
      <c r="R56" s="91"/>
      <c r="S56" s="154">
        <f t="shared" si="6"/>
        <v>-6.0000000000013642</v>
      </c>
      <c r="U56" s="180"/>
      <c r="V56" s="13"/>
      <c r="W56" s="16"/>
      <c r="X56" s="77"/>
      <c r="Y56" s="404"/>
      <c r="Z56" s="89">
        <f t="shared" si="2"/>
        <v>0</v>
      </c>
      <c r="AA56" s="90"/>
      <c r="AB56" s="91"/>
      <c r="AC56" s="154">
        <f t="shared" si="8"/>
        <v>9.0949470177292824E-13</v>
      </c>
    </row>
    <row r="57" spans="1:29" x14ac:dyDescent="0.25">
      <c r="A57" s="180"/>
      <c r="B57" s="13"/>
      <c r="C57" s="16"/>
      <c r="D57" s="77"/>
      <c r="E57" s="404"/>
      <c r="F57" s="89">
        <f t="shared" si="0"/>
        <v>0</v>
      </c>
      <c r="G57" s="90"/>
      <c r="H57" s="91"/>
      <c r="I57" s="154">
        <f t="shared" si="4"/>
        <v>-6.0000000000022737</v>
      </c>
      <c r="K57" s="180"/>
      <c r="L57" s="13"/>
      <c r="M57" s="16"/>
      <c r="N57" s="77"/>
      <c r="O57" s="404"/>
      <c r="P57" s="89">
        <f t="shared" si="1"/>
        <v>0</v>
      </c>
      <c r="Q57" s="90"/>
      <c r="R57" s="91"/>
      <c r="S57" s="154">
        <f t="shared" si="6"/>
        <v>-6.0000000000013642</v>
      </c>
      <c r="U57" s="180"/>
      <c r="V57" s="13"/>
      <c r="W57" s="16"/>
      <c r="X57" s="77"/>
      <c r="Y57" s="404"/>
      <c r="Z57" s="89">
        <f t="shared" si="2"/>
        <v>0</v>
      </c>
      <c r="AA57" s="90"/>
      <c r="AB57" s="91"/>
      <c r="AC57" s="154">
        <f t="shared" si="8"/>
        <v>9.0949470177292824E-13</v>
      </c>
    </row>
    <row r="58" spans="1:29" x14ac:dyDescent="0.25">
      <c r="A58" s="180"/>
      <c r="B58" s="13"/>
      <c r="C58" s="16"/>
      <c r="D58" s="77"/>
      <c r="E58" s="429"/>
      <c r="F58" s="89">
        <f t="shared" si="0"/>
        <v>0</v>
      </c>
      <c r="G58" s="90"/>
      <c r="H58" s="91"/>
      <c r="I58" s="154">
        <f t="shared" si="4"/>
        <v>-6.0000000000022737</v>
      </c>
      <c r="K58" s="180"/>
      <c r="L58" s="13"/>
      <c r="M58" s="16"/>
      <c r="N58" s="77"/>
      <c r="O58" s="429"/>
      <c r="P58" s="89">
        <f t="shared" si="1"/>
        <v>0</v>
      </c>
      <c r="Q58" s="90"/>
      <c r="R58" s="91"/>
      <c r="S58" s="154">
        <f t="shared" si="6"/>
        <v>-6.0000000000013642</v>
      </c>
      <c r="U58" s="180"/>
      <c r="V58" s="13"/>
      <c r="W58" s="16"/>
      <c r="X58" s="77"/>
      <c r="Y58" s="429"/>
      <c r="Z58" s="89">
        <f t="shared" si="2"/>
        <v>0</v>
      </c>
      <c r="AA58" s="90"/>
      <c r="AB58" s="91"/>
      <c r="AC58" s="154">
        <f t="shared" si="8"/>
        <v>9.0949470177292824E-13</v>
      </c>
    </row>
    <row r="59" spans="1:29" x14ac:dyDescent="0.25">
      <c r="A59" s="180"/>
      <c r="B59" s="13"/>
      <c r="C59" s="16"/>
      <c r="D59" s="77"/>
      <c r="E59" s="429"/>
      <c r="F59" s="89">
        <f t="shared" si="0"/>
        <v>0</v>
      </c>
      <c r="G59" s="90"/>
      <c r="H59" s="91"/>
      <c r="I59" s="154">
        <f t="shared" si="4"/>
        <v>-6.0000000000022737</v>
      </c>
      <c r="K59" s="180"/>
      <c r="L59" s="13"/>
      <c r="M59" s="16"/>
      <c r="N59" s="77"/>
      <c r="O59" s="429"/>
      <c r="P59" s="89">
        <f t="shared" si="1"/>
        <v>0</v>
      </c>
      <c r="Q59" s="90"/>
      <c r="R59" s="91"/>
      <c r="S59" s="154">
        <f t="shared" si="6"/>
        <v>-6.0000000000013642</v>
      </c>
      <c r="U59" s="180"/>
      <c r="V59" s="13"/>
      <c r="W59" s="16"/>
      <c r="X59" s="77"/>
      <c r="Y59" s="429"/>
      <c r="Z59" s="89">
        <f t="shared" si="2"/>
        <v>0</v>
      </c>
      <c r="AA59" s="90"/>
      <c r="AB59" s="91"/>
      <c r="AC59" s="154">
        <f t="shared" si="8"/>
        <v>9.0949470177292824E-13</v>
      </c>
    </row>
    <row r="60" spans="1:29" x14ac:dyDescent="0.25">
      <c r="A60" s="180"/>
      <c r="B60" s="13"/>
      <c r="C60" s="16"/>
      <c r="D60" s="77"/>
      <c r="E60" s="429"/>
      <c r="F60" s="89">
        <f t="shared" si="0"/>
        <v>0</v>
      </c>
      <c r="G60" s="90"/>
      <c r="H60" s="91"/>
      <c r="I60" s="154">
        <f t="shared" si="4"/>
        <v>-6.0000000000022737</v>
      </c>
      <c r="K60" s="180"/>
      <c r="L60" s="13"/>
      <c r="M60" s="16"/>
      <c r="N60" s="77"/>
      <c r="O60" s="429"/>
      <c r="P60" s="89">
        <f t="shared" si="1"/>
        <v>0</v>
      </c>
      <c r="Q60" s="90"/>
      <c r="R60" s="91"/>
      <c r="S60" s="154">
        <f t="shared" si="6"/>
        <v>-6.0000000000013642</v>
      </c>
      <c r="U60" s="180"/>
      <c r="V60" s="13"/>
      <c r="W60" s="16"/>
      <c r="X60" s="77"/>
      <c r="Y60" s="429"/>
      <c r="Z60" s="89">
        <f t="shared" si="2"/>
        <v>0</v>
      </c>
      <c r="AA60" s="90"/>
      <c r="AB60" s="91"/>
      <c r="AC60" s="154">
        <f t="shared" si="8"/>
        <v>9.0949470177292824E-13</v>
      </c>
    </row>
    <row r="61" spans="1:29" x14ac:dyDescent="0.25">
      <c r="A61" s="180"/>
      <c r="B61" s="13"/>
      <c r="C61" s="16"/>
      <c r="D61" s="77"/>
      <c r="E61" s="429"/>
      <c r="F61" s="89">
        <f t="shared" si="0"/>
        <v>0</v>
      </c>
      <c r="G61" s="90"/>
      <c r="H61" s="91"/>
      <c r="I61" s="154">
        <f t="shared" si="4"/>
        <v>-6.0000000000022737</v>
      </c>
      <c r="K61" s="180"/>
      <c r="L61" s="13"/>
      <c r="M61" s="16"/>
      <c r="N61" s="77"/>
      <c r="O61" s="429"/>
      <c r="P61" s="89">
        <f t="shared" si="1"/>
        <v>0</v>
      </c>
      <c r="Q61" s="90"/>
      <c r="R61" s="91"/>
      <c r="S61" s="154">
        <f t="shared" si="6"/>
        <v>-6.0000000000013642</v>
      </c>
      <c r="U61" s="180"/>
      <c r="V61" s="13"/>
      <c r="W61" s="16"/>
      <c r="X61" s="77"/>
      <c r="Y61" s="429"/>
      <c r="Z61" s="89">
        <f t="shared" si="2"/>
        <v>0</v>
      </c>
      <c r="AA61" s="90"/>
      <c r="AB61" s="91"/>
      <c r="AC61" s="154">
        <f t="shared" si="8"/>
        <v>9.0949470177292824E-13</v>
      </c>
    </row>
    <row r="62" spans="1:29" x14ac:dyDescent="0.25">
      <c r="A62" s="180"/>
      <c r="B62" s="13"/>
      <c r="C62" s="16"/>
      <c r="D62" s="77"/>
      <c r="E62" s="429"/>
      <c r="F62" s="89">
        <f t="shared" si="0"/>
        <v>0</v>
      </c>
      <c r="G62" s="90"/>
      <c r="H62" s="91"/>
      <c r="I62" s="154">
        <f t="shared" si="4"/>
        <v>-6.0000000000022737</v>
      </c>
      <c r="K62" s="180"/>
      <c r="L62" s="13"/>
      <c r="M62" s="16"/>
      <c r="N62" s="77"/>
      <c r="O62" s="429"/>
      <c r="P62" s="89">
        <f t="shared" si="1"/>
        <v>0</v>
      </c>
      <c r="Q62" s="90"/>
      <c r="R62" s="91"/>
      <c r="S62" s="154">
        <f t="shared" si="6"/>
        <v>-6.0000000000013642</v>
      </c>
      <c r="U62" s="180"/>
      <c r="V62" s="13"/>
      <c r="W62" s="16"/>
      <c r="X62" s="77"/>
      <c r="Y62" s="429"/>
      <c r="Z62" s="89">
        <f t="shared" si="2"/>
        <v>0</v>
      </c>
      <c r="AA62" s="90"/>
      <c r="AB62" s="91"/>
      <c r="AC62" s="154">
        <f t="shared" si="8"/>
        <v>9.0949470177292824E-13</v>
      </c>
    </row>
    <row r="63" spans="1:29" x14ac:dyDescent="0.25">
      <c r="A63" s="180"/>
      <c r="C63" s="16"/>
      <c r="D63" s="77"/>
      <c r="E63" s="429"/>
      <c r="F63" s="89">
        <f t="shared" si="0"/>
        <v>0</v>
      </c>
      <c r="G63" s="90"/>
      <c r="H63" s="91"/>
      <c r="I63" s="154">
        <f t="shared" si="4"/>
        <v>-6.0000000000022737</v>
      </c>
      <c r="K63" s="180"/>
      <c r="M63" s="16"/>
      <c r="N63" s="77"/>
      <c r="O63" s="429"/>
      <c r="P63" s="89">
        <f t="shared" si="1"/>
        <v>0</v>
      </c>
      <c r="Q63" s="90"/>
      <c r="R63" s="91"/>
      <c r="S63" s="154">
        <f t="shared" si="6"/>
        <v>-6.0000000000013642</v>
      </c>
      <c r="U63" s="180"/>
      <c r="W63" s="16"/>
      <c r="X63" s="77"/>
      <c r="Y63" s="429"/>
      <c r="Z63" s="89">
        <f t="shared" si="2"/>
        <v>0</v>
      </c>
      <c r="AA63" s="90"/>
      <c r="AB63" s="91"/>
      <c r="AC63" s="154">
        <f t="shared" si="8"/>
        <v>9.0949470177292824E-13</v>
      </c>
    </row>
    <row r="64" spans="1:29" x14ac:dyDescent="0.25">
      <c r="A64" s="180"/>
      <c r="C64" s="16"/>
      <c r="D64" s="77"/>
      <c r="E64" s="429"/>
      <c r="F64" s="89">
        <f t="shared" si="0"/>
        <v>0</v>
      </c>
      <c r="G64" s="90"/>
      <c r="H64" s="91"/>
      <c r="I64" s="154">
        <f t="shared" si="4"/>
        <v>-6.0000000000022737</v>
      </c>
      <c r="K64" s="180"/>
      <c r="M64" s="16"/>
      <c r="N64" s="77"/>
      <c r="O64" s="429"/>
      <c r="P64" s="89">
        <f t="shared" si="1"/>
        <v>0</v>
      </c>
      <c r="Q64" s="90"/>
      <c r="R64" s="91"/>
      <c r="S64" s="154">
        <f t="shared" si="6"/>
        <v>-6.0000000000013642</v>
      </c>
      <c r="U64" s="180"/>
      <c r="W64" s="16"/>
      <c r="X64" s="77"/>
      <c r="Y64" s="429"/>
      <c r="Z64" s="89">
        <f t="shared" si="2"/>
        <v>0</v>
      </c>
      <c r="AA64" s="90"/>
      <c r="AB64" s="91"/>
      <c r="AC64" s="154">
        <f t="shared" si="8"/>
        <v>9.0949470177292824E-13</v>
      </c>
    </row>
    <row r="65" spans="1:29" x14ac:dyDescent="0.25">
      <c r="A65" s="180"/>
      <c r="C65" s="16"/>
      <c r="D65" s="77"/>
      <c r="E65" s="429"/>
      <c r="F65" s="89">
        <f t="shared" si="0"/>
        <v>0</v>
      </c>
      <c r="G65" s="90"/>
      <c r="H65" s="91"/>
      <c r="I65" s="154">
        <f t="shared" si="4"/>
        <v>-6.0000000000022737</v>
      </c>
      <c r="K65" s="180"/>
      <c r="M65" s="16"/>
      <c r="N65" s="77"/>
      <c r="O65" s="429"/>
      <c r="P65" s="89">
        <f t="shared" si="1"/>
        <v>0</v>
      </c>
      <c r="Q65" s="90"/>
      <c r="R65" s="91"/>
      <c r="S65" s="154">
        <f t="shared" si="6"/>
        <v>-6.0000000000013642</v>
      </c>
      <c r="U65" s="180"/>
      <c r="W65" s="16"/>
      <c r="X65" s="77"/>
      <c r="Y65" s="429"/>
      <c r="Z65" s="89">
        <f t="shared" si="2"/>
        <v>0</v>
      </c>
      <c r="AA65" s="90"/>
      <c r="AB65" s="91"/>
      <c r="AC65" s="154">
        <f t="shared" si="8"/>
        <v>9.0949470177292824E-13</v>
      </c>
    </row>
    <row r="66" spans="1:29" x14ac:dyDescent="0.25">
      <c r="A66" s="180"/>
      <c r="C66" s="16"/>
      <c r="D66" s="77"/>
      <c r="E66" s="429"/>
      <c r="F66" s="89">
        <f t="shared" si="0"/>
        <v>0</v>
      </c>
      <c r="G66" s="90"/>
      <c r="H66" s="91"/>
      <c r="I66" s="154">
        <f t="shared" si="4"/>
        <v>-6.0000000000022737</v>
      </c>
      <c r="K66" s="180"/>
      <c r="M66" s="16"/>
      <c r="N66" s="77"/>
      <c r="O66" s="429"/>
      <c r="P66" s="89">
        <f t="shared" si="1"/>
        <v>0</v>
      </c>
      <c r="Q66" s="90"/>
      <c r="R66" s="91"/>
      <c r="S66" s="154">
        <f t="shared" si="6"/>
        <v>-6.0000000000013642</v>
      </c>
      <c r="U66" s="180"/>
      <c r="W66" s="16"/>
      <c r="X66" s="77"/>
      <c r="Y66" s="429"/>
      <c r="Z66" s="89">
        <f t="shared" si="2"/>
        <v>0</v>
      </c>
      <c r="AA66" s="90"/>
      <c r="AB66" s="91"/>
      <c r="AC66" s="154">
        <f t="shared" si="8"/>
        <v>9.0949470177292824E-13</v>
      </c>
    </row>
    <row r="67" spans="1:29" x14ac:dyDescent="0.25">
      <c r="A67" s="180"/>
      <c r="C67" s="16"/>
      <c r="D67" s="77"/>
      <c r="E67" s="429"/>
      <c r="F67" s="89">
        <f t="shared" si="0"/>
        <v>0</v>
      </c>
      <c r="G67" s="90"/>
      <c r="H67" s="91"/>
      <c r="I67" s="154">
        <f t="shared" si="4"/>
        <v>-6.0000000000022737</v>
      </c>
      <c r="K67" s="180"/>
      <c r="M67" s="16"/>
      <c r="N67" s="77"/>
      <c r="O67" s="429"/>
      <c r="P67" s="89">
        <f t="shared" si="1"/>
        <v>0</v>
      </c>
      <c r="Q67" s="90"/>
      <c r="R67" s="91"/>
      <c r="S67" s="154">
        <f t="shared" si="6"/>
        <v>-6.0000000000013642</v>
      </c>
      <c r="U67" s="180"/>
      <c r="W67" s="16"/>
      <c r="X67" s="77"/>
      <c r="Y67" s="429"/>
      <c r="Z67" s="89">
        <f t="shared" si="2"/>
        <v>0</v>
      </c>
      <c r="AA67" s="90"/>
      <c r="AB67" s="91"/>
      <c r="AC67" s="154">
        <f t="shared" si="8"/>
        <v>9.0949470177292824E-13</v>
      </c>
    </row>
    <row r="68" spans="1:29" x14ac:dyDescent="0.25">
      <c r="A68" s="180"/>
      <c r="C68" s="16"/>
      <c r="D68" s="77"/>
      <c r="E68" s="429"/>
      <c r="F68" s="89">
        <f t="shared" si="0"/>
        <v>0</v>
      </c>
      <c r="G68" s="90"/>
      <c r="H68" s="91"/>
      <c r="I68" s="154">
        <f t="shared" si="4"/>
        <v>-6.0000000000022737</v>
      </c>
      <c r="K68" s="180"/>
      <c r="M68" s="16"/>
      <c r="N68" s="77"/>
      <c r="O68" s="429"/>
      <c r="P68" s="89">
        <f t="shared" si="1"/>
        <v>0</v>
      </c>
      <c r="Q68" s="90"/>
      <c r="R68" s="91"/>
      <c r="S68" s="154">
        <f t="shared" si="6"/>
        <v>-6.0000000000013642</v>
      </c>
      <c r="U68" s="180"/>
      <c r="W68" s="16"/>
      <c r="X68" s="77"/>
      <c r="Y68" s="429"/>
      <c r="Z68" s="89">
        <f t="shared" si="2"/>
        <v>0</v>
      </c>
      <c r="AA68" s="90"/>
      <c r="AB68" s="91"/>
      <c r="AC68" s="154">
        <f t="shared" si="8"/>
        <v>9.0949470177292824E-13</v>
      </c>
    </row>
    <row r="69" spans="1:29" x14ac:dyDescent="0.25">
      <c r="A69" s="180"/>
      <c r="C69" s="16"/>
      <c r="D69" s="77"/>
      <c r="E69" s="429"/>
      <c r="F69" s="89">
        <f t="shared" si="0"/>
        <v>0</v>
      </c>
      <c r="G69" s="90"/>
      <c r="H69" s="91"/>
      <c r="I69" s="154">
        <f t="shared" si="4"/>
        <v>-6.0000000000022737</v>
      </c>
      <c r="K69" s="180"/>
      <c r="M69" s="16"/>
      <c r="N69" s="77"/>
      <c r="O69" s="429"/>
      <c r="P69" s="89">
        <f t="shared" si="1"/>
        <v>0</v>
      </c>
      <c r="Q69" s="90"/>
      <c r="R69" s="91"/>
      <c r="S69" s="154">
        <f t="shared" si="6"/>
        <v>-6.0000000000013642</v>
      </c>
      <c r="U69" s="180"/>
      <c r="W69" s="16"/>
      <c r="X69" s="77"/>
      <c r="Y69" s="429"/>
      <c r="Z69" s="89">
        <f t="shared" si="2"/>
        <v>0</v>
      </c>
      <c r="AA69" s="90"/>
      <c r="AB69" s="91"/>
      <c r="AC69" s="154">
        <f t="shared" si="8"/>
        <v>9.0949470177292824E-13</v>
      </c>
    </row>
    <row r="70" spans="1:29" x14ac:dyDescent="0.25">
      <c r="A70" s="180"/>
      <c r="C70" s="16"/>
      <c r="D70" s="77"/>
      <c r="E70" s="429"/>
      <c r="F70" s="89">
        <f t="shared" si="0"/>
        <v>0</v>
      </c>
      <c r="G70" s="90"/>
      <c r="H70" s="91"/>
      <c r="I70" s="154">
        <f t="shared" si="4"/>
        <v>-6.0000000000022737</v>
      </c>
      <c r="K70" s="180"/>
      <c r="M70" s="16"/>
      <c r="N70" s="77"/>
      <c r="O70" s="429"/>
      <c r="P70" s="89">
        <f t="shared" si="1"/>
        <v>0</v>
      </c>
      <c r="Q70" s="90"/>
      <c r="R70" s="91"/>
      <c r="S70" s="154">
        <f t="shared" si="6"/>
        <v>-6.0000000000013642</v>
      </c>
      <c r="U70" s="180"/>
      <c r="W70" s="16"/>
      <c r="X70" s="77"/>
      <c r="Y70" s="429"/>
      <c r="Z70" s="89">
        <f t="shared" si="2"/>
        <v>0</v>
      </c>
      <c r="AA70" s="90"/>
      <c r="AB70" s="91"/>
      <c r="AC70" s="154">
        <f t="shared" si="8"/>
        <v>9.0949470177292824E-13</v>
      </c>
    </row>
    <row r="71" spans="1:29" x14ac:dyDescent="0.25">
      <c r="A71" s="180"/>
      <c r="C71" s="16"/>
      <c r="D71" s="77"/>
      <c r="E71" s="429"/>
      <c r="F71" s="89">
        <f t="shared" si="0"/>
        <v>0</v>
      </c>
      <c r="G71" s="90"/>
      <c r="H71" s="91"/>
      <c r="I71" s="154">
        <f t="shared" si="4"/>
        <v>-6.0000000000022737</v>
      </c>
      <c r="K71" s="180"/>
      <c r="M71" s="16"/>
      <c r="N71" s="77"/>
      <c r="O71" s="429"/>
      <c r="P71" s="89">
        <f t="shared" si="1"/>
        <v>0</v>
      </c>
      <c r="Q71" s="90"/>
      <c r="R71" s="91"/>
      <c r="S71" s="154">
        <f t="shared" si="6"/>
        <v>-6.0000000000013642</v>
      </c>
      <c r="U71" s="180"/>
      <c r="W71" s="16"/>
      <c r="X71" s="77"/>
      <c r="Y71" s="429"/>
      <c r="Z71" s="89">
        <f t="shared" si="2"/>
        <v>0</v>
      </c>
      <c r="AA71" s="90"/>
      <c r="AB71" s="91"/>
      <c r="AC71" s="154">
        <f t="shared" si="8"/>
        <v>9.0949470177292824E-13</v>
      </c>
    </row>
    <row r="72" spans="1:29" x14ac:dyDescent="0.25">
      <c r="A72" s="180"/>
      <c r="C72" s="16"/>
      <c r="D72" s="77"/>
      <c r="E72" s="429"/>
      <c r="F72" s="89">
        <f t="shared" si="0"/>
        <v>0</v>
      </c>
      <c r="G72" s="90"/>
      <c r="H72" s="91"/>
      <c r="I72" s="154">
        <f t="shared" si="4"/>
        <v>-6.0000000000022737</v>
      </c>
      <c r="K72" s="180"/>
      <c r="M72" s="16"/>
      <c r="N72" s="77"/>
      <c r="O72" s="429"/>
      <c r="P72" s="89">
        <f t="shared" si="1"/>
        <v>0</v>
      </c>
      <c r="Q72" s="90"/>
      <c r="R72" s="91"/>
      <c r="S72" s="154">
        <f t="shared" si="6"/>
        <v>-6.0000000000013642</v>
      </c>
      <c r="U72" s="180"/>
      <c r="W72" s="16"/>
      <c r="X72" s="77"/>
      <c r="Y72" s="429"/>
      <c r="Z72" s="89">
        <f t="shared" si="2"/>
        <v>0</v>
      </c>
      <c r="AA72" s="90"/>
      <c r="AB72" s="91"/>
      <c r="AC72" s="154">
        <f t="shared" si="8"/>
        <v>9.0949470177292824E-13</v>
      </c>
    </row>
    <row r="73" spans="1:29" x14ac:dyDescent="0.25">
      <c r="A73" s="180"/>
      <c r="C73" s="16"/>
      <c r="D73" s="77"/>
      <c r="E73" s="429"/>
      <c r="F73" s="89">
        <f>D73</f>
        <v>0</v>
      </c>
      <c r="G73" s="90"/>
      <c r="H73" s="91"/>
      <c r="I73" s="154">
        <f t="shared" si="4"/>
        <v>-6.0000000000022737</v>
      </c>
      <c r="K73" s="180"/>
      <c r="M73" s="16"/>
      <c r="N73" s="77"/>
      <c r="O73" s="429"/>
      <c r="P73" s="89">
        <f>N73</f>
        <v>0</v>
      </c>
      <c r="Q73" s="90"/>
      <c r="R73" s="91"/>
      <c r="S73" s="154">
        <f t="shared" si="6"/>
        <v>-6.0000000000013642</v>
      </c>
      <c r="U73" s="180"/>
      <c r="W73" s="16"/>
      <c r="X73" s="77"/>
      <c r="Y73" s="429"/>
      <c r="Z73" s="89">
        <f>X73</f>
        <v>0</v>
      </c>
      <c r="AA73" s="90"/>
      <c r="AB73" s="91"/>
      <c r="AC73" s="154">
        <f t="shared" si="8"/>
        <v>9.0949470177292824E-13</v>
      </c>
    </row>
    <row r="74" spans="1:29" x14ac:dyDescent="0.25">
      <c r="A74" s="180"/>
      <c r="C74" s="16"/>
      <c r="D74" s="77"/>
      <c r="E74" s="429"/>
      <c r="F74" s="89">
        <f>D74</f>
        <v>0</v>
      </c>
      <c r="G74" s="90"/>
      <c r="H74" s="91"/>
      <c r="I74" s="154">
        <f t="shared" si="4"/>
        <v>-6.0000000000022737</v>
      </c>
      <c r="K74" s="180"/>
      <c r="M74" s="16"/>
      <c r="N74" s="77"/>
      <c r="O74" s="429"/>
      <c r="P74" s="89">
        <f>N74</f>
        <v>0</v>
      </c>
      <c r="Q74" s="90"/>
      <c r="R74" s="91"/>
      <c r="S74" s="154">
        <f t="shared" si="6"/>
        <v>-6.0000000000013642</v>
      </c>
      <c r="U74" s="180"/>
      <c r="W74" s="16"/>
      <c r="X74" s="77"/>
      <c r="Y74" s="429"/>
      <c r="Z74" s="89">
        <f>X74</f>
        <v>0</v>
      </c>
      <c r="AA74" s="90"/>
      <c r="AB74" s="91"/>
      <c r="AC74" s="154">
        <f t="shared" si="8"/>
        <v>9.0949470177292824E-13</v>
      </c>
    </row>
    <row r="75" spans="1:29" x14ac:dyDescent="0.25">
      <c r="A75" s="180"/>
      <c r="C75" s="16"/>
      <c r="D75" s="77"/>
      <c r="E75" s="429"/>
      <c r="F75" s="89">
        <f>D75</f>
        <v>0</v>
      </c>
      <c r="G75" s="90"/>
      <c r="H75" s="91"/>
      <c r="I75" s="154">
        <f t="shared" ref="I75" si="14">I74-F75</f>
        <v>-6.0000000000022737</v>
      </c>
      <c r="K75" s="180"/>
      <c r="M75" s="16"/>
      <c r="N75" s="77"/>
      <c r="O75" s="429"/>
      <c r="P75" s="89">
        <f>N75</f>
        <v>0</v>
      </c>
      <c r="Q75" s="90"/>
      <c r="R75" s="91"/>
      <c r="S75" s="154">
        <f t="shared" ref="S75" si="15">S74-P75</f>
        <v>-6.0000000000013642</v>
      </c>
      <c r="U75" s="180"/>
      <c r="W75" s="16"/>
      <c r="X75" s="77"/>
      <c r="Y75" s="429"/>
      <c r="Z75" s="89">
        <f>X75</f>
        <v>0</v>
      </c>
      <c r="AA75" s="90"/>
      <c r="AB75" s="91"/>
      <c r="AC75" s="154">
        <f t="shared" ref="AC75" si="16">AC74-Z75</f>
        <v>9.0949470177292824E-13</v>
      </c>
    </row>
    <row r="76" spans="1:29" ht="15.75" thickBot="1" x14ac:dyDescent="0.3">
      <c r="A76" s="180"/>
      <c r="B76" s="17"/>
      <c r="C76" s="61"/>
      <c r="D76" s="156"/>
      <c r="E76" s="390"/>
      <c r="F76" s="149"/>
      <c r="G76" s="150"/>
      <c r="H76" s="78"/>
      <c r="I76" s="79"/>
      <c r="K76" s="180"/>
      <c r="L76" s="17"/>
      <c r="M76" s="61"/>
      <c r="N76" s="156"/>
      <c r="O76" s="390"/>
      <c r="P76" s="149"/>
      <c r="Q76" s="150"/>
      <c r="R76" s="78"/>
      <c r="S76" s="79"/>
      <c r="U76" s="180"/>
      <c r="V76" s="17"/>
      <c r="W76" s="61"/>
      <c r="X76" s="156"/>
      <c r="Y76" s="390"/>
      <c r="Z76" s="149"/>
      <c r="AA76" s="150"/>
      <c r="AB76" s="78"/>
      <c r="AC76" s="79"/>
    </row>
    <row r="77" spans="1:29" x14ac:dyDescent="0.25">
      <c r="C77" s="62">
        <f>SUM(C9:C76)</f>
        <v>429</v>
      </c>
      <c r="D77" s="7">
        <f>SUM(D9:D76)</f>
        <v>12073.550000000001</v>
      </c>
      <c r="F77" s="7">
        <f>SUM(F9:F76)</f>
        <v>12073.550000000001</v>
      </c>
      <c r="I77" s="79"/>
      <c r="M77" s="62">
        <f>SUM(M9:M76)</f>
        <v>323</v>
      </c>
      <c r="N77" s="7">
        <f>SUM(N9:N76)</f>
        <v>9015.880000000001</v>
      </c>
      <c r="P77" s="7">
        <f>SUM(P9:P76)</f>
        <v>9015.880000000001</v>
      </c>
      <c r="S77" s="79"/>
      <c r="W77" s="62">
        <f>SUM(W9:W76)</f>
        <v>252</v>
      </c>
      <c r="X77" s="7">
        <f>SUM(X9:X76)</f>
        <v>7287.96</v>
      </c>
      <c r="Z77" s="7">
        <f>SUM(Z9:Z76)</f>
        <v>7287.96</v>
      </c>
      <c r="AC77" s="79"/>
    </row>
    <row r="78" spans="1:29" x14ac:dyDescent="0.25">
      <c r="I78" s="79"/>
      <c r="S78" s="79"/>
      <c r="AC78" s="79"/>
    </row>
    <row r="79" spans="1:29" ht="15.75" thickBot="1" x14ac:dyDescent="0.3">
      <c r="I79" s="79"/>
      <c r="S79" s="79"/>
      <c r="AC79" s="79"/>
    </row>
    <row r="80" spans="1:29" ht="15.75" thickBot="1" x14ac:dyDescent="0.3">
      <c r="D80" s="49" t="s">
        <v>4</v>
      </c>
      <c r="E80" s="72">
        <f>F5+F6-C77+F7+F4</f>
        <v>0</v>
      </c>
      <c r="I80" s="79"/>
      <c r="N80" s="49" t="s">
        <v>4</v>
      </c>
      <c r="O80" s="72">
        <f>P5+P6-M77+P7+P4</f>
        <v>0</v>
      </c>
      <c r="S80" s="79"/>
      <c r="X80" s="49" t="s">
        <v>4</v>
      </c>
      <c r="Y80" s="72">
        <f>Z5+Z6-W77+Z7+Z4</f>
        <v>0</v>
      </c>
      <c r="AC80" s="79"/>
    </row>
    <row r="81" spans="3:29" ht="15.75" thickBot="1" x14ac:dyDescent="0.3">
      <c r="I81" s="79"/>
      <c r="S81" s="79"/>
      <c r="AC81" s="79"/>
    </row>
    <row r="82" spans="3:29" ht="15.75" thickBot="1" x14ac:dyDescent="0.3">
      <c r="C82" s="751" t="s">
        <v>11</v>
      </c>
      <c r="D82" s="752"/>
      <c r="E82" s="74">
        <f>E5+E6-F77+E7+E4</f>
        <v>-6</v>
      </c>
      <c r="F82" s="97"/>
      <c r="I82" s="79"/>
      <c r="M82" s="751" t="s">
        <v>11</v>
      </c>
      <c r="N82" s="752"/>
      <c r="O82" s="74">
        <f>O5+O6-P77+O7+O4</f>
        <v>-6.000000000001819</v>
      </c>
      <c r="P82" s="97"/>
      <c r="S82" s="79"/>
      <c r="W82" s="751" t="s">
        <v>11</v>
      </c>
      <c r="X82" s="752"/>
      <c r="Y82" s="74">
        <f>Y5+Y6-Z77+Y7+Y4</f>
        <v>0</v>
      </c>
      <c r="Z82" s="97"/>
      <c r="AC82" s="79"/>
    </row>
    <row r="83" spans="3:29" x14ac:dyDescent="0.25">
      <c r="I83" s="79"/>
      <c r="S83" s="79"/>
      <c r="AC83" s="79"/>
    </row>
  </sheetData>
  <mergeCells count="9">
    <mergeCell ref="U1:AA1"/>
    <mergeCell ref="U5:U6"/>
    <mergeCell ref="W82:X82"/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K82"/>
  <sheetViews>
    <sheetView workbookViewId="0">
      <pane ySplit="8" topLeftCell="A22" activePane="bottomLeft" state="frozen"/>
      <selection pane="bottomLeft" activeCell="B28" sqref="B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1" ht="40.5" x14ac:dyDescent="0.55000000000000004">
      <c r="A1" s="745"/>
      <c r="B1" s="745"/>
      <c r="C1" s="745"/>
      <c r="D1" s="745"/>
      <c r="E1" s="745"/>
      <c r="F1" s="745"/>
      <c r="G1" s="745"/>
      <c r="H1" s="12">
        <v>1</v>
      </c>
    </row>
    <row r="2" spans="1:11" ht="15.75" thickBot="1" x14ac:dyDescent="0.3">
      <c r="C2" s="13"/>
      <c r="D2" s="13"/>
      <c r="F2" s="13"/>
    </row>
    <row r="3" spans="1:1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11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11" x14ac:dyDescent="0.25">
      <c r="A5" s="753"/>
      <c r="B5" s="753"/>
      <c r="C5" s="598"/>
      <c r="D5" s="563"/>
      <c r="E5" s="599"/>
      <c r="F5" s="571"/>
      <c r="G5" s="600"/>
      <c r="H5" t="s">
        <v>41</v>
      </c>
    </row>
    <row r="6" spans="1:11" ht="15.75" x14ac:dyDescent="0.25">
      <c r="A6" s="753"/>
      <c r="B6" s="753"/>
      <c r="C6" s="601"/>
      <c r="D6" s="602"/>
      <c r="E6" s="599"/>
      <c r="F6" s="571"/>
      <c r="G6" s="603"/>
      <c r="H6" s="8">
        <f>E6-G6+E7+E5-G5</f>
        <v>0</v>
      </c>
    </row>
    <row r="7" spans="1:11" ht="15.75" thickBot="1" x14ac:dyDescent="0.3">
      <c r="B7" s="20"/>
      <c r="C7" s="220"/>
      <c r="D7" s="241"/>
      <c r="E7" s="116"/>
      <c r="F7" s="80"/>
    </row>
    <row r="8" spans="1:11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1" ht="15.75" thickTop="1" x14ac:dyDescent="0.25">
      <c r="A9" s="120" t="s">
        <v>32</v>
      </c>
      <c r="B9" s="125">
        <f>F6-C9+F5</f>
        <v>0</v>
      </c>
      <c r="C9" s="16"/>
      <c r="D9" s="89"/>
      <c r="E9" s="404"/>
      <c r="F9" s="89">
        <f t="shared" ref="F9:F72" si="0">D9</f>
        <v>0</v>
      </c>
      <c r="G9" s="90"/>
      <c r="H9" s="91"/>
      <c r="I9" s="116">
        <f>E6-F9+E5</f>
        <v>0</v>
      </c>
    </row>
    <row r="10" spans="1:11" x14ac:dyDescent="0.25">
      <c r="A10" s="379"/>
      <c r="B10" s="125">
        <f>B9-C10</f>
        <v>0</v>
      </c>
      <c r="C10" s="16"/>
      <c r="D10" s="89"/>
      <c r="E10" s="404"/>
      <c r="F10" s="89">
        <f t="shared" si="0"/>
        <v>0</v>
      </c>
      <c r="G10" s="90"/>
      <c r="H10" s="91"/>
      <c r="I10" s="116">
        <f>I9-F10</f>
        <v>0</v>
      </c>
    </row>
    <row r="11" spans="1:11" x14ac:dyDescent="0.25">
      <c r="A11" s="348"/>
      <c r="B11" s="125">
        <f t="shared" ref="B11:B21" si="1">B10-C11</f>
        <v>0</v>
      </c>
      <c r="C11" s="16"/>
      <c r="D11" s="89"/>
      <c r="E11" s="404"/>
      <c r="F11" s="89">
        <f t="shared" si="0"/>
        <v>0</v>
      </c>
      <c r="G11" s="90"/>
      <c r="H11" s="91"/>
      <c r="I11" s="116">
        <f t="shared" ref="I11:I74" si="2">I10-F11</f>
        <v>0</v>
      </c>
    </row>
    <row r="12" spans="1:11" x14ac:dyDescent="0.25">
      <c r="A12" s="122" t="s">
        <v>33</v>
      </c>
      <c r="B12" s="125">
        <f t="shared" si="1"/>
        <v>0</v>
      </c>
      <c r="C12" s="16"/>
      <c r="D12" s="89"/>
      <c r="E12" s="404"/>
      <c r="F12" s="89">
        <f t="shared" si="0"/>
        <v>0</v>
      </c>
      <c r="G12" s="90"/>
      <c r="H12" s="91"/>
      <c r="I12" s="116">
        <f t="shared" si="2"/>
        <v>0</v>
      </c>
    </row>
    <row r="13" spans="1:11" x14ac:dyDescent="0.25">
      <c r="A13" s="97"/>
      <c r="B13" s="604">
        <f t="shared" si="1"/>
        <v>0</v>
      </c>
      <c r="C13" s="605"/>
      <c r="D13" s="606"/>
      <c r="E13" s="607"/>
      <c r="F13" s="606">
        <f t="shared" si="0"/>
        <v>0</v>
      </c>
      <c r="G13" s="608"/>
      <c r="H13" s="609"/>
      <c r="I13" s="599">
        <f t="shared" si="2"/>
        <v>0</v>
      </c>
      <c r="J13" s="531"/>
      <c r="K13" s="531"/>
    </row>
    <row r="14" spans="1:11" x14ac:dyDescent="0.25">
      <c r="A14" s="97"/>
      <c r="B14" s="125">
        <f t="shared" si="1"/>
        <v>0</v>
      </c>
      <c r="C14" s="16"/>
      <c r="D14" s="89"/>
      <c r="E14" s="404"/>
      <c r="F14" s="89">
        <f t="shared" si="0"/>
        <v>0</v>
      </c>
      <c r="G14" s="90"/>
      <c r="H14" s="91"/>
      <c r="I14" s="116">
        <f t="shared" si="2"/>
        <v>0</v>
      </c>
    </row>
    <row r="15" spans="1:11" x14ac:dyDescent="0.25">
      <c r="B15" s="125">
        <f t="shared" si="1"/>
        <v>0</v>
      </c>
      <c r="C15" s="16"/>
      <c r="D15" s="89"/>
      <c r="E15" s="404"/>
      <c r="F15" s="89">
        <f t="shared" si="0"/>
        <v>0</v>
      </c>
      <c r="G15" s="90"/>
      <c r="H15" s="91"/>
      <c r="I15" s="116">
        <f t="shared" si="2"/>
        <v>0</v>
      </c>
    </row>
    <row r="16" spans="1:11" x14ac:dyDescent="0.25">
      <c r="B16" s="125">
        <f t="shared" si="1"/>
        <v>0</v>
      </c>
      <c r="C16" s="16"/>
      <c r="D16" s="89"/>
      <c r="E16" s="404"/>
      <c r="F16" s="89">
        <f t="shared" si="0"/>
        <v>0</v>
      </c>
      <c r="G16" s="90"/>
      <c r="H16" s="91"/>
      <c r="I16" s="116">
        <f t="shared" si="2"/>
        <v>0</v>
      </c>
    </row>
    <row r="17" spans="1:9" x14ac:dyDescent="0.25">
      <c r="A17" s="180"/>
      <c r="B17" s="125">
        <f t="shared" si="1"/>
        <v>0</v>
      </c>
      <c r="C17" s="16"/>
      <c r="D17" s="89"/>
      <c r="E17" s="404"/>
      <c r="F17" s="89">
        <f t="shared" si="0"/>
        <v>0</v>
      </c>
      <c r="G17" s="90"/>
      <c r="H17" s="91"/>
      <c r="I17" s="116">
        <f t="shared" si="2"/>
        <v>0</v>
      </c>
    </row>
    <row r="18" spans="1:9" x14ac:dyDescent="0.25">
      <c r="A18" s="180"/>
      <c r="B18" s="125">
        <f t="shared" si="1"/>
        <v>0</v>
      </c>
      <c r="C18" s="16"/>
      <c r="D18" s="89"/>
      <c r="E18" s="404"/>
      <c r="F18" s="89">
        <f t="shared" si="0"/>
        <v>0</v>
      </c>
      <c r="G18" s="90"/>
      <c r="H18" s="91"/>
      <c r="I18" s="116">
        <f t="shared" si="2"/>
        <v>0</v>
      </c>
    </row>
    <row r="19" spans="1:9" x14ac:dyDescent="0.25">
      <c r="A19" s="180"/>
      <c r="B19" s="125">
        <f t="shared" si="1"/>
        <v>0</v>
      </c>
      <c r="C19" s="16"/>
      <c r="D19" s="89"/>
      <c r="E19" s="404"/>
      <c r="F19" s="89">
        <f t="shared" si="0"/>
        <v>0</v>
      </c>
      <c r="G19" s="90"/>
      <c r="H19" s="91"/>
      <c r="I19" s="116">
        <f t="shared" si="2"/>
        <v>0</v>
      </c>
    </row>
    <row r="20" spans="1:9" x14ac:dyDescent="0.25">
      <c r="A20" s="180"/>
      <c r="B20" s="125">
        <f t="shared" si="1"/>
        <v>0</v>
      </c>
      <c r="C20" s="16"/>
      <c r="D20" s="89"/>
      <c r="E20" s="404"/>
      <c r="F20" s="89">
        <f t="shared" si="0"/>
        <v>0</v>
      </c>
      <c r="G20" s="90"/>
      <c r="H20" s="91"/>
      <c r="I20" s="116">
        <f t="shared" si="2"/>
        <v>0</v>
      </c>
    </row>
    <row r="21" spans="1:9" x14ac:dyDescent="0.25">
      <c r="A21" s="180"/>
      <c r="B21" s="125">
        <f t="shared" si="1"/>
        <v>0</v>
      </c>
      <c r="C21" s="16"/>
      <c r="D21" s="89"/>
      <c r="E21" s="404"/>
      <c r="F21" s="89">
        <f t="shared" si="0"/>
        <v>0</v>
      </c>
      <c r="G21" s="90"/>
      <c r="H21" s="91"/>
      <c r="I21" s="116">
        <f t="shared" si="2"/>
        <v>0</v>
      </c>
    </row>
    <row r="22" spans="1:9" x14ac:dyDescent="0.25">
      <c r="A22" s="181"/>
      <c r="B22" s="125">
        <f>B21-C22</f>
        <v>0</v>
      </c>
      <c r="C22" s="16"/>
      <c r="D22" s="89"/>
      <c r="E22" s="404"/>
      <c r="F22" s="89">
        <f t="shared" si="0"/>
        <v>0</v>
      </c>
      <c r="G22" s="90"/>
      <c r="H22" s="91"/>
      <c r="I22" s="116">
        <f t="shared" si="2"/>
        <v>0</v>
      </c>
    </row>
    <row r="23" spans="1:9" x14ac:dyDescent="0.25">
      <c r="A23" s="180"/>
      <c r="B23" s="125">
        <f t="shared" ref="B23:B53" si="3">B22-C23</f>
        <v>0</v>
      </c>
      <c r="C23" s="16"/>
      <c r="D23" s="89"/>
      <c r="E23" s="404"/>
      <c r="F23" s="89">
        <f t="shared" si="0"/>
        <v>0</v>
      </c>
      <c r="G23" s="90"/>
      <c r="H23" s="91"/>
      <c r="I23" s="116">
        <f t="shared" si="2"/>
        <v>0</v>
      </c>
    </row>
    <row r="24" spans="1:9" x14ac:dyDescent="0.25">
      <c r="A24" s="180"/>
      <c r="B24" s="125">
        <f t="shared" si="3"/>
        <v>0</v>
      </c>
      <c r="C24" s="16"/>
      <c r="D24" s="89"/>
      <c r="E24" s="404"/>
      <c r="F24" s="89">
        <f t="shared" si="0"/>
        <v>0</v>
      </c>
      <c r="G24" s="90"/>
      <c r="H24" s="91"/>
      <c r="I24" s="116">
        <f t="shared" si="2"/>
        <v>0</v>
      </c>
    </row>
    <row r="25" spans="1:9" x14ac:dyDescent="0.25">
      <c r="A25" s="180"/>
      <c r="B25" s="125">
        <f t="shared" si="3"/>
        <v>0</v>
      </c>
      <c r="C25" s="16"/>
      <c r="D25" s="89"/>
      <c r="E25" s="404"/>
      <c r="F25" s="606">
        <f t="shared" si="0"/>
        <v>0</v>
      </c>
      <c r="G25" s="608"/>
      <c r="H25" s="609"/>
      <c r="I25" s="599">
        <f t="shared" si="2"/>
        <v>0</v>
      </c>
    </row>
    <row r="26" spans="1:9" x14ac:dyDescent="0.25">
      <c r="A26" s="180"/>
      <c r="B26" s="125">
        <f t="shared" si="3"/>
        <v>0</v>
      </c>
      <c r="C26" s="16"/>
      <c r="D26" s="89"/>
      <c r="E26" s="404"/>
      <c r="F26" s="606">
        <f t="shared" si="0"/>
        <v>0</v>
      </c>
      <c r="G26" s="608"/>
      <c r="H26" s="609"/>
      <c r="I26" s="599">
        <f t="shared" si="2"/>
        <v>0</v>
      </c>
    </row>
    <row r="27" spans="1:9" x14ac:dyDescent="0.25">
      <c r="A27" s="180"/>
      <c r="B27" s="125">
        <f t="shared" si="3"/>
        <v>0</v>
      </c>
      <c r="C27" s="16"/>
      <c r="D27" s="89"/>
      <c r="E27" s="404"/>
      <c r="F27" s="606">
        <f t="shared" si="0"/>
        <v>0</v>
      </c>
      <c r="G27" s="608"/>
      <c r="H27" s="609"/>
      <c r="I27" s="599">
        <f t="shared" si="2"/>
        <v>0</v>
      </c>
    </row>
    <row r="28" spans="1:9" x14ac:dyDescent="0.25">
      <c r="A28" s="180"/>
      <c r="B28" s="125">
        <f t="shared" si="3"/>
        <v>0</v>
      </c>
      <c r="C28" s="16"/>
      <c r="D28" s="89"/>
      <c r="E28" s="404"/>
      <c r="F28" s="606">
        <f t="shared" si="0"/>
        <v>0</v>
      </c>
      <c r="G28" s="608"/>
      <c r="H28" s="609"/>
      <c r="I28" s="599">
        <f t="shared" si="2"/>
        <v>0</v>
      </c>
    </row>
    <row r="29" spans="1:9" x14ac:dyDescent="0.25">
      <c r="A29" s="180"/>
      <c r="B29" s="125">
        <f t="shared" si="3"/>
        <v>0</v>
      </c>
      <c r="C29" s="16"/>
      <c r="D29" s="89"/>
      <c r="E29" s="404"/>
      <c r="F29" s="606">
        <f t="shared" si="0"/>
        <v>0</v>
      </c>
      <c r="G29" s="608"/>
      <c r="H29" s="609"/>
      <c r="I29" s="599">
        <f t="shared" si="2"/>
        <v>0</v>
      </c>
    </row>
    <row r="30" spans="1:9" x14ac:dyDescent="0.25">
      <c r="A30" s="180"/>
      <c r="B30" s="125">
        <f t="shared" si="3"/>
        <v>0</v>
      </c>
      <c r="C30" s="16"/>
      <c r="D30" s="89"/>
      <c r="E30" s="404"/>
      <c r="F30" s="606">
        <f t="shared" si="0"/>
        <v>0</v>
      </c>
      <c r="G30" s="608"/>
      <c r="H30" s="609"/>
      <c r="I30" s="599">
        <f t="shared" si="2"/>
        <v>0</v>
      </c>
    </row>
    <row r="31" spans="1:9" x14ac:dyDescent="0.25">
      <c r="A31" s="180"/>
      <c r="B31" s="125">
        <f t="shared" si="3"/>
        <v>0</v>
      </c>
      <c r="C31" s="16"/>
      <c r="D31" s="89"/>
      <c r="E31" s="404"/>
      <c r="F31" s="606">
        <f t="shared" si="0"/>
        <v>0</v>
      </c>
      <c r="G31" s="608"/>
      <c r="H31" s="609"/>
      <c r="I31" s="599">
        <f t="shared" si="2"/>
        <v>0</v>
      </c>
    </row>
    <row r="32" spans="1:9" x14ac:dyDescent="0.25">
      <c r="A32" s="180"/>
      <c r="B32" s="125">
        <f t="shared" si="3"/>
        <v>0</v>
      </c>
      <c r="C32" s="16"/>
      <c r="D32" s="89"/>
      <c r="E32" s="404"/>
      <c r="F32" s="606">
        <f t="shared" si="0"/>
        <v>0</v>
      </c>
      <c r="G32" s="608"/>
      <c r="H32" s="609"/>
      <c r="I32" s="599">
        <f t="shared" si="2"/>
        <v>0</v>
      </c>
    </row>
    <row r="33" spans="1:9" x14ac:dyDescent="0.25">
      <c r="A33" s="180"/>
      <c r="B33" s="125">
        <f t="shared" si="3"/>
        <v>0</v>
      </c>
      <c r="C33" s="16"/>
      <c r="D33" s="89"/>
      <c r="E33" s="404"/>
      <c r="F33" s="606">
        <f t="shared" si="0"/>
        <v>0</v>
      </c>
      <c r="G33" s="608"/>
      <c r="H33" s="609"/>
      <c r="I33" s="599">
        <f t="shared" si="2"/>
        <v>0</v>
      </c>
    </row>
    <row r="34" spans="1:9" x14ac:dyDescent="0.25">
      <c r="A34" s="180"/>
      <c r="B34" s="125">
        <f t="shared" si="3"/>
        <v>0</v>
      </c>
      <c r="C34" s="16"/>
      <c r="D34" s="89"/>
      <c r="E34" s="404"/>
      <c r="F34" s="606">
        <f t="shared" si="0"/>
        <v>0</v>
      </c>
      <c r="G34" s="608"/>
      <c r="H34" s="609"/>
      <c r="I34" s="599">
        <f t="shared" si="2"/>
        <v>0</v>
      </c>
    </row>
    <row r="35" spans="1:9" x14ac:dyDescent="0.25">
      <c r="A35" s="180" t="s">
        <v>22</v>
      </c>
      <c r="B35" s="125">
        <f t="shared" si="3"/>
        <v>0</v>
      </c>
      <c r="C35" s="16"/>
      <c r="D35" s="89"/>
      <c r="E35" s="404"/>
      <c r="F35" s="606">
        <f t="shared" si="0"/>
        <v>0</v>
      </c>
      <c r="G35" s="608"/>
      <c r="H35" s="609"/>
      <c r="I35" s="599">
        <f t="shared" si="2"/>
        <v>0</v>
      </c>
    </row>
    <row r="36" spans="1:9" x14ac:dyDescent="0.25">
      <c r="A36" s="181"/>
      <c r="B36" s="125">
        <f t="shared" si="3"/>
        <v>0</v>
      </c>
      <c r="C36" s="16"/>
      <c r="D36" s="89"/>
      <c r="E36" s="404"/>
      <c r="F36" s="606">
        <f t="shared" si="0"/>
        <v>0</v>
      </c>
      <c r="G36" s="608"/>
      <c r="H36" s="609"/>
      <c r="I36" s="599">
        <f t="shared" si="2"/>
        <v>0</v>
      </c>
    </row>
    <row r="37" spans="1:9" x14ac:dyDescent="0.25">
      <c r="A37" s="180"/>
      <c r="B37" s="125">
        <f t="shared" si="3"/>
        <v>0</v>
      </c>
      <c r="C37" s="16"/>
      <c r="D37" s="89"/>
      <c r="E37" s="404"/>
      <c r="F37" s="606">
        <f t="shared" si="0"/>
        <v>0</v>
      </c>
      <c r="G37" s="608"/>
      <c r="H37" s="609"/>
      <c r="I37" s="599">
        <f t="shared" si="2"/>
        <v>0</v>
      </c>
    </row>
    <row r="38" spans="1:9" x14ac:dyDescent="0.25">
      <c r="A38" s="180"/>
      <c r="B38" s="125">
        <f t="shared" si="3"/>
        <v>0</v>
      </c>
      <c r="C38" s="16"/>
      <c r="D38" s="89"/>
      <c r="E38" s="404"/>
      <c r="F38" s="606">
        <f t="shared" si="0"/>
        <v>0</v>
      </c>
      <c r="G38" s="608"/>
      <c r="H38" s="609"/>
      <c r="I38" s="599">
        <f t="shared" si="2"/>
        <v>0</v>
      </c>
    </row>
    <row r="39" spans="1:9" x14ac:dyDescent="0.25">
      <c r="A39" s="180"/>
      <c r="B39" s="125">
        <f t="shared" si="3"/>
        <v>0</v>
      </c>
      <c r="C39" s="16"/>
      <c r="D39" s="89"/>
      <c r="E39" s="404"/>
      <c r="F39" s="606">
        <f t="shared" si="0"/>
        <v>0</v>
      </c>
      <c r="G39" s="608"/>
      <c r="H39" s="609"/>
      <c r="I39" s="599">
        <f t="shared" si="2"/>
        <v>0</v>
      </c>
    </row>
    <row r="40" spans="1:9" x14ac:dyDescent="0.25">
      <c r="A40" s="180"/>
      <c r="B40" s="125">
        <f t="shared" si="3"/>
        <v>0</v>
      </c>
      <c r="C40" s="16"/>
      <c r="D40" s="89"/>
      <c r="E40" s="404"/>
      <c r="F40" s="606">
        <f t="shared" si="0"/>
        <v>0</v>
      </c>
      <c r="G40" s="608"/>
      <c r="H40" s="609"/>
      <c r="I40" s="599">
        <f t="shared" si="2"/>
        <v>0</v>
      </c>
    </row>
    <row r="41" spans="1:9" x14ac:dyDescent="0.25">
      <c r="A41" s="180"/>
      <c r="B41" s="125">
        <f t="shared" si="3"/>
        <v>0</v>
      </c>
      <c r="C41" s="16"/>
      <c r="D41" s="89"/>
      <c r="E41" s="404"/>
      <c r="F41" s="606">
        <f t="shared" si="0"/>
        <v>0</v>
      </c>
      <c r="G41" s="608"/>
      <c r="H41" s="609"/>
      <c r="I41" s="599">
        <f t="shared" si="2"/>
        <v>0</v>
      </c>
    </row>
    <row r="42" spans="1:9" x14ac:dyDescent="0.25">
      <c r="A42" s="180"/>
      <c r="B42" s="125">
        <f t="shared" si="3"/>
        <v>0</v>
      </c>
      <c r="C42" s="16"/>
      <c r="D42" s="89"/>
      <c r="E42" s="404"/>
      <c r="F42" s="606">
        <f t="shared" si="0"/>
        <v>0</v>
      </c>
      <c r="G42" s="608"/>
      <c r="H42" s="609"/>
      <c r="I42" s="599">
        <f t="shared" si="2"/>
        <v>0</v>
      </c>
    </row>
    <row r="43" spans="1:9" x14ac:dyDescent="0.25">
      <c r="A43" s="180"/>
      <c r="B43" s="125">
        <f t="shared" si="3"/>
        <v>0</v>
      </c>
      <c r="C43" s="16"/>
      <c r="D43" s="89"/>
      <c r="E43" s="404"/>
      <c r="F43" s="89">
        <f t="shared" si="0"/>
        <v>0</v>
      </c>
      <c r="G43" s="90"/>
      <c r="H43" s="91"/>
      <c r="I43" s="116">
        <f t="shared" si="2"/>
        <v>0</v>
      </c>
    </row>
    <row r="44" spans="1:9" x14ac:dyDescent="0.25">
      <c r="A44" s="180"/>
      <c r="B44" s="125">
        <f t="shared" si="3"/>
        <v>0</v>
      </c>
      <c r="C44" s="16"/>
      <c r="D44" s="89"/>
      <c r="E44" s="404"/>
      <c r="F44" s="89">
        <f t="shared" si="0"/>
        <v>0</v>
      </c>
      <c r="G44" s="90"/>
      <c r="H44" s="91"/>
      <c r="I44" s="116">
        <f t="shared" si="2"/>
        <v>0</v>
      </c>
    </row>
    <row r="45" spans="1:9" x14ac:dyDescent="0.25">
      <c r="A45" s="180"/>
      <c r="B45" s="125">
        <f t="shared" si="3"/>
        <v>0</v>
      </c>
      <c r="C45" s="16"/>
      <c r="D45" s="89"/>
      <c r="E45" s="404"/>
      <c r="F45" s="89">
        <f t="shared" si="0"/>
        <v>0</v>
      </c>
      <c r="G45" s="90"/>
      <c r="H45" s="91"/>
      <c r="I45" s="116">
        <f t="shared" si="2"/>
        <v>0</v>
      </c>
    </row>
    <row r="46" spans="1:9" x14ac:dyDescent="0.25">
      <c r="A46" s="180"/>
      <c r="B46" s="125">
        <f t="shared" si="3"/>
        <v>0</v>
      </c>
      <c r="C46" s="16"/>
      <c r="D46" s="89"/>
      <c r="E46" s="404"/>
      <c r="F46" s="89">
        <f t="shared" si="0"/>
        <v>0</v>
      </c>
      <c r="G46" s="90"/>
      <c r="H46" s="91"/>
      <c r="I46" s="116">
        <f t="shared" si="2"/>
        <v>0</v>
      </c>
    </row>
    <row r="47" spans="1:9" x14ac:dyDescent="0.25">
      <c r="A47" s="180"/>
      <c r="B47" s="125">
        <f t="shared" si="3"/>
        <v>0</v>
      </c>
      <c r="C47" s="16"/>
      <c r="D47" s="89"/>
      <c r="E47" s="404"/>
      <c r="F47" s="89">
        <f t="shared" si="0"/>
        <v>0</v>
      </c>
      <c r="G47" s="90"/>
      <c r="H47" s="91"/>
      <c r="I47" s="116">
        <f t="shared" si="2"/>
        <v>0</v>
      </c>
    </row>
    <row r="48" spans="1:9" x14ac:dyDescent="0.25">
      <c r="A48" s="180"/>
      <c r="B48" s="125">
        <f t="shared" si="3"/>
        <v>0</v>
      </c>
      <c r="C48" s="16"/>
      <c r="D48" s="89"/>
      <c r="E48" s="404"/>
      <c r="F48" s="89">
        <f t="shared" si="0"/>
        <v>0</v>
      </c>
      <c r="G48" s="90"/>
      <c r="H48" s="91"/>
      <c r="I48" s="116">
        <f t="shared" si="2"/>
        <v>0</v>
      </c>
    </row>
    <row r="49" spans="1:9" x14ac:dyDescent="0.25">
      <c r="A49" s="180"/>
      <c r="B49" s="125">
        <f t="shared" si="3"/>
        <v>0</v>
      </c>
      <c r="C49" s="16"/>
      <c r="D49" s="89"/>
      <c r="E49" s="404"/>
      <c r="F49" s="89">
        <f t="shared" si="0"/>
        <v>0</v>
      </c>
      <c r="G49" s="90"/>
      <c r="H49" s="91"/>
      <c r="I49" s="116">
        <f t="shared" si="2"/>
        <v>0</v>
      </c>
    </row>
    <row r="50" spans="1:9" x14ac:dyDescent="0.25">
      <c r="A50" s="180"/>
      <c r="B50" s="125">
        <f t="shared" si="3"/>
        <v>0</v>
      </c>
      <c r="C50" s="16"/>
      <c r="D50" s="89"/>
      <c r="E50" s="404"/>
      <c r="F50" s="89">
        <f t="shared" si="0"/>
        <v>0</v>
      </c>
      <c r="G50" s="90"/>
      <c r="H50" s="91"/>
      <c r="I50" s="116">
        <f t="shared" si="2"/>
        <v>0</v>
      </c>
    </row>
    <row r="51" spans="1:9" x14ac:dyDescent="0.25">
      <c r="A51" s="180"/>
      <c r="B51" s="125">
        <f t="shared" si="3"/>
        <v>0</v>
      </c>
      <c r="C51" s="16"/>
      <c r="D51" s="89"/>
      <c r="E51" s="404"/>
      <c r="F51" s="89">
        <f t="shared" si="0"/>
        <v>0</v>
      </c>
      <c r="G51" s="90"/>
      <c r="H51" s="91"/>
      <c r="I51" s="116">
        <f t="shared" si="2"/>
        <v>0</v>
      </c>
    </row>
    <row r="52" spans="1:9" x14ac:dyDescent="0.25">
      <c r="A52" s="180"/>
      <c r="B52" s="125">
        <f t="shared" si="3"/>
        <v>0</v>
      </c>
      <c r="C52" s="16"/>
      <c r="D52" s="89"/>
      <c r="E52" s="404"/>
      <c r="F52" s="89">
        <f t="shared" si="0"/>
        <v>0</v>
      </c>
      <c r="G52" s="90"/>
      <c r="H52" s="91"/>
      <c r="I52" s="116">
        <f t="shared" si="2"/>
        <v>0</v>
      </c>
    </row>
    <row r="53" spans="1:9" x14ac:dyDescent="0.25">
      <c r="A53" s="180"/>
      <c r="B53" s="125">
        <f t="shared" si="3"/>
        <v>0</v>
      </c>
      <c r="C53" s="16"/>
      <c r="D53" s="89"/>
      <c r="E53" s="404"/>
      <c r="F53" s="89">
        <f t="shared" si="0"/>
        <v>0</v>
      </c>
      <c r="G53" s="90"/>
      <c r="H53" s="91"/>
      <c r="I53" s="116">
        <f t="shared" si="2"/>
        <v>0</v>
      </c>
    </row>
    <row r="54" spans="1:9" x14ac:dyDescent="0.25">
      <c r="A54" s="180"/>
      <c r="B54" s="13"/>
      <c r="C54" s="16"/>
      <c r="D54" s="89"/>
      <c r="E54" s="404"/>
      <c r="F54" s="89">
        <f t="shared" si="0"/>
        <v>0</v>
      </c>
      <c r="G54" s="90"/>
      <c r="H54" s="91"/>
      <c r="I54" s="116">
        <f t="shared" si="2"/>
        <v>0</v>
      </c>
    </row>
    <row r="55" spans="1:9" x14ac:dyDescent="0.25">
      <c r="A55" s="180"/>
      <c r="B55" s="13"/>
      <c r="C55" s="16"/>
      <c r="D55" s="89"/>
      <c r="E55" s="404"/>
      <c r="F55" s="89">
        <f t="shared" si="0"/>
        <v>0</v>
      </c>
      <c r="G55" s="90"/>
      <c r="H55" s="91"/>
      <c r="I55" s="116">
        <f t="shared" si="2"/>
        <v>0</v>
      </c>
    </row>
    <row r="56" spans="1:9" x14ac:dyDescent="0.25">
      <c r="A56" s="180"/>
      <c r="B56" s="13"/>
      <c r="C56" s="16"/>
      <c r="D56" s="89"/>
      <c r="E56" s="404"/>
      <c r="F56" s="89">
        <f t="shared" si="0"/>
        <v>0</v>
      </c>
      <c r="G56" s="90"/>
      <c r="H56" s="91"/>
      <c r="I56" s="116">
        <f t="shared" si="2"/>
        <v>0</v>
      </c>
    </row>
    <row r="57" spans="1:9" x14ac:dyDescent="0.25">
      <c r="A57" s="180"/>
      <c r="B57" s="13"/>
      <c r="C57" s="16"/>
      <c r="D57" s="89"/>
      <c r="E57" s="404"/>
      <c r="F57" s="89">
        <f t="shared" si="0"/>
        <v>0</v>
      </c>
      <c r="G57" s="90"/>
      <c r="H57" s="91"/>
      <c r="I57" s="116">
        <f t="shared" si="2"/>
        <v>0</v>
      </c>
    </row>
    <row r="58" spans="1:9" x14ac:dyDescent="0.25">
      <c r="A58" s="180"/>
      <c r="B58" s="13"/>
      <c r="C58" s="16"/>
      <c r="D58" s="89"/>
      <c r="E58" s="404"/>
      <c r="F58" s="89">
        <f t="shared" si="0"/>
        <v>0</v>
      </c>
      <c r="G58" s="90"/>
      <c r="H58" s="91"/>
      <c r="I58" s="116">
        <f t="shared" si="2"/>
        <v>0</v>
      </c>
    </row>
    <row r="59" spans="1:9" x14ac:dyDescent="0.25">
      <c r="A59" s="180"/>
      <c r="B59" s="13"/>
      <c r="C59" s="16"/>
      <c r="D59" s="89"/>
      <c r="E59" s="404"/>
      <c r="F59" s="89">
        <f t="shared" si="0"/>
        <v>0</v>
      </c>
      <c r="G59" s="90"/>
      <c r="H59" s="91"/>
      <c r="I59" s="116">
        <f t="shared" si="2"/>
        <v>0</v>
      </c>
    </row>
    <row r="60" spans="1:9" x14ac:dyDescent="0.25">
      <c r="A60" s="180"/>
      <c r="B60" s="13"/>
      <c r="C60" s="16"/>
      <c r="D60" s="89"/>
      <c r="E60" s="404"/>
      <c r="F60" s="89">
        <f t="shared" si="0"/>
        <v>0</v>
      </c>
      <c r="G60" s="90"/>
      <c r="H60" s="91"/>
      <c r="I60" s="116">
        <f t="shared" si="2"/>
        <v>0</v>
      </c>
    </row>
    <row r="61" spans="1:9" x14ac:dyDescent="0.25">
      <c r="A61" s="180"/>
      <c r="B61" s="13"/>
      <c r="C61" s="16"/>
      <c r="D61" s="89"/>
      <c r="E61" s="404"/>
      <c r="F61" s="89">
        <f t="shared" si="0"/>
        <v>0</v>
      </c>
      <c r="G61" s="90"/>
      <c r="H61" s="91"/>
      <c r="I61" s="116">
        <f t="shared" si="2"/>
        <v>0</v>
      </c>
    </row>
    <row r="62" spans="1:9" x14ac:dyDescent="0.25">
      <c r="A62" s="180"/>
      <c r="B62" s="13"/>
      <c r="C62" s="16"/>
      <c r="D62" s="89"/>
      <c r="E62" s="404"/>
      <c r="F62" s="89">
        <f t="shared" si="0"/>
        <v>0</v>
      </c>
      <c r="G62" s="90"/>
      <c r="H62" s="91"/>
      <c r="I62" s="116">
        <f t="shared" si="2"/>
        <v>0</v>
      </c>
    </row>
    <row r="63" spans="1:9" x14ac:dyDescent="0.25">
      <c r="A63" s="180"/>
      <c r="C63" s="16"/>
      <c r="D63" s="89"/>
      <c r="E63" s="404"/>
      <c r="F63" s="89">
        <f t="shared" si="0"/>
        <v>0</v>
      </c>
      <c r="G63" s="90"/>
      <c r="H63" s="91"/>
      <c r="I63" s="116">
        <f t="shared" si="2"/>
        <v>0</v>
      </c>
    </row>
    <row r="64" spans="1:9" x14ac:dyDescent="0.25">
      <c r="A64" s="180"/>
      <c r="C64" s="16"/>
      <c r="D64" s="89"/>
      <c r="E64" s="404"/>
      <c r="F64" s="89">
        <f t="shared" si="0"/>
        <v>0</v>
      </c>
      <c r="G64" s="90"/>
      <c r="H64" s="91"/>
      <c r="I64" s="116">
        <f t="shared" si="2"/>
        <v>0</v>
      </c>
    </row>
    <row r="65" spans="1:9" x14ac:dyDescent="0.25">
      <c r="A65" s="180"/>
      <c r="C65" s="16"/>
      <c r="D65" s="89"/>
      <c r="E65" s="404"/>
      <c r="F65" s="89">
        <f t="shared" si="0"/>
        <v>0</v>
      </c>
      <c r="G65" s="90"/>
      <c r="H65" s="91"/>
      <c r="I65" s="116">
        <f t="shared" si="2"/>
        <v>0</v>
      </c>
    </row>
    <row r="66" spans="1:9" x14ac:dyDescent="0.25">
      <c r="A66" s="180"/>
      <c r="C66" s="16"/>
      <c r="D66" s="89"/>
      <c r="E66" s="404"/>
      <c r="F66" s="89">
        <f t="shared" si="0"/>
        <v>0</v>
      </c>
      <c r="G66" s="90"/>
      <c r="H66" s="91"/>
      <c r="I66" s="116">
        <f t="shared" si="2"/>
        <v>0</v>
      </c>
    </row>
    <row r="67" spans="1:9" x14ac:dyDescent="0.25">
      <c r="A67" s="180"/>
      <c r="C67" s="16"/>
      <c r="D67" s="89"/>
      <c r="E67" s="404"/>
      <c r="F67" s="89">
        <f t="shared" si="0"/>
        <v>0</v>
      </c>
      <c r="G67" s="90"/>
      <c r="H67" s="91"/>
      <c r="I67" s="116">
        <f t="shared" si="2"/>
        <v>0</v>
      </c>
    </row>
    <row r="68" spans="1:9" x14ac:dyDescent="0.25">
      <c r="A68" s="180"/>
      <c r="C68" s="16"/>
      <c r="D68" s="89"/>
      <c r="E68" s="404"/>
      <c r="F68" s="89">
        <f t="shared" si="0"/>
        <v>0</v>
      </c>
      <c r="G68" s="90"/>
      <c r="H68" s="91"/>
      <c r="I68" s="116">
        <f t="shared" si="2"/>
        <v>0</v>
      </c>
    </row>
    <row r="69" spans="1:9" x14ac:dyDescent="0.25">
      <c r="A69" s="180"/>
      <c r="C69" s="16"/>
      <c r="D69" s="89"/>
      <c r="E69" s="404"/>
      <c r="F69" s="89">
        <f t="shared" si="0"/>
        <v>0</v>
      </c>
      <c r="G69" s="90"/>
      <c r="H69" s="91"/>
      <c r="I69" s="116">
        <f t="shared" si="2"/>
        <v>0</v>
      </c>
    </row>
    <row r="70" spans="1:9" x14ac:dyDescent="0.25">
      <c r="A70" s="180"/>
      <c r="C70" s="16"/>
      <c r="D70" s="89"/>
      <c r="E70" s="404"/>
      <c r="F70" s="89">
        <f t="shared" si="0"/>
        <v>0</v>
      </c>
      <c r="G70" s="90"/>
      <c r="H70" s="91"/>
      <c r="I70" s="116">
        <f t="shared" si="2"/>
        <v>0</v>
      </c>
    </row>
    <row r="71" spans="1:9" x14ac:dyDescent="0.25">
      <c r="A71" s="180"/>
      <c r="C71" s="16"/>
      <c r="D71" s="89"/>
      <c r="E71" s="404"/>
      <c r="F71" s="89">
        <f t="shared" si="0"/>
        <v>0</v>
      </c>
      <c r="G71" s="90"/>
      <c r="H71" s="91"/>
      <c r="I71" s="116">
        <f t="shared" si="2"/>
        <v>0</v>
      </c>
    </row>
    <row r="72" spans="1:9" x14ac:dyDescent="0.25">
      <c r="A72" s="180"/>
      <c r="C72" s="16"/>
      <c r="D72" s="89"/>
      <c r="E72" s="404"/>
      <c r="F72" s="89">
        <f t="shared" si="0"/>
        <v>0</v>
      </c>
      <c r="G72" s="90"/>
      <c r="H72" s="91"/>
      <c r="I72" s="116">
        <f t="shared" si="2"/>
        <v>0</v>
      </c>
    </row>
    <row r="73" spans="1:9" x14ac:dyDescent="0.25">
      <c r="A73" s="180"/>
      <c r="C73" s="16"/>
      <c r="D73" s="89"/>
      <c r="E73" s="404"/>
      <c r="F73" s="89">
        <f>D73</f>
        <v>0</v>
      </c>
      <c r="G73" s="90"/>
      <c r="H73" s="91"/>
      <c r="I73" s="116">
        <f t="shared" si="2"/>
        <v>0</v>
      </c>
    </row>
    <row r="74" spans="1:9" x14ac:dyDescent="0.25">
      <c r="A74" s="180"/>
      <c r="C74" s="16"/>
      <c r="D74" s="89"/>
      <c r="E74" s="404"/>
      <c r="F74" s="89">
        <f>D74</f>
        <v>0</v>
      </c>
      <c r="G74" s="90"/>
      <c r="H74" s="91"/>
      <c r="I74" s="116">
        <f t="shared" si="2"/>
        <v>0</v>
      </c>
    </row>
    <row r="75" spans="1:9" x14ac:dyDescent="0.25">
      <c r="A75" s="180"/>
      <c r="C75" s="16"/>
      <c r="D75" s="89"/>
      <c r="E75" s="404"/>
      <c r="F75" s="89">
        <f>D75</f>
        <v>0</v>
      </c>
      <c r="G75" s="90"/>
      <c r="H75" s="91"/>
      <c r="I75" s="116">
        <f t="shared" ref="I75" si="4">I74-F75</f>
        <v>0</v>
      </c>
    </row>
    <row r="76" spans="1:9" ht="15.75" thickBot="1" x14ac:dyDescent="0.3">
      <c r="A76" s="180"/>
      <c r="B76" s="17"/>
      <c r="C76" s="61"/>
      <c r="D76" s="156"/>
      <c r="E76" s="390"/>
      <c r="F76" s="149"/>
      <c r="G76" s="150"/>
      <c r="H76" s="78"/>
    </row>
    <row r="77" spans="1:9" x14ac:dyDescent="0.25">
      <c r="C77" s="62">
        <f>SUM(C9:C76)</f>
        <v>0</v>
      </c>
      <c r="D77" s="7">
        <f>SUM(D9:D76)</f>
        <v>0</v>
      </c>
      <c r="F77" s="7">
        <f>SUM(F9:F76)</f>
        <v>0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0</v>
      </c>
    </row>
    <row r="81" spans="3:6" ht="15.75" thickBot="1" x14ac:dyDescent="0.3"/>
    <row r="82" spans="3:6" ht="15.75" thickBot="1" x14ac:dyDescent="0.3">
      <c r="C82" s="751" t="s">
        <v>11</v>
      </c>
      <c r="D82" s="752"/>
      <c r="E82" s="74">
        <f>E5+E6-F77+E7</f>
        <v>0</v>
      </c>
      <c r="F82" s="97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S44"/>
  <sheetViews>
    <sheetView topLeftCell="I1" workbookViewId="0">
      <pane xSplit="3" ySplit="7" topLeftCell="M8" activePane="bottomRight" state="frozen"/>
      <selection activeCell="I1" sqref="I1"/>
      <selection pane="topRight" activeCell="L1" sqref="L1"/>
      <selection pane="bottomLeft" activeCell="I8" sqref="I8"/>
      <selection pane="bottomRight" activeCell="M12" sqref="M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5" max="5" width="10.85546875"/>
    <col min="6" max="6" width="12" customWidth="1"/>
    <col min="7" max="8" width="10.85546875"/>
    <col min="9" max="9" width="10.85546875" style="102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102"/>
  </cols>
  <sheetData>
    <row r="1" spans="1:19" ht="40.5" customHeight="1" x14ac:dyDescent="0.55000000000000004">
      <c r="A1" s="744" t="s">
        <v>250</v>
      </c>
      <c r="B1" s="744"/>
      <c r="C1" s="744"/>
      <c r="D1" s="744"/>
      <c r="E1" s="744"/>
      <c r="F1" s="744"/>
      <c r="G1" s="744"/>
      <c r="H1" s="12">
        <v>1</v>
      </c>
      <c r="K1" s="745" t="s">
        <v>244</v>
      </c>
      <c r="L1" s="745"/>
      <c r="M1" s="745"/>
      <c r="N1" s="745"/>
      <c r="O1" s="745"/>
      <c r="P1" s="745"/>
      <c r="Q1" s="745"/>
      <c r="R1" s="12">
        <v>1</v>
      </c>
    </row>
    <row r="2" spans="1:19" ht="15.75" customHeight="1" thickBot="1" x14ac:dyDescent="0.3"/>
    <row r="3" spans="1:1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5.75" customHeight="1" thickTop="1" x14ac:dyDescent="0.25">
      <c r="C4" s="190"/>
      <c r="D4" s="234"/>
      <c r="E4" s="128"/>
      <c r="F4" s="97"/>
      <c r="G4" s="41"/>
      <c r="M4" s="190"/>
      <c r="N4" s="234"/>
      <c r="O4" s="128"/>
      <c r="P4" s="97"/>
      <c r="Q4" s="41"/>
    </row>
    <row r="5" spans="1:19" ht="15" customHeight="1" x14ac:dyDescent="0.25">
      <c r="A5" s="281" t="s">
        <v>227</v>
      </c>
      <c r="B5" s="425" t="s">
        <v>228</v>
      </c>
      <c r="C5" s="248">
        <v>41.87</v>
      </c>
      <c r="D5" s="234">
        <v>43554</v>
      </c>
      <c r="E5" s="194">
        <v>993.53</v>
      </c>
      <c r="F5" s="97">
        <v>73</v>
      </c>
      <c r="G5" s="663">
        <f>F40</f>
        <v>993.53</v>
      </c>
      <c r="H5" s="8">
        <f>E5-G5+E4+E6</f>
        <v>0</v>
      </c>
      <c r="K5" s="425" t="s">
        <v>270</v>
      </c>
      <c r="L5" s="425" t="s">
        <v>228</v>
      </c>
      <c r="M5" s="248">
        <v>53</v>
      </c>
      <c r="N5" s="234">
        <v>43577</v>
      </c>
      <c r="O5" s="194">
        <v>503.94</v>
      </c>
      <c r="P5" s="97">
        <v>37</v>
      </c>
      <c r="Q5" s="663">
        <f>P40</f>
        <v>503.57</v>
      </c>
      <c r="R5" s="8">
        <f>O5-Q5+O4+O6</f>
        <v>0.37000000000000455</v>
      </c>
    </row>
    <row r="6" spans="1:19" ht="15.75" customHeight="1" thickBot="1" x14ac:dyDescent="0.3">
      <c r="B6" s="97"/>
      <c r="C6" s="248"/>
      <c r="D6" s="234"/>
      <c r="E6" s="194"/>
      <c r="F6" s="97"/>
      <c r="L6" s="97"/>
      <c r="M6" s="248"/>
      <c r="N6" s="234"/>
      <c r="O6" s="194"/>
      <c r="P6" s="97"/>
    </row>
    <row r="7" spans="1:19" ht="16.5" customHeight="1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L7" s="82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customHeight="1" thickTop="1" x14ac:dyDescent="0.25">
      <c r="A8" s="71" t="s">
        <v>32</v>
      </c>
      <c r="B8" s="131">
        <v>13.61</v>
      </c>
      <c r="C8" s="16">
        <v>1</v>
      </c>
      <c r="D8" s="89">
        <f>C8*B8</f>
        <v>13.61</v>
      </c>
      <c r="E8" s="119">
        <v>43554</v>
      </c>
      <c r="F8" s="154">
        <f t="shared" ref="F8:F39" si="0">D8</f>
        <v>13.61</v>
      </c>
      <c r="G8" s="90" t="s">
        <v>239</v>
      </c>
      <c r="H8" s="91">
        <v>46</v>
      </c>
      <c r="I8" s="456">
        <f>E5-F8</f>
        <v>979.92</v>
      </c>
      <c r="K8" s="71" t="s">
        <v>32</v>
      </c>
      <c r="L8" s="131">
        <v>13.61</v>
      </c>
      <c r="M8" s="16">
        <v>10</v>
      </c>
      <c r="N8" s="89">
        <f>M8*L8</f>
        <v>136.1</v>
      </c>
      <c r="O8" s="119">
        <v>43578</v>
      </c>
      <c r="P8" s="154">
        <f t="shared" ref="P8:P39" si="1">N8</f>
        <v>136.1</v>
      </c>
      <c r="Q8" s="90" t="s">
        <v>461</v>
      </c>
      <c r="R8" s="91">
        <v>55</v>
      </c>
      <c r="S8" s="456">
        <f>O5-P8</f>
        <v>367.84000000000003</v>
      </c>
    </row>
    <row r="9" spans="1:19" ht="15" customHeight="1" x14ac:dyDescent="0.25">
      <c r="B9" s="131">
        <v>13.61</v>
      </c>
      <c r="C9" s="16">
        <v>40</v>
      </c>
      <c r="D9" s="89">
        <f>C9*B9</f>
        <v>544.4</v>
      </c>
      <c r="E9" s="119">
        <v>43554</v>
      </c>
      <c r="F9" s="154">
        <f t="shared" ref="F9:F21" si="2">D9</f>
        <v>544.4</v>
      </c>
      <c r="G9" s="90" t="s">
        <v>240</v>
      </c>
      <c r="H9" s="91">
        <v>46</v>
      </c>
      <c r="I9" s="456">
        <f>I8-F9</f>
        <v>435.52</v>
      </c>
      <c r="L9" s="131">
        <v>13.61</v>
      </c>
      <c r="M9" s="16">
        <v>5</v>
      </c>
      <c r="N9" s="89">
        <f>M9*L9</f>
        <v>68.05</v>
      </c>
      <c r="O9" s="119">
        <v>43580</v>
      </c>
      <c r="P9" s="154">
        <f t="shared" si="1"/>
        <v>68.05</v>
      </c>
      <c r="Q9" s="90" t="s">
        <v>501</v>
      </c>
      <c r="R9" s="91">
        <v>55</v>
      </c>
      <c r="S9" s="456">
        <f>S8-P9</f>
        <v>299.79000000000002</v>
      </c>
    </row>
    <row r="10" spans="1:19" ht="15" customHeight="1" x14ac:dyDescent="0.25">
      <c r="B10" s="131">
        <v>13.61</v>
      </c>
      <c r="C10" s="16">
        <v>10</v>
      </c>
      <c r="D10" s="632">
        <f t="shared" ref="D10:D39" si="3">C10*B10</f>
        <v>136.1</v>
      </c>
      <c r="E10" s="638">
        <v>43567</v>
      </c>
      <c r="F10" s="639">
        <f t="shared" si="0"/>
        <v>136.1</v>
      </c>
      <c r="G10" s="634" t="s">
        <v>414</v>
      </c>
      <c r="H10" s="635">
        <v>46</v>
      </c>
      <c r="I10" s="456">
        <f t="shared" ref="I10:I38" si="4">I9-F10</f>
        <v>299.41999999999996</v>
      </c>
      <c r="L10" s="131">
        <v>13.61</v>
      </c>
      <c r="M10" s="16">
        <v>5</v>
      </c>
      <c r="N10" s="89">
        <f t="shared" ref="N10:N39" si="5">M10*L10</f>
        <v>68.05</v>
      </c>
      <c r="O10" s="119">
        <v>43581</v>
      </c>
      <c r="P10" s="154">
        <f t="shared" si="1"/>
        <v>68.05</v>
      </c>
      <c r="Q10" s="608" t="s">
        <v>505</v>
      </c>
      <c r="R10" s="609">
        <v>55</v>
      </c>
      <c r="S10" s="671">
        <f t="shared" ref="S10:S38" si="6">S9-P10</f>
        <v>231.74</v>
      </c>
    </row>
    <row r="11" spans="1:19" ht="15" customHeight="1" x14ac:dyDescent="0.25">
      <c r="A11" s="71" t="s">
        <v>33</v>
      </c>
      <c r="B11" s="131">
        <v>13.61</v>
      </c>
      <c r="C11" s="16">
        <v>20</v>
      </c>
      <c r="D11" s="632">
        <f t="shared" si="3"/>
        <v>272.2</v>
      </c>
      <c r="E11" s="638">
        <v>43568</v>
      </c>
      <c r="F11" s="639">
        <f t="shared" si="2"/>
        <v>272.2</v>
      </c>
      <c r="G11" s="634" t="s">
        <v>420</v>
      </c>
      <c r="H11" s="635">
        <v>46</v>
      </c>
      <c r="I11" s="456">
        <f t="shared" si="4"/>
        <v>27.21999999999997</v>
      </c>
      <c r="K11" s="71" t="s">
        <v>33</v>
      </c>
      <c r="L11" s="131">
        <v>13.61</v>
      </c>
      <c r="M11" s="16">
        <v>17</v>
      </c>
      <c r="N11" s="89">
        <f t="shared" si="5"/>
        <v>231.37</v>
      </c>
      <c r="O11" s="119">
        <v>43582</v>
      </c>
      <c r="P11" s="154">
        <f t="shared" si="1"/>
        <v>231.37</v>
      </c>
      <c r="Q11" s="608" t="s">
        <v>509</v>
      </c>
      <c r="R11" s="609">
        <v>55</v>
      </c>
      <c r="S11" s="671">
        <f t="shared" si="6"/>
        <v>0.37000000000000455</v>
      </c>
    </row>
    <row r="12" spans="1:19" ht="15" customHeight="1" x14ac:dyDescent="0.25">
      <c r="B12" s="131">
        <v>13.61</v>
      </c>
      <c r="C12" s="16">
        <v>2</v>
      </c>
      <c r="D12" s="632">
        <f t="shared" si="3"/>
        <v>27.22</v>
      </c>
      <c r="E12" s="638">
        <v>43568</v>
      </c>
      <c r="F12" s="639">
        <f t="shared" si="0"/>
        <v>27.22</v>
      </c>
      <c r="G12" s="634" t="s">
        <v>420</v>
      </c>
      <c r="H12" s="635">
        <v>46</v>
      </c>
      <c r="I12" s="456">
        <f t="shared" si="4"/>
        <v>-2.8421709430404007E-14</v>
      </c>
      <c r="L12" s="131">
        <v>13.61</v>
      </c>
      <c r="M12" s="16"/>
      <c r="N12" s="89">
        <f t="shared" si="5"/>
        <v>0</v>
      </c>
      <c r="O12" s="119"/>
      <c r="P12" s="154">
        <f t="shared" si="1"/>
        <v>0</v>
      </c>
      <c r="Q12" s="608"/>
      <c r="R12" s="609"/>
      <c r="S12" s="671">
        <f t="shared" si="6"/>
        <v>0.37000000000000455</v>
      </c>
    </row>
    <row r="13" spans="1:19" ht="15" customHeight="1" x14ac:dyDescent="0.25">
      <c r="A13" s="20"/>
      <c r="B13" s="131">
        <v>13.61</v>
      </c>
      <c r="C13" s="62"/>
      <c r="D13" s="632">
        <f t="shared" si="3"/>
        <v>0</v>
      </c>
      <c r="E13" s="638"/>
      <c r="F13" s="639">
        <f t="shared" si="2"/>
        <v>0</v>
      </c>
      <c r="G13" s="660"/>
      <c r="H13" s="661"/>
      <c r="I13" s="662">
        <f t="shared" si="4"/>
        <v>-2.8421709430404007E-14</v>
      </c>
      <c r="K13" s="20"/>
      <c r="L13" s="131">
        <v>13.61</v>
      </c>
      <c r="M13" s="62"/>
      <c r="N13" s="89">
        <f t="shared" si="5"/>
        <v>0</v>
      </c>
      <c r="O13" s="119"/>
      <c r="P13" s="154">
        <f t="shared" si="1"/>
        <v>0</v>
      </c>
      <c r="Q13" s="608"/>
      <c r="R13" s="609"/>
      <c r="S13" s="671">
        <f t="shared" si="6"/>
        <v>0.37000000000000455</v>
      </c>
    </row>
    <row r="14" spans="1:19" ht="15" customHeight="1" x14ac:dyDescent="0.25">
      <c r="B14" s="131">
        <v>13.61</v>
      </c>
      <c r="C14" s="16"/>
      <c r="D14" s="632">
        <f t="shared" si="3"/>
        <v>0</v>
      </c>
      <c r="E14" s="638"/>
      <c r="F14" s="639">
        <f t="shared" si="0"/>
        <v>0</v>
      </c>
      <c r="G14" s="660"/>
      <c r="H14" s="661"/>
      <c r="I14" s="662">
        <f t="shared" si="4"/>
        <v>-2.8421709430404007E-14</v>
      </c>
      <c r="L14" s="131">
        <v>13.61</v>
      </c>
      <c r="M14" s="16"/>
      <c r="N14" s="89">
        <f t="shared" si="5"/>
        <v>0</v>
      </c>
      <c r="O14" s="119"/>
      <c r="P14" s="154">
        <f t="shared" si="1"/>
        <v>0</v>
      </c>
      <c r="Q14" s="608"/>
      <c r="R14" s="609"/>
      <c r="S14" s="671">
        <f t="shared" si="6"/>
        <v>0.37000000000000455</v>
      </c>
    </row>
    <row r="15" spans="1:19" ht="15" customHeight="1" x14ac:dyDescent="0.25">
      <c r="B15" s="131">
        <v>13.61</v>
      </c>
      <c r="C15" s="16"/>
      <c r="D15" s="632">
        <f t="shared" si="3"/>
        <v>0</v>
      </c>
      <c r="E15" s="638"/>
      <c r="F15" s="639">
        <f t="shared" si="2"/>
        <v>0</v>
      </c>
      <c r="G15" s="660"/>
      <c r="H15" s="661"/>
      <c r="I15" s="662">
        <f t="shared" si="4"/>
        <v>-2.8421709430404007E-14</v>
      </c>
      <c r="L15" s="131">
        <v>13.61</v>
      </c>
      <c r="M15" s="16"/>
      <c r="N15" s="89">
        <f t="shared" si="5"/>
        <v>0</v>
      </c>
      <c r="O15" s="119"/>
      <c r="P15" s="154">
        <f t="shared" si="1"/>
        <v>0</v>
      </c>
      <c r="Q15" s="608"/>
      <c r="R15" s="609"/>
      <c r="S15" s="671">
        <f t="shared" si="6"/>
        <v>0.37000000000000455</v>
      </c>
    </row>
    <row r="16" spans="1:19" ht="15" customHeight="1" x14ac:dyDescent="0.25">
      <c r="B16" s="131">
        <v>13.61</v>
      </c>
      <c r="C16" s="16"/>
      <c r="D16" s="632">
        <f t="shared" si="3"/>
        <v>0</v>
      </c>
      <c r="E16" s="638"/>
      <c r="F16" s="639">
        <f t="shared" si="0"/>
        <v>0</v>
      </c>
      <c r="G16" s="660"/>
      <c r="H16" s="661"/>
      <c r="I16" s="662">
        <f t="shared" si="4"/>
        <v>-2.8421709430404007E-14</v>
      </c>
      <c r="L16" s="131">
        <v>13.61</v>
      </c>
      <c r="M16" s="16"/>
      <c r="N16" s="89">
        <f t="shared" si="5"/>
        <v>0</v>
      </c>
      <c r="O16" s="119"/>
      <c r="P16" s="154">
        <f t="shared" si="1"/>
        <v>0</v>
      </c>
      <c r="Q16" s="608"/>
      <c r="R16" s="609"/>
      <c r="S16" s="671">
        <f t="shared" si="6"/>
        <v>0.37000000000000455</v>
      </c>
    </row>
    <row r="17" spans="1:19" ht="15" customHeight="1" x14ac:dyDescent="0.25">
      <c r="B17" s="131">
        <v>13.61</v>
      </c>
      <c r="C17" s="16"/>
      <c r="D17" s="632">
        <f t="shared" si="3"/>
        <v>0</v>
      </c>
      <c r="E17" s="638"/>
      <c r="F17" s="639">
        <f t="shared" si="2"/>
        <v>0</v>
      </c>
      <c r="G17" s="660"/>
      <c r="H17" s="661"/>
      <c r="I17" s="662">
        <f t="shared" si="4"/>
        <v>-2.8421709430404007E-14</v>
      </c>
      <c r="L17" s="131">
        <v>13.61</v>
      </c>
      <c r="M17" s="16"/>
      <c r="N17" s="89">
        <f t="shared" si="5"/>
        <v>0</v>
      </c>
      <c r="O17" s="119"/>
      <c r="P17" s="154">
        <f t="shared" si="1"/>
        <v>0</v>
      </c>
      <c r="Q17" s="608"/>
      <c r="R17" s="609"/>
      <c r="S17" s="671">
        <f t="shared" si="6"/>
        <v>0.37000000000000455</v>
      </c>
    </row>
    <row r="18" spans="1:19" ht="15" customHeight="1" x14ac:dyDescent="0.25">
      <c r="B18" s="131">
        <v>13.61</v>
      </c>
      <c r="C18" s="16"/>
      <c r="D18" s="632">
        <f t="shared" si="3"/>
        <v>0</v>
      </c>
      <c r="E18" s="638"/>
      <c r="F18" s="639">
        <f t="shared" si="0"/>
        <v>0</v>
      </c>
      <c r="G18" s="660"/>
      <c r="H18" s="661"/>
      <c r="I18" s="662">
        <f t="shared" si="4"/>
        <v>-2.8421709430404007E-14</v>
      </c>
      <c r="L18" s="131">
        <v>13.61</v>
      </c>
      <c r="M18" s="16"/>
      <c r="N18" s="89">
        <f t="shared" si="5"/>
        <v>0</v>
      </c>
      <c r="O18" s="119"/>
      <c r="P18" s="154">
        <f t="shared" si="1"/>
        <v>0</v>
      </c>
      <c r="Q18" s="608"/>
      <c r="R18" s="609"/>
      <c r="S18" s="671">
        <f t="shared" si="6"/>
        <v>0.37000000000000455</v>
      </c>
    </row>
    <row r="19" spans="1:19" ht="15" customHeight="1" x14ac:dyDescent="0.25">
      <c r="B19" s="131">
        <v>13.61</v>
      </c>
      <c r="C19" s="16"/>
      <c r="D19" s="89">
        <f t="shared" si="3"/>
        <v>0</v>
      </c>
      <c r="E19" s="119"/>
      <c r="F19" s="154">
        <f t="shared" si="2"/>
        <v>0</v>
      </c>
      <c r="G19" s="653"/>
      <c r="H19" s="654"/>
      <c r="I19" s="662">
        <f t="shared" si="4"/>
        <v>-2.8421709430404007E-14</v>
      </c>
      <c r="L19" s="131">
        <v>13.61</v>
      </c>
      <c r="M19" s="16"/>
      <c r="N19" s="89">
        <f t="shared" si="5"/>
        <v>0</v>
      </c>
      <c r="O19" s="119"/>
      <c r="P19" s="154">
        <f t="shared" si="1"/>
        <v>0</v>
      </c>
      <c r="Q19" s="608"/>
      <c r="R19" s="609"/>
      <c r="S19" s="671">
        <f t="shared" si="6"/>
        <v>0.37000000000000455</v>
      </c>
    </row>
    <row r="20" spans="1:19" ht="15" customHeight="1" x14ac:dyDescent="0.25">
      <c r="B20" s="131">
        <v>13.61</v>
      </c>
      <c r="C20" s="16"/>
      <c r="D20" s="89">
        <f t="shared" si="3"/>
        <v>0</v>
      </c>
      <c r="E20" s="119"/>
      <c r="F20" s="154">
        <f t="shared" si="0"/>
        <v>0</v>
      </c>
      <c r="G20" s="90"/>
      <c r="H20" s="91"/>
      <c r="I20" s="456">
        <f t="shared" si="4"/>
        <v>-2.8421709430404007E-14</v>
      </c>
      <c r="L20" s="131">
        <v>13.61</v>
      </c>
      <c r="M20" s="16"/>
      <c r="N20" s="89">
        <f t="shared" si="5"/>
        <v>0</v>
      </c>
      <c r="O20" s="119"/>
      <c r="P20" s="154">
        <f t="shared" si="1"/>
        <v>0</v>
      </c>
      <c r="Q20" s="608"/>
      <c r="R20" s="609"/>
      <c r="S20" s="671">
        <f t="shared" si="6"/>
        <v>0.37000000000000455</v>
      </c>
    </row>
    <row r="21" spans="1:19" ht="15" customHeight="1" x14ac:dyDescent="0.25">
      <c r="B21" s="131">
        <v>13.61</v>
      </c>
      <c r="C21" s="16"/>
      <c r="D21" s="89">
        <f t="shared" si="3"/>
        <v>0</v>
      </c>
      <c r="E21" s="119"/>
      <c r="F21" s="154">
        <f t="shared" si="2"/>
        <v>0</v>
      </c>
      <c r="G21" s="90"/>
      <c r="H21" s="91"/>
      <c r="I21" s="456">
        <f t="shared" si="4"/>
        <v>-2.8421709430404007E-14</v>
      </c>
      <c r="L21" s="131">
        <v>13.61</v>
      </c>
      <c r="M21" s="16"/>
      <c r="N21" s="89">
        <f t="shared" si="5"/>
        <v>0</v>
      </c>
      <c r="O21" s="119"/>
      <c r="P21" s="154">
        <f t="shared" si="1"/>
        <v>0</v>
      </c>
      <c r="Q21" s="608"/>
      <c r="R21" s="609"/>
      <c r="S21" s="671">
        <f t="shared" si="6"/>
        <v>0.37000000000000455</v>
      </c>
    </row>
    <row r="22" spans="1:19" ht="15" customHeight="1" x14ac:dyDescent="0.25">
      <c r="B22" s="131">
        <v>13.61</v>
      </c>
      <c r="C22" s="16"/>
      <c r="D22" s="89">
        <f t="shared" si="3"/>
        <v>0</v>
      </c>
      <c r="E22" s="119"/>
      <c r="F22" s="154">
        <f t="shared" si="0"/>
        <v>0</v>
      </c>
      <c r="G22" s="90"/>
      <c r="H22" s="91"/>
      <c r="I22" s="456">
        <f t="shared" si="4"/>
        <v>-2.8421709430404007E-14</v>
      </c>
      <c r="L22" s="131">
        <v>13.61</v>
      </c>
      <c r="M22" s="16"/>
      <c r="N22" s="89">
        <f t="shared" si="5"/>
        <v>0</v>
      </c>
      <c r="O22" s="119"/>
      <c r="P22" s="154">
        <f t="shared" si="1"/>
        <v>0</v>
      </c>
      <c r="Q22" s="90"/>
      <c r="R22" s="91"/>
      <c r="S22" s="456">
        <f t="shared" si="6"/>
        <v>0.37000000000000455</v>
      </c>
    </row>
    <row r="23" spans="1:19" ht="15" customHeight="1" x14ac:dyDescent="0.25">
      <c r="B23" s="131">
        <v>13.61</v>
      </c>
      <c r="C23" s="16"/>
      <c r="D23" s="89">
        <f t="shared" si="3"/>
        <v>0</v>
      </c>
      <c r="E23" s="119"/>
      <c r="F23" s="154">
        <f t="shared" si="0"/>
        <v>0</v>
      </c>
      <c r="G23" s="90"/>
      <c r="H23" s="91"/>
      <c r="I23" s="456">
        <f t="shared" si="4"/>
        <v>-2.8421709430404007E-14</v>
      </c>
      <c r="L23" s="131">
        <v>13.61</v>
      </c>
      <c r="M23" s="16"/>
      <c r="N23" s="89">
        <f t="shared" si="5"/>
        <v>0</v>
      </c>
      <c r="O23" s="119"/>
      <c r="P23" s="154">
        <f t="shared" si="1"/>
        <v>0</v>
      </c>
      <c r="Q23" s="90"/>
      <c r="R23" s="91"/>
      <c r="S23" s="456">
        <f t="shared" si="6"/>
        <v>0.37000000000000455</v>
      </c>
    </row>
    <row r="24" spans="1:19" ht="15" customHeight="1" x14ac:dyDescent="0.25">
      <c r="B24" s="131">
        <v>13.61</v>
      </c>
      <c r="C24" s="16"/>
      <c r="D24" s="89">
        <f t="shared" si="3"/>
        <v>0</v>
      </c>
      <c r="E24" s="119"/>
      <c r="F24" s="154">
        <f t="shared" si="0"/>
        <v>0</v>
      </c>
      <c r="G24" s="90"/>
      <c r="H24" s="91"/>
      <c r="I24" s="456">
        <f t="shared" si="4"/>
        <v>-2.8421709430404007E-14</v>
      </c>
      <c r="L24" s="131">
        <v>13.61</v>
      </c>
      <c r="M24" s="16"/>
      <c r="N24" s="89">
        <f t="shared" si="5"/>
        <v>0</v>
      </c>
      <c r="O24" s="119"/>
      <c r="P24" s="154">
        <f t="shared" si="1"/>
        <v>0</v>
      </c>
      <c r="Q24" s="90"/>
      <c r="R24" s="91"/>
      <c r="S24" s="456">
        <f t="shared" si="6"/>
        <v>0.37000000000000455</v>
      </c>
    </row>
    <row r="25" spans="1:19" ht="15" customHeight="1" x14ac:dyDescent="0.25">
      <c r="B25" s="131">
        <v>13.61</v>
      </c>
      <c r="C25" s="16"/>
      <c r="D25" s="89">
        <f t="shared" si="3"/>
        <v>0</v>
      </c>
      <c r="E25" s="119"/>
      <c r="F25" s="154">
        <f t="shared" si="0"/>
        <v>0</v>
      </c>
      <c r="G25" s="90"/>
      <c r="H25" s="91"/>
      <c r="I25" s="456">
        <f t="shared" si="4"/>
        <v>-2.8421709430404007E-14</v>
      </c>
      <c r="L25" s="131">
        <v>13.61</v>
      </c>
      <c r="M25" s="16"/>
      <c r="N25" s="89">
        <f t="shared" si="5"/>
        <v>0</v>
      </c>
      <c r="O25" s="119"/>
      <c r="P25" s="154">
        <f t="shared" si="1"/>
        <v>0</v>
      </c>
      <c r="Q25" s="90"/>
      <c r="R25" s="91"/>
      <c r="S25" s="456">
        <f t="shared" si="6"/>
        <v>0.37000000000000455</v>
      </c>
    </row>
    <row r="26" spans="1:19" ht="15" customHeight="1" x14ac:dyDescent="0.25">
      <c r="B26" s="131">
        <v>13.61</v>
      </c>
      <c r="C26" s="16"/>
      <c r="D26" s="89">
        <f t="shared" si="3"/>
        <v>0</v>
      </c>
      <c r="E26" s="119"/>
      <c r="F26" s="154">
        <f t="shared" si="0"/>
        <v>0</v>
      </c>
      <c r="G26" s="90"/>
      <c r="H26" s="91"/>
      <c r="I26" s="456">
        <f t="shared" si="4"/>
        <v>-2.8421709430404007E-14</v>
      </c>
      <c r="L26" s="131">
        <v>13.61</v>
      </c>
      <c r="M26" s="16"/>
      <c r="N26" s="89">
        <f t="shared" si="5"/>
        <v>0</v>
      </c>
      <c r="O26" s="119"/>
      <c r="P26" s="154">
        <f t="shared" si="1"/>
        <v>0</v>
      </c>
      <c r="Q26" s="90"/>
      <c r="R26" s="91"/>
      <c r="S26" s="456">
        <f t="shared" si="6"/>
        <v>0.37000000000000455</v>
      </c>
    </row>
    <row r="27" spans="1:19" ht="15" customHeight="1" x14ac:dyDescent="0.25">
      <c r="B27" s="131">
        <v>13.61</v>
      </c>
      <c r="C27" s="16"/>
      <c r="D27" s="89">
        <f t="shared" si="3"/>
        <v>0</v>
      </c>
      <c r="E27" s="119"/>
      <c r="F27" s="154">
        <f t="shared" si="0"/>
        <v>0</v>
      </c>
      <c r="G27" s="90"/>
      <c r="H27" s="91"/>
      <c r="I27" s="456">
        <f t="shared" si="4"/>
        <v>-2.8421709430404007E-14</v>
      </c>
      <c r="L27" s="131">
        <v>13.61</v>
      </c>
      <c r="M27" s="16"/>
      <c r="N27" s="89">
        <f t="shared" si="5"/>
        <v>0</v>
      </c>
      <c r="O27" s="119"/>
      <c r="P27" s="154">
        <f t="shared" si="1"/>
        <v>0</v>
      </c>
      <c r="Q27" s="90"/>
      <c r="R27" s="91"/>
      <c r="S27" s="456">
        <f t="shared" si="6"/>
        <v>0.37000000000000455</v>
      </c>
    </row>
    <row r="28" spans="1:19" ht="15" customHeight="1" x14ac:dyDescent="0.25">
      <c r="B28" s="131">
        <v>13.61</v>
      </c>
      <c r="C28" s="16"/>
      <c r="D28" s="89">
        <f t="shared" si="3"/>
        <v>0</v>
      </c>
      <c r="E28" s="119"/>
      <c r="F28" s="154">
        <f t="shared" si="0"/>
        <v>0</v>
      </c>
      <c r="G28" s="90"/>
      <c r="H28" s="91"/>
      <c r="I28" s="456">
        <f t="shared" si="4"/>
        <v>-2.8421709430404007E-14</v>
      </c>
      <c r="L28" s="131">
        <v>13.61</v>
      </c>
      <c r="M28" s="16"/>
      <c r="N28" s="89">
        <f t="shared" si="5"/>
        <v>0</v>
      </c>
      <c r="O28" s="119"/>
      <c r="P28" s="154">
        <f t="shared" si="1"/>
        <v>0</v>
      </c>
      <c r="Q28" s="90"/>
      <c r="R28" s="91"/>
      <c r="S28" s="456">
        <f t="shared" si="6"/>
        <v>0.37000000000000455</v>
      </c>
    </row>
    <row r="29" spans="1:19" ht="15" customHeight="1" x14ac:dyDescent="0.25">
      <c r="A29" s="51"/>
      <c r="B29" s="131">
        <v>13.61</v>
      </c>
      <c r="C29" s="16"/>
      <c r="D29" s="89">
        <f t="shared" si="3"/>
        <v>0</v>
      </c>
      <c r="E29" s="119"/>
      <c r="F29" s="154">
        <f t="shared" si="0"/>
        <v>0</v>
      </c>
      <c r="G29" s="90"/>
      <c r="H29" s="91"/>
      <c r="I29" s="456">
        <f t="shared" si="4"/>
        <v>-2.8421709430404007E-14</v>
      </c>
      <c r="K29" s="51"/>
      <c r="L29" s="131">
        <v>13.61</v>
      </c>
      <c r="M29" s="16"/>
      <c r="N29" s="89">
        <f t="shared" si="5"/>
        <v>0</v>
      </c>
      <c r="O29" s="119"/>
      <c r="P29" s="154">
        <f t="shared" si="1"/>
        <v>0</v>
      </c>
      <c r="Q29" s="90"/>
      <c r="R29" s="91"/>
      <c r="S29" s="456">
        <f t="shared" si="6"/>
        <v>0.37000000000000455</v>
      </c>
    </row>
    <row r="30" spans="1:19" ht="15" customHeight="1" x14ac:dyDescent="0.25">
      <c r="A30" s="51"/>
      <c r="B30" s="131">
        <v>13.61</v>
      </c>
      <c r="C30" s="16"/>
      <c r="D30" s="89">
        <f t="shared" si="3"/>
        <v>0</v>
      </c>
      <c r="E30" s="119"/>
      <c r="F30" s="154">
        <f t="shared" si="0"/>
        <v>0</v>
      </c>
      <c r="G30" s="90"/>
      <c r="H30" s="91"/>
      <c r="I30" s="456">
        <f t="shared" si="4"/>
        <v>-2.8421709430404007E-14</v>
      </c>
      <c r="K30" s="51"/>
      <c r="L30" s="131">
        <v>13.61</v>
      </c>
      <c r="M30" s="16"/>
      <c r="N30" s="89">
        <f t="shared" si="5"/>
        <v>0</v>
      </c>
      <c r="O30" s="119"/>
      <c r="P30" s="154">
        <f t="shared" si="1"/>
        <v>0</v>
      </c>
      <c r="Q30" s="90"/>
      <c r="R30" s="91"/>
      <c r="S30" s="456">
        <f t="shared" si="6"/>
        <v>0.37000000000000455</v>
      </c>
    </row>
    <row r="31" spans="1:19" ht="15" customHeight="1" x14ac:dyDescent="0.25">
      <c r="A31" s="51"/>
      <c r="B31" s="131">
        <v>13.61</v>
      </c>
      <c r="C31" s="16"/>
      <c r="D31" s="89">
        <f t="shared" si="3"/>
        <v>0</v>
      </c>
      <c r="E31" s="119"/>
      <c r="F31" s="154">
        <f t="shared" si="0"/>
        <v>0</v>
      </c>
      <c r="G31" s="90"/>
      <c r="H31" s="91"/>
      <c r="I31" s="456">
        <f t="shared" si="4"/>
        <v>-2.8421709430404007E-14</v>
      </c>
      <c r="K31" s="51"/>
      <c r="L31" s="131">
        <v>13.61</v>
      </c>
      <c r="M31" s="16"/>
      <c r="N31" s="89">
        <f t="shared" si="5"/>
        <v>0</v>
      </c>
      <c r="O31" s="119"/>
      <c r="P31" s="154">
        <f t="shared" si="1"/>
        <v>0</v>
      </c>
      <c r="Q31" s="90"/>
      <c r="R31" s="91"/>
      <c r="S31" s="456">
        <f t="shared" si="6"/>
        <v>0.37000000000000455</v>
      </c>
    </row>
    <row r="32" spans="1:19" ht="15" customHeight="1" x14ac:dyDescent="0.25">
      <c r="A32" s="51"/>
      <c r="B32" s="131">
        <v>13.61</v>
      </c>
      <c r="C32" s="16"/>
      <c r="D32" s="89">
        <f t="shared" si="3"/>
        <v>0</v>
      </c>
      <c r="E32" s="119"/>
      <c r="F32" s="154">
        <f t="shared" si="0"/>
        <v>0</v>
      </c>
      <c r="G32" s="90"/>
      <c r="H32" s="91"/>
      <c r="I32" s="456">
        <f t="shared" si="4"/>
        <v>-2.8421709430404007E-14</v>
      </c>
      <c r="K32" s="51"/>
      <c r="L32" s="131">
        <v>13.61</v>
      </c>
      <c r="M32" s="16"/>
      <c r="N32" s="89">
        <f t="shared" si="5"/>
        <v>0</v>
      </c>
      <c r="O32" s="119"/>
      <c r="P32" s="154">
        <f t="shared" si="1"/>
        <v>0</v>
      </c>
      <c r="Q32" s="90"/>
      <c r="R32" s="91"/>
      <c r="S32" s="456">
        <f t="shared" si="6"/>
        <v>0.37000000000000455</v>
      </c>
    </row>
    <row r="33" spans="1:19" ht="15" customHeight="1" x14ac:dyDescent="0.25">
      <c r="A33" s="51"/>
      <c r="B33" s="131">
        <v>13.61</v>
      </c>
      <c r="C33" s="16"/>
      <c r="D33" s="89">
        <f t="shared" si="3"/>
        <v>0</v>
      </c>
      <c r="E33" s="119"/>
      <c r="F33" s="154">
        <f t="shared" si="0"/>
        <v>0</v>
      </c>
      <c r="G33" s="90"/>
      <c r="H33" s="91"/>
      <c r="I33" s="456">
        <f t="shared" si="4"/>
        <v>-2.8421709430404007E-14</v>
      </c>
      <c r="K33" s="51"/>
      <c r="L33" s="131">
        <v>13.61</v>
      </c>
      <c r="M33" s="16"/>
      <c r="N33" s="89">
        <f t="shared" si="5"/>
        <v>0</v>
      </c>
      <c r="O33" s="119"/>
      <c r="P33" s="154">
        <f t="shared" si="1"/>
        <v>0</v>
      </c>
      <c r="Q33" s="90"/>
      <c r="R33" s="91"/>
      <c r="S33" s="456">
        <f t="shared" si="6"/>
        <v>0.37000000000000455</v>
      </c>
    </row>
    <row r="34" spans="1:19" ht="15" customHeight="1" x14ac:dyDescent="0.25">
      <c r="A34" s="51"/>
      <c r="B34" s="131">
        <v>13.61</v>
      </c>
      <c r="C34" s="16"/>
      <c r="D34" s="89">
        <f t="shared" si="3"/>
        <v>0</v>
      </c>
      <c r="E34" s="119"/>
      <c r="F34" s="154">
        <f t="shared" si="0"/>
        <v>0</v>
      </c>
      <c r="G34" s="90"/>
      <c r="H34" s="91"/>
      <c r="I34" s="456">
        <f t="shared" si="4"/>
        <v>-2.8421709430404007E-14</v>
      </c>
      <c r="K34" s="51"/>
      <c r="L34" s="131">
        <v>13.61</v>
      </c>
      <c r="M34" s="16"/>
      <c r="N34" s="89">
        <f t="shared" si="5"/>
        <v>0</v>
      </c>
      <c r="O34" s="119"/>
      <c r="P34" s="154">
        <f t="shared" si="1"/>
        <v>0</v>
      </c>
      <c r="Q34" s="90"/>
      <c r="R34" s="91"/>
      <c r="S34" s="456">
        <f t="shared" si="6"/>
        <v>0.37000000000000455</v>
      </c>
    </row>
    <row r="35" spans="1:19" ht="15" customHeight="1" x14ac:dyDescent="0.25">
      <c r="A35" s="51"/>
      <c r="B35" s="131">
        <v>13.61</v>
      </c>
      <c r="C35" s="16"/>
      <c r="D35" s="89">
        <f t="shared" si="3"/>
        <v>0</v>
      </c>
      <c r="E35" s="119"/>
      <c r="F35" s="154">
        <f t="shared" si="0"/>
        <v>0</v>
      </c>
      <c r="G35" s="90"/>
      <c r="H35" s="91"/>
      <c r="I35" s="456">
        <f t="shared" si="4"/>
        <v>-2.8421709430404007E-14</v>
      </c>
      <c r="K35" s="51"/>
      <c r="L35" s="131">
        <v>13.61</v>
      </c>
      <c r="M35" s="16"/>
      <c r="N35" s="89">
        <f t="shared" si="5"/>
        <v>0</v>
      </c>
      <c r="O35" s="119"/>
      <c r="P35" s="154">
        <f t="shared" si="1"/>
        <v>0</v>
      </c>
      <c r="Q35" s="90"/>
      <c r="R35" s="91"/>
      <c r="S35" s="456">
        <f t="shared" si="6"/>
        <v>0.37000000000000455</v>
      </c>
    </row>
    <row r="36" spans="1:19" ht="15.75" x14ac:dyDescent="0.25">
      <c r="A36" s="51"/>
      <c r="B36" s="131">
        <v>13.61</v>
      </c>
      <c r="C36" s="16"/>
      <c r="D36" s="89">
        <f t="shared" si="3"/>
        <v>0</v>
      </c>
      <c r="E36" s="119"/>
      <c r="F36" s="154">
        <f t="shared" si="0"/>
        <v>0</v>
      </c>
      <c r="G36" s="90"/>
      <c r="H36" s="91"/>
      <c r="I36" s="456">
        <f t="shared" si="4"/>
        <v>-2.8421709430404007E-14</v>
      </c>
      <c r="K36" s="51"/>
      <c r="L36" s="131">
        <v>13.61</v>
      </c>
      <c r="M36" s="16"/>
      <c r="N36" s="89">
        <f t="shared" si="5"/>
        <v>0</v>
      </c>
      <c r="O36" s="119"/>
      <c r="P36" s="154">
        <f t="shared" si="1"/>
        <v>0</v>
      </c>
      <c r="Q36" s="90"/>
      <c r="R36" s="91"/>
      <c r="S36" s="456">
        <f t="shared" si="6"/>
        <v>0.37000000000000455</v>
      </c>
    </row>
    <row r="37" spans="1:19" ht="15.75" x14ac:dyDescent="0.25">
      <c r="A37" s="51"/>
      <c r="B37" s="131">
        <v>13.61</v>
      </c>
      <c r="C37" s="16"/>
      <c r="D37" s="89">
        <f t="shared" si="3"/>
        <v>0</v>
      </c>
      <c r="E37" s="119"/>
      <c r="F37" s="154">
        <f t="shared" si="0"/>
        <v>0</v>
      </c>
      <c r="G37" s="90"/>
      <c r="H37" s="91"/>
      <c r="I37" s="456">
        <f t="shared" si="4"/>
        <v>-2.8421709430404007E-14</v>
      </c>
      <c r="K37" s="51"/>
      <c r="L37" s="131">
        <v>13.61</v>
      </c>
      <c r="M37" s="16"/>
      <c r="N37" s="89">
        <f t="shared" si="5"/>
        <v>0</v>
      </c>
      <c r="O37" s="119"/>
      <c r="P37" s="154">
        <f t="shared" si="1"/>
        <v>0</v>
      </c>
      <c r="Q37" s="90"/>
      <c r="R37" s="91"/>
      <c r="S37" s="456">
        <f t="shared" si="6"/>
        <v>0.37000000000000455</v>
      </c>
    </row>
    <row r="38" spans="1:19" ht="15.75" x14ac:dyDescent="0.25">
      <c r="A38" s="51"/>
      <c r="B38" s="131">
        <v>13.61</v>
      </c>
      <c r="C38" s="16"/>
      <c r="D38" s="89">
        <f t="shared" si="3"/>
        <v>0</v>
      </c>
      <c r="E38" s="119"/>
      <c r="F38" s="154">
        <f t="shared" si="0"/>
        <v>0</v>
      </c>
      <c r="G38" s="90"/>
      <c r="H38" s="91"/>
      <c r="I38" s="456">
        <f t="shared" si="4"/>
        <v>-2.8421709430404007E-14</v>
      </c>
      <c r="K38" s="51"/>
      <c r="L38" s="131">
        <v>13.61</v>
      </c>
      <c r="M38" s="16"/>
      <c r="N38" s="89">
        <f t="shared" si="5"/>
        <v>0</v>
      </c>
      <c r="O38" s="119"/>
      <c r="P38" s="154">
        <f t="shared" si="1"/>
        <v>0</v>
      </c>
      <c r="Q38" s="90"/>
      <c r="R38" s="91"/>
      <c r="S38" s="456">
        <f t="shared" si="6"/>
        <v>0.37000000000000455</v>
      </c>
    </row>
    <row r="39" spans="1:19" ht="15.75" thickBot="1" x14ac:dyDescent="0.3">
      <c r="A39" s="178"/>
      <c r="B39" s="131">
        <v>13.61</v>
      </c>
      <c r="C39" s="40"/>
      <c r="D39" s="89">
        <f t="shared" si="3"/>
        <v>0</v>
      </c>
      <c r="E39" s="409"/>
      <c r="F39" s="410">
        <f t="shared" si="0"/>
        <v>0</v>
      </c>
      <c r="G39" s="209"/>
      <c r="H39" s="392"/>
      <c r="I39" s="457"/>
      <c r="K39" s="178"/>
      <c r="L39" s="131">
        <v>13.61</v>
      </c>
      <c r="M39" s="40"/>
      <c r="N39" s="89">
        <f t="shared" si="5"/>
        <v>0</v>
      </c>
      <c r="O39" s="409"/>
      <c r="P39" s="410">
        <f t="shared" si="1"/>
        <v>0</v>
      </c>
      <c r="Q39" s="209"/>
      <c r="R39" s="392"/>
      <c r="S39" s="457"/>
    </row>
    <row r="40" spans="1:19" ht="15.75" thickTop="1" x14ac:dyDescent="0.25">
      <c r="A40" s="51">
        <f>SUM(A29:A39)</f>
        <v>0</v>
      </c>
      <c r="C40" s="97">
        <f>SUM(C8:C39)</f>
        <v>73</v>
      </c>
      <c r="D40" s="154">
        <f>SUM(D8:D39)</f>
        <v>993.53</v>
      </c>
      <c r="E40" s="102"/>
      <c r="F40" s="154">
        <f>SUM(F8:F39)</f>
        <v>993.53</v>
      </c>
      <c r="K40" s="51">
        <f>SUM(K29:K39)</f>
        <v>0</v>
      </c>
      <c r="M40" s="97">
        <f>SUM(M8:M39)</f>
        <v>37</v>
      </c>
      <c r="N40" s="154">
        <f>SUM(N8:N39)</f>
        <v>503.57</v>
      </c>
      <c r="O40" s="102"/>
      <c r="P40" s="154">
        <f>SUM(P8:P39)</f>
        <v>503.57</v>
      </c>
    </row>
    <row r="41" spans="1:19" ht="15.75" thickBot="1" x14ac:dyDescent="0.3">
      <c r="A41" s="51"/>
      <c r="K41" s="51"/>
    </row>
    <row r="42" spans="1:19" x14ac:dyDescent="0.25">
      <c r="B42" s="6"/>
      <c r="D42" s="746" t="s">
        <v>21</v>
      </c>
      <c r="E42" s="747"/>
      <c r="F42" s="211">
        <f>E4+E5-F40+E6</f>
        <v>0</v>
      </c>
      <c r="L42" s="6"/>
      <c r="N42" s="746" t="s">
        <v>21</v>
      </c>
      <c r="O42" s="747"/>
      <c r="P42" s="211">
        <f>O4+O5-P40+O6</f>
        <v>0.37000000000000455</v>
      </c>
    </row>
    <row r="43" spans="1:19" ht="15.75" thickBot="1" x14ac:dyDescent="0.3">
      <c r="A43" s="185"/>
      <c r="D43" s="321" t="s">
        <v>4</v>
      </c>
      <c r="E43" s="322"/>
      <c r="F43" s="53">
        <f>F4+F5-C40+F6</f>
        <v>0</v>
      </c>
      <c r="K43" s="185"/>
      <c r="N43" s="646" t="s">
        <v>4</v>
      </c>
      <c r="O43" s="647"/>
      <c r="P43" s="53">
        <f>P4+P5-M40+P6</f>
        <v>0</v>
      </c>
    </row>
    <row r="44" spans="1:19" x14ac:dyDescent="0.25">
      <c r="B44" s="6"/>
      <c r="L44" s="6"/>
    </row>
  </sheetData>
  <mergeCells count="4">
    <mergeCell ref="A1:G1"/>
    <mergeCell ref="D42:E42"/>
    <mergeCell ref="K1:Q1"/>
    <mergeCell ref="N42:O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I82"/>
  <sheetViews>
    <sheetView workbookViewId="0">
      <selection activeCell="H16" sqref="H16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</cols>
  <sheetData>
    <row r="1" spans="1:9" ht="40.5" x14ac:dyDescent="0.55000000000000004">
      <c r="A1" s="744" t="s">
        <v>251</v>
      </c>
      <c r="B1" s="744"/>
      <c r="C1" s="744"/>
      <c r="D1" s="744"/>
      <c r="E1" s="744"/>
      <c r="F1" s="744"/>
      <c r="G1" s="744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x14ac:dyDescent="0.25">
      <c r="A5" s="750" t="s">
        <v>98</v>
      </c>
      <c r="B5" s="754" t="s">
        <v>226</v>
      </c>
      <c r="C5" s="458">
        <v>42.3</v>
      </c>
      <c r="D5" s="203">
        <v>43554</v>
      </c>
      <c r="E5" s="116">
        <v>4985.7</v>
      </c>
      <c r="F5" s="80">
        <v>289</v>
      </c>
      <c r="G5" s="6">
        <f>F77</f>
        <v>2568.7999999999997</v>
      </c>
      <c r="H5" t="s">
        <v>41</v>
      </c>
    </row>
    <row r="6" spans="1:9" ht="15.75" x14ac:dyDescent="0.25">
      <c r="A6" s="750"/>
      <c r="B6" s="754"/>
      <c r="C6" s="245"/>
      <c r="D6" s="291"/>
      <c r="E6" s="116"/>
      <c r="F6" s="80"/>
      <c r="G6" s="51"/>
      <c r="H6" s="8">
        <f>E6-G6+E7+E5-G5</f>
        <v>2416.9</v>
      </c>
    </row>
    <row r="7" spans="1:9" ht="15.75" thickBot="1" x14ac:dyDescent="0.3">
      <c r="B7" s="20"/>
      <c r="C7" s="220"/>
      <c r="D7" s="241"/>
      <c r="E7" s="116"/>
      <c r="F7" s="80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241</v>
      </c>
      <c r="C9" s="16">
        <v>48</v>
      </c>
      <c r="D9" s="89">
        <v>814.1</v>
      </c>
      <c r="E9" s="404">
        <v>43554</v>
      </c>
      <c r="F9" s="89">
        <f t="shared" ref="F9:F72" si="0">D9</f>
        <v>814.1</v>
      </c>
      <c r="G9" s="90" t="s">
        <v>240</v>
      </c>
      <c r="H9" s="91">
        <v>53</v>
      </c>
      <c r="I9" s="116">
        <f>E6-F9+E5</f>
        <v>4171.5999999999995</v>
      </c>
    </row>
    <row r="10" spans="1:9" x14ac:dyDescent="0.25">
      <c r="A10" s="379"/>
      <c r="B10" s="125">
        <f>B9-C10</f>
        <v>221</v>
      </c>
      <c r="C10" s="16">
        <v>20</v>
      </c>
      <c r="D10" s="632">
        <v>341</v>
      </c>
      <c r="E10" s="636">
        <v>43558</v>
      </c>
      <c r="F10" s="632">
        <f t="shared" si="0"/>
        <v>341</v>
      </c>
      <c r="G10" s="634" t="s">
        <v>371</v>
      </c>
      <c r="H10" s="635">
        <v>53</v>
      </c>
      <c r="I10" s="116">
        <f>I9-F10</f>
        <v>3830.5999999999995</v>
      </c>
    </row>
    <row r="11" spans="1:9" x14ac:dyDescent="0.25">
      <c r="A11" s="348"/>
      <c r="B11" s="125">
        <f t="shared" ref="B11:B21" si="1">B10-C11</f>
        <v>215</v>
      </c>
      <c r="C11" s="16">
        <v>6</v>
      </c>
      <c r="D11" s="632">
        <v>92.9</v>
      </c>
      <c r="E11" s="636">
        <v>43559</v>
      </c>
      <c r="F11" s="632">
        <f t="shared" si="0"/>
        <v>92.9</v>
      </c>
      <c r="G11" s="634" t="s">
        <v>376</v>
      </c>
      <c r="H11" s="635">
        <v>53</v>
      </c>
      <c r="I11" s="116">
        <f t="shared" ref="I11:I74" si="2">I10-F11</f>
        <v>3737.6999999999994</v>
      </c>
    </row>
    <row r="12" spans="1:9" x14ac:dyDescent="0.25">
      <c r="A12" s="122" t="s">
        <v>33</v>
      </c>
      <c r="B12" s="125">
        <f t="shared" si="1"/>
        <v>205</v>
      </c>
      <c r="C12" s="16">
        <v>10</v>
      </c>
      <c r="D12" s="632">
        <v>159.30000000000001</v>
      </c>
      <c r="E12" s="636">
        <v>43560</v>
      </c>
      <c r="F12" s="632">
        <f t="shared" si="0"/>
        <v>159.30000000000001</v>
      </c>
      <c r="G12" s="634" t="s">
        <v>388</v>
      </c>
      <c r="H12" s="635">
        <v>53</v>
      </c>
      <c r="I12" s="116">
        <f t="shared" si="2"/>
        <v>3578.3999999999992</v>
      </c>
    </row>
    <row r="13" spans="1:9" x14ac:dyDescent="0.25">
      <c r="A13" s="97"/>
      <c r="B13" s="125">
        <f t="shared" si="1"/>
        <v>185</v>
      </c>
      <c r="C13" s="16">
        <v>20</v>
      </c>
      <c r="D13" s="632">
        <v>334.3</v>
      </c>
      <c r="E13" s="636">
        <v>43567</v>
      </c>
      <c r="F13" s="632">
        <f t="shared" si="0"/>
        <v>334.3</v>
      </c>
      <c r="G13" s="634" t="s">
        <v>413</v>
      </c>
      <c r="H13" s="635">
        <v>53</v>
      </c>
      <c r="I13" s="116">
        <f t="shared" si="2"/>
        <v>3244.099999999999</v>
      </c>
    </row>
    <row r="14" spans="1:9" x14ac:dyDescent="0.25">
      <c r="A14" s="97"/>
      <c r="B14" s="125">
        <f t="shared" si="1"/>
        <v>184</v>
      </c>
      <c r="C14" s="16">
        <v>1</v>
      </c>
      <c r="D14" s="632">
        <v>17.100000000000001</v>
      </c>
      <c r="E14" s="636">
        <v>43568</v>
      </c>
      <c r="F14" s="632">
        <f t="shared" si="0"/>
        <v>17.100000000000001</v>
      </c>
      <c r="G14" s="634" t="s">
        <v>425</v>
      </c>
      <c r="H14" s="635">
        <v>53</v>
      </c>
      <c r="I14" s="116">
        <f t="shared" si="2"/>
        <v>3226.9999999999991</v>
      </c>
    </row>
    <row r="15" spans="1:9" x14ac:dyDescent="0.25">
      <c r="B15" s="125">
        <f t="shared" si="1"/>
        <v>136</v>
      </c>
      <c r="C15" s="16">
        <v>48</v>
      </c>
      <c r="D15" s="632">
        <v>810.1</v>
      </c>
      <c r="E15" s="636">
        <v>43573</v>
      </c>
      <c r="F15" s="632">
        <f t="shared" si="0"/>
        <v>810.1</v>
      </c>
      <c r="G15" s="634" t="s">
        <v>455</v>
      </c>
      <c r="H15" s="635">
        <v>53</v>
      </c>
      <c r="I15" s="116">
        <f t="shared" si="2"/>
        <v>2416.8999999999992</v>
      </c>
    </row>
    <row r="16" spans="1:9" x14ac:dyDescent="0.25">
      <c r="B16" s="125">
        <f t="shared" si="1"/>
        <v>136</v>
      </c>
      <c r="C16" s="16"/>
      <c r="D16" s="632"/>
      <c r="E16" s="636"/>
      <c r="F16" s="632">
        <f t="shared" si="0"/>
        <v>0</v>
      </c>
      <c r="G16" s="634"/>
      <c r="H16" s="635"/>
      <c r="I16" s="116">
        <f t="shared" si="2"/>
        <v>2416.8999999999992</v>
      </c>
    </row>
    <row r="17" spans="1:9" x14ac:dyDescent="0.25">
      <c r="A17" s="180"/>
      <c r="B17" s="125">
        <f t="shared" si="1"/>
        <v>136</v>
      </c>
      <c r="C17" s="16"/>
      <c r="D17" s="470"/>
      <c r="E17" s="513"/>
      <c r="F17" s="470">
        <f t="shared" si="0"/>
        <v>0</v>
      </c>
      <c r="G17" s="472"/>
      <c r="H17" s="411"/>
      <c r="I17" s="116">
        <f t="shared" si="2"/>
        <v>2416.8999999999992</v>
      </c>
    </row>
    <row r="18" spans="1:9" x14ac:dyDescent="0.25">
      <c r="A18" s="180"/>
      <c r="B18" s="125">
        <f t="shared" si="1"/>
        <v>136</v>
      </c>
      <c r="C18" s="16"/>
      <c r="D18" s="470"/>
      <c r="E18" s="513"/>
      <c r="F18" s="470">
        <f t="shared" si="0"/>
        <v>0</v>
      </c>
      <c r="G18" s="472"/>
      <c r="H18" s="411"/>
      <c r="I18" s="116">
        <f t="shared" si="2"/>
        <v>2416.8999999999992</v>
      </c>
    </row>
    <row r="19" spans="1:9" x14ac:dyDescent="0.25">
      <c r="A19" s="180"/>
      <c r="B19" s="125">
        <f t="shared" si="1"/>
        <v>136</v>
      </c>
      <c r="C19" s="16"/>
      <c r="D19" s="470"/>
      <c r="E19" s="513"/>
      <c r="F19" s="470">
        <f t="shared" si="0"/>
        <v>0</v>
      </c>
      <c r="G19" s="472"/>
      <c r="H19" s="411"/>
      <c r="I19" s="116">
        <f t="shared" si="2"/>
        <v>2416.8999999999992</v>
      </c>
    </row>
    <row r="20" spans="1:9" x14ac:dyDescent="0.25">
      <c r="A20" s="180"/>
      <c r="B20" s="125">
        <f t="shared" si="1"/>
        <v>136</v>
      </c>
      <c r="C20" s="16"/>
      <c r="D20" s="470"/>
      <c r="E20" s="513"/>
      <c r="F20" s="470">
        <f t="shared" si="0"/>
        <v>0</v>
      </c>
      <c r="G20" s="472"/>
      <c r="H20" s="411"/>
      <c r="I20" s="116">
        <f t="shared" si="2"/>
        <v>2416.8999999999992</v>
      </c>
    </row>
    <row r="21" spans="1:9" x14ac:dyDescent="0.25">
      <c r="A21" s="180"/>
      <c r="B21" s="125">
        <f t="shared" si="1"/>
        <v>136</v>
      </c>
      <c r="C21" s="16"/>
      <c r="D21" s="470"/>
      <c r="E21" s="513"/>
      <c r="F21" s="470">
        <f t="shared" si="0"/>
        <v>0</v>
      </c>
      <c r="G21" s="472"/>
      <c r="H21" s="411"/>
      <c r="I21" s="116">
        <f t="shared" si="2"/>
        <v>2416.8999999999992</v>
      </c>
    </row>
    <row r="22" spans="1:9" x14ac:dyDescent="0.25">
      <c r="A22" s="181"/>
      <c r="B22" s="125">
        <f>B21-C22</f>
        <v>136</v>
      </c>
      <c r="C22" s="16"/>
      <c r="D22" s="470"/>
      <c r="E22" s="513"/>
      <c r="F22" s="470">
        <f t="shared" si="0"/>
        <v>0</v>
      </c>
      <c r="G22" s="472"/>
      <c r="H22" s="411"/>
      <c r="I22" s="116">
        <f t="shared" si="2"/>
        <v>2416.8999999999992</v>
      </c>
    </row>
    <row r="23" spans="1:9" x14ac:dyDescent="0.25">
      <c r="A23" s="180"/>
      <c r="B23" s="125">
        <f t="shared" ref="B23:B53" si="3">B22-C23</f>
        <v>136</v>
      </c>
      <c r="C23" s="16"/>
      <c r="D23" s="470"/>
      <c r="E23" s="513"/>
      <c r="F23" s="470">
        <f t="shared" si="0"/>
        <v>0</v>
      </c>
      <c r="G23" s="472"/>
      <c r="H23" s="411"/>
      <c r="I23" s="116">
        <f t="shared" si="2"/>
        <v>2416.8999999999992</v>
      </c>
    </row>
    <row r="24" spans="1:9" x14ac:dyDescent="0.25">
      <c r="A24" s="180"/>
      <c r="B24" s="125">
        <f t="shared" si="3"/>
        <v>136</v>
      </c>
      <c r="C24" s="16"/>
      <c r="D24" s="470"/>
      <c r="E24" s="513"/>
      <c r="F24" s="470">
        <f t="shared" si="0"/>
        <v>0</v>
      </c>
      <c r="G24" s="472"/>
      <c r="H24" s="411"/>
      <c r="I24" s="116">
        <f t="shared" si="2"/>
        <v>2416.8999999999992</v>
      </c>
    </row>
    <row r="25" spans="1:9" x14ac:dyDescent="0.25">
      <c r="A25" s="180"/>
      <c r="B25" s="125">
        <f t="shared" si="3"/>
        <v>136</v>
      </c>
      <c r="C25" s="16"/>
      <c r="D25" s="470"/>
      <c r="E25" s="513"/>
      <c r="F25" s="470">
        <f t="shared" si="0"/>
        <v>0</v>
      </c>
      <c r="G25" s="472"/>
      <c r="H25" s="411"/>
      <c r="I25" s="116">
        <f t="shared" si="2"/>
        <v>2416.8999999999992</v>
      </c>
    </row>
    <row r="26" spans="1:9" x14ac:dyDescent="0.25">
      <c r="A26" s="180"/>
      <c r="B26" s="125">
        <f t="shared" si="3"/>
        <v>136</v>
      </c>
      <c r="C26" s="16"/>
      <c r="D26" s="434"/>
      <c r="E26" s="524"/>
      <c r="F26" s="434">
        <f t="shared" si="0"/>
        <v>0</v>
      </c>
      <c r="G26" s="280"/>
      <c r="H26" s="170"/>
      <c r="I26" s="116">
        <f t="shared" si="2"/>
        <v>2416.8999999999992</v>
      </c>
    </row>
    <row r="27" spans="1:9" x14ac:dyDescent="0.25">
      <c r="A27" s="180"/>
      <c r="B27" s="125">
        <f t="shared" si="3"/>
        <v>136</v>
      </c>
      <c r="C27" s="16"/>
      <c r="D27" s="434"/>
      <c r="E27" s="524"/>
      <c r="F27" s="434">
        <f t="shared" si="0"/>
        <v>0</v>
      </c>
      <c r="G27" s="280"/>
      <c r="H27" s="170"/>
      <c r="I27" s="116">
        <f t="shared" si="2"/>
        <v>2416.8999999999992</v>
      </c>
    </row>
    <row r="28" spans="1:9" x14ac:dyDescent="0.25">
      <c r="A28" s="180"/>
      <c r="B28" s="125">
        <f t="shared" si="3"/>
        <v>136</v>
      </c>
      <c r="C28" s="16"/>
      <c r="D28" s="434"/>
      <c r="E28" s="524"/>
      <c r="F28" s="434">
        <f t="shared" si="0"/>
        <v>0</v>
      </c>
      <c r="G28" s="280"/>
      <c r="H28" s="170"/>
      <c r="I28" s="116">
        <f t="shared" si="2"/>
        <v>2416.8999999999992</v>
      </c>
    </row>
    <row r="29" spans="1:9" x14ac:dyDescent="0.25">
      <c r="A29" s="180"/>
      <c r="B29" s="125">
        <f t="shared" si="3"/>
        <v>136</v>
      </c>
      <c r="C29" s="16"/>
      <c r="D29" s="434"/>
      <c r="E29" s="524"/>
      <c r="F29" s="434">
        <f t="shared" si="0"/>
        <v>0</v>
      </c>
      <c r="G29" s="280"/>
      <c r="H29" s="170"/>
      <c r="I29" s="116">
        <f t="shared" si="2"/>
        <v>2416.8999999999992</v>
      </c>
    </row>
    <row r="30" spans="1:9" x14ac:dyDescent="0.25">
      <c r="A30" s="180"/>
      <c r="B30" s="125">
        <f t="shared" si="3"/>
        <v>136</v>
      </c>
      <c r="C30" s="16"/>
      <c r="D30" s="434"/>
      <c r="E30" s="524"/>
      <c r="F30" s="434">
        <f t="shared" si="0"/>
        <v>0</v>
      </c>
      <c r="G30" s="280"/>
      <c r="H30" s="170"/>
      <c r="I30" s="116">
        <f t="shared" si="2"/>
        <v>2416.8999999999992</v>
      </c>
    </row>
    <row r="31" spans="1:9" x14ac:dyDescent="0.25">
      <c r="A31" s="180"/>
      <c r="B31" s="125">
        <f t="shared" si="3"/>
        <v>136</v>
      </c>
      <c r="C31" s="16"/>
      <c r="D31" s="434"/>
      <c r="E31" s="524"/>
      <c r="F31" s="434">
        <f t="shared" si="0"/>
        <v>0</v>
      </c>
      <c r="G31" s="280"/>
      <c r="H31" s="170"/>
      <c r="I31" s="116">
        <f t="shared" si="2"/>
        <v>2416.8999999999992</v>
      </c>
    </row>
    <row r="32" spans="1:9" x14ac:dyDescent="0.25">
      <c r="A32" s="180"/>
      <c r="B32" s="125">
        <f t="shared" si="3"/>
        <v>136</v>
      </c>
      <c r="C32" s="16"/>
      <c r="D32" s="434"/>
      <c r="E32" s="524"/>
      <c r="F32" s="434">
        <f t="shared" si="0"/>
        <v>0</v>
      </c>
      <c r="G32" s="280"/>
      <c r="H32" s="170"/>
      <c r="I32" s="116">
        <f t="shared" si="2"/>
        <v>2416.8999999999992</v>
      </c>
    </row>
    <row r="33" spans="1:9" x14ac:dyDescent="0.25">
      <c r="A33" s="180"/>
      <c r="B33" s="125">
        <f t="shared" si="3"/>
        <v>136</v>
      </c>
      <c r="C33" s="16"/>
      <c r="D33" s="434"/>
      <c r="E33" s="524"/>
      <c r="F33" s="434">
        <f t="shared" si="0"/>
        <v>0</v>
      </c>
      <c r="G33" s="280"/>
      <c r="H33" s="170"/>
      <c r="I33" s="116">
        <f t="shared" si="2"/>
        <v>2416.8999999999992</v>
      </c>
    </row>
    <row r="34" spans="1:9" x14ac:dyDescent="0.25">
      <c r="A34" s="180"/>
      <c r="B34" s="125">
        <f t="shared" si="3"/>
        <v>136</v>
      </c>
      <c r="C34" s="16"/>
      <c r="D34" s="434"/>
      <c r="E34" s="524"/>
      <c r="F34" s="434">
        <f t="shared" si="0"/>
        <v>0</v>
      </c>
      <c r="G34" s="280"/>
      <c r="H34" s="170"/>
      <c r="I34" s="116">
        <f t="shared" si="2"/>
        <v>2416.8999999999992</v>
      </c>
    </row>
    <row r="35" spans="1:9" x14ac:dyDescent="0.25">
      <c r="A35" s="180" t="s">
        <v>22</v>
      </c>
      <c r="B35" s="125">
        <f t="shared" si="3"/>
        <v>136</v>
      </c>
      <c r="C35" s="16"/>
      <c r="D35" s="434"/>
      <c r="E35" s="524"/>
      <c r="F35" s="434">
        <f t="shared" si="0"/>
        <v>0</v>
      </c>
      <c r="G35" s="280"/>
      <c r="H35" s="170"/>
      <c r="I35" s="116">
        <f t="shared" si="2"/>
        <v>2416.8999999999992</v>
      </c>
    </row>
    <row r="36" spans="1:9" x14ac:dyDescent="0.25">
      <c r="A36" s="181"/>
      <c r="B36" s="125">
        <f t="shared" si="3"/>
        <v>136</v>
      </c>
      <c r="C36" s="16"/>
      <c r="D36" s="434"/>
      <c r="E36" s="524"/>
      <c r="F36" s="434">
        <f t="shared" si="0"/>
        <v>0</v>
      </c>
      <c r="G36" s="280"/>
      <c r="H36" s="170"/>
      <c r="I36" s="116">
        <f t="shared" si="2"/>
        <v>2416.8999999999992</v>
      </c>
    </row>
    <row r="37" spans="1:9" x14ac:dyDescent="0.25">
      <c r="A37" s="180"/>
      <c r="B37" s="125">
        <f t="shared" si="3"/>
        <v>136</v>
      </c>
      <c r="C37" s="16"/>
      <c r="D37" s="434"/>
      <c r="E37" s="524"/>
      <c r="F37" s="434">
        <f t="shared" si="0"/>
        <v>0</v>
      </c>
      <c r="G37" s="280"/>
      <c r="H37" s="170"/>
      <c r="I37" s="116">
        <f t="shared" si="2"/>
        <v>2416.8999999999992</v>
      </c>
    </row>
    <row r="38" spans="1:9" x14ac:dyDescent="0.25">
      <c r="A38" s="180"/>
      <c r="B38" s="125">
        <f t="shared" si="3"/>
        <v>136</v>
      </c>
      <c r="C38" s="16"/>
      <c r="D38" s="434"/>
      <c r="E38" s="524"/>
      <c r="F38" s="434">
        <f t="shared" si="0"/>
        <v>0</v>
      </c>
      <c r="G38" s="280"/>
      <c r="H38" s="170"/>
      <c r="I38" s="116">
        <f t="shared" si="2"/>
        <v>2416.8999999999992</v>
      </c>
    </row>
    <row r="39" spans="1:9" x14ac:dyDescent="0.25">
      <c r="A39" s="180"/>
      <c r="B39" s="125">
        <f t="shared" si="3"/>
        <v>136</v>
      </c>
      <c r="C39" s="16"/>
      <c r="D39" s="434"/>
      <c r="E39" s="524"/>
      <c r="F39" s="434">
        <f t="shared" si="0"/>
        <v>0</v>
      </c>
      <c r="G39" s="280"/>
      <c r="H39" s="170"/>
      <c r="I39" s="116">
        <f t="shared" si="2"/>
        <v>2416.8999999999992</v>
      </c>
    </row>
    <row r="40" spans="1:9" x14ac:dyDescent="0.25">
      <c r="A40" s="180"/>
      <c r="B40" s="125">
        <f t="shared" si="3"/>
        <v>136</v>
      </c>
      <c r="C40" s="16"/>
      <c r="D40" s="434"/>
      <c r="E40" s="524"/>
      <c r="F40" s="434">
        <f t="shared" si="0"/>
        <v>0</v>
      </c>
      <c r="G40" s="280"/>
      <c r="H40" s="170"/>
      <c r="I40" s="116">
        <f t="shared" si="2"/>
        <v>2416.8999999999992</v>
      </c>
    </row>
    <row r="41" spans="1:9" x14ac:dyDescent="0.25">
      <c r="A41" s="180"/>
      <c r="B41" s="125">
        <f t="shared" si="3"/>
        <v>136</v>
      </c>
      <c r="C41" s="16"/>
      <c r="D41" s="434"/>
      <c r="E41" s="524"/>
      <c r="F41" s="434">
        <f t="shared" si="0"/>
        <v>0</v>
      </c>
      <c r="G41" s="280"/>
      <c r="H41" s="170"/>
      <c r="I41" s="116">
        <f t="shared" si="2"/>
        <v>2416.8999999999992</v>
      </c>
    </row>
    <row r="42" spans="1:9" x14ac:dyDescent="0.25">
      <c r="A42" s="180"/>
      <c r="B42" s="125">
        <f t="shared" si="3"/>
        <v>136</v>
      </c>
      <c r="C42" s="16"/>
      <c r="D42" s="434"/>
      <c r="E42" s="524"/>
      <c r="F42" s="434">
        <f t="shared" si="0"/>
        <v>0</v>
      </c>
      <c r="G42" s="280"/>
      <c r="H42" s="170"/>
      <c r="I42" s="116">
        <f t="shared" si="2"/>
        <v>2416.8999999999992</v>
      </c>
    </row>
    <row r="43" spans="1:9" x14ac:dyDescent="0.25">
      <c r="A43" s="180"/>
      <c r="B43" s="125">
        <f t="shared" si="3"/>
        <v>136</v>
      </c>
      <c r="C43" s="16"/>
      <c r="D43" s="434"/>
      <c r="E43" s="524"/>
      <c r="F43" s="434">
        <f t="shared" si="0"/>
        <v>0</v>
      </c>
      <c r="G43" s="280"/>
      <c r="H43" s="170"/>
      <c r="I43" s="116">
        <f t="shared" si="2"/>
        <v>2416.8999999999992</v>
      </c>
    </row>
    <row r="44" spans="1:9" x14ac:dyDescent="0.25">
      <c r="A44" s="180"/>
      <c r="B44" s="125">
        <f t="shared" si="3"/>
        <v>136</v>
      </c>
      <c r="C44" s="16"/>
      <c r="D44" s="434"/>
      <c r="E44" s="524"/>
      <c r="F44" s="434">
        <f t="shared" si="0"/>
        <v>0</v>
      </c>
      <c r="G44" s="280"/>
      <c r="H44" s="170"/>
      <c r="I44" s="116">
        <f t="shared" si="2"/>
        <v>2416.8999999999992</v>
      </c>
    </row>
    <row r="45" spans="1:9" x14ac:dyDescent="0.25">
      <c r="A45" s="180"/>
      <c r="B45" s="125">
        <f t="shared" si="3"/>
        <v>136</v>
      </c>
      <c r="C45" s="16"/>
      <c r="D45" s="434"/>
      <c r="E45" s="524"/>
      <c r="F45" s="434">
        <f t="shared" si="0"/>
        <v>0</v>
      </c>
      <c r="G45" s="280"/>
      <c r="H45" s="170"/>
      <c r="I45" s="116">
        <f t="shared" si="2"/>
        <v>2416.8999999999992</v>
      </c>
    </row>
    <row r="46" spans="1:9" x14ac:dyDescent="0.25">
      <c r="A46" s="180"/>
      <c r="B46" s="125">
        <f t="shared" si="3"/>
        <v>136</v>
      </c>
      <c r="C46" s="16"/>
      <c r="D46" s="434"/>
      <c r="E46" s="524"/>
      <c r="F46" s="434">
        <f t="shared" si="0"/>
        <v>0</v>
      </c>
      <c r="G46" s="280"/>
      <c r="H46" s="170"/>
      <c r="I46" s="116">
        <f t="shared" si="2"/>
        <v>2416.8999999999992</v>
      </c>
    </row>
    <row r="47" spans="1:9" x14ac:dyDescent="0.25">
      <c r="A47" s="180"/>
      <c r="B47" s="125">
        <f t="shared" si="3"/>
        <v>136</v>
      </c>
      <c r="C47" s="16"/>
      <c r="D47" s="89"/>
      <c r="E47" s="404"/>
      <c r="F47" s="89">
        <f t="shared" si="0"/>
        <v>0</v>
      </c>
      <c r="G47" s="90"/>
      <c r="H47" s="91"/>
      <c r="I47" s="116">
        <f t="shared" si="2"/>
        <v>2416.8999999999992</v>
      </c>
    </row>
    <row r="48" spans="1:9" x14ac:dyDescent="0.25">
      <c r="A48" s="180"/>
      <c r="B48" s="125">
        <f t="shared" si="3"/>
        <v>136</v>
      </c>
      <c r="C48" s="16"/>
      <c r="D48" s="89"/>
      <c r="E48" s="404"/>
      <c r="F48" s="89">
        <f t="shared" si="0"/>
        <v>0</v>
      </c>
      <c r="G48" s="90"/>
      <c r="H48" s="91"/>
      <c r="I48" s="116">
        <f t="shared" si="2"/>
        <v>2416.8999999999992</v>
      </c>
    </row>
    <row r="49" spans="1:9" x14ac:dyDescent="0.25">
      <c r="A49" s="180"/>
      <c r="B49" s="125">
        <f t="shared" si="3"/>
        <v>136</v>
      </c>
      <c r="C49" s="16"/>
      <c r="D49" s="89"/>
      <c r="E49" s="404"/>
      <c r="F49" s="89">
        <f t="shared" si="0"/>
        <v>0</v>
      </c>
      <c r="G49" s="90"/>
      <c r="H49" s="91"/>
      <c r="I49" s="116">
        <f t="shared" si="2"/>
        <v>2416.8999999999992</v>
      </c>
    </row>
    <row r="50" spans="1:9" x14ac:dyDescent="0.25">
      <c r="A50" s="180"/>
      <c r="B50" s="125">
        <f t="shared" si="3"/>
        <v>136</v>
      </c>
      <c r="C50" s="16"/>
      <c r="D50" s="89"/>
      <c r="E50" s="404"/>
      <c r="F50" s="89">
        <f t="shared" si="0"/>
        <v>0</v>
      </c>
      <c r="G50" s="90"/>
      <c r="H50" s="91"/>
      <c r="I50" s="116">
        <f t="shared" si="2"/>
        <v>2416.8999999999992</v>
      </c>
    </row>
    <row r="51" spans="1:9" x14ac:dyDescent="0.25">
      <c r="A51" s="180"/>
      <c r="B51" s="125">
        <f t="shared" si="3"/>
        <v>136</v>
      </c>
      <c r="C51" s="16"/>
      <c r="D51" s="89"/>
      <c r="E51" s="404"/>
      <c r="F51" s="89">
        <f t="shared" si="0"/>
        <v>0</v>
      </c>
      <c r="G51" s="90"/>
      <c r="H51" s="91"/>
      <c r="I51" s="116">
        <f t="shared" si="2"/>
        <v>2416.8999999999992</v>
      </c>
    </row>
    <row r="52" spans="1:9" x14ac:dyDescent="0.25">
      <c r="A52" s="180"/>
      <c r="B52" s="125">
        <f t="shared" si="3"/>
        <v>136</v>
      </c>
      <c r="C52" s="16"/>
      <c r="D52" s="89"/>
      <c r="E52" s="404"/>
      <c r="F52" s="89">
        <f t="shared" si="0"/>
        <v>0</v>
      </c>
      <c r="G52" s="90"/>
      <c r="H52" s="91"/>
      <c r="I52" s="116">
        <f t="shared" si="2"/>
        <v>2416.8999999999992</v>
      </c>
    </row>
    <row r="53" spans="1:9" x14ac:dyDescent="0.25">
      <c r="A53" s="180"/>
      <c r="B53" s="125">
        <f t="shared" si="3"/>
        <v>136</v>
      </c>
      <c r="C53" s="16"/>
      <c r="D53" s="89"/>
      <c r="E53" s="404"/>
      <c r="F53" s="89">
        <f t="shared" si="0"/>
        <v>0</v>
      </c>
      <c r="G53" s="90"/>
      <c r="H53" s="91"/>
      <c r="I53" s="116">
        <f t="shared" si="2"/>
        <v>2416.8999999999992</v>
      </c>
    </row>
    <row r="54" spans="1:9" x14ac:dyDescent="0.25">
      <c r="A54" s="180"/>
      <c r="B54" s="13"/>
      <c r="C54" s="16"/>
      <c r="D54" s="89"/>
      <c r="E54" s="404"/>
      <c r="F54" s="89">
        <f t="shared" si="0"/>
        <v>0</v>
      </c>
      <c r="G54" s="90"/>
      <c r="H54" s="91"/>
      <c r="I54" s="116">
        <f t="shared" si="2"/>
        <v>2416.8999999999992</v>
      </c>
    </row>
    <row r="55" spans="1:9" x14ac:dyDescent="0.25">
      <c r="A55" s="180"/>
      <c r="B55" s="13"/>
      <c r="C55" s="16"/>
      <c r="D55" s="89"/>
      <c r="E55" s="404"/>
      <c r="F55" s="89">
        <f t="shared" si="0"/>
        <v>0</v>
      </c>
      <c r="G55" s="90"/>
      <c r="H55" s="91"/>
      <c r="I55" s="116">
        <f t="shared" si="2"/>
        <v>2416.8999999999992</v>
      </c>
    </row>
    <row r="56" spans="1:9" x14ac:dyDescent="0.25">
      <c r="A56" s="180"/>
      <c r="B56" s="13"/>
      <c r="C56" s="16"/>
      <c r="D56" s="89"/>
      <c r="E56" s="404"/>
      <c r="F56" s="89">
        <f t="shared" si="0"/>
        <v>0</v>
      </c>
      <c r="G56" s="90"/>
      <c r="H56" s="91"/>
      <c r="I56" s="116">
        <f t="shared" si="2"/>
        <v>2416.8999999999992</v>
      </c>
    </row>
    <row r="57" spans="1:9" x14ac:dyDescent="0.25">
      <c r="A57" s="180"/>
      <c r="B57" s="13"/>
      <c r="C57" s="16"/>
      <c r="D57" s="89"/>
      <c r="E57" s="404"/>
      <c r="F57" s="89">
        <f t="shared" si="0"/>
        <v>0</v>
      </c>
      <c r="G57" s="90"/>
      <c r="H57" s="91"/>
      <c r="I57" s="116">
        <f t="shared" si="2"/>
        <v>2416.8999999999992</v>
      </c>
    </row>
    <row r="58" spans="1:9" x14ac:dyDescent="0.25">
      <c r="A58" s="180"/>
      <c r="B58" s="13"/>
      <c r="C58" s="16"/>
      <c r="D58" s="89"/>
      <c r="E58" s="404"/>
      <c r="F58" s="89">
        <f t="shared" si="0"/>
        <v>0</v>
      </c>
      <c r="G58" s="90"/>
      <c r="H58" s="91"/>
      <c r="I58" s="116">
        <f t="shared" si="2"/>
        <v>2416.8999999999992</v>
      </c>
    </row>
    <row r="59" spans="1:9" x14ac:dyDescent="0.25">
      <c r="A59" s="180"/>
      <c r="B59" s="13"/>
      <c r="C59" s="16"/>
      <c r="D59" s="89"/>
      <c r="E59" s="404"/>
      <c r="F59" s="89">
        <f t="shared" si="0"/>
        <v>0</v>
      </c>
      <c r="G59" s="90"/>
      <c r="H59" s="91"/>
      <c r="I59" s="116">
        <f t="shared" si="2"/>
        <v>2416.8999999999992</v>
      </c>
    </row>
    <row r="60" spans="1:9" x14ac:dyDescent="0.25">
      <c r="A60" s="180"/>
      <c r="B60" s="13"/>
      <c r="C60" s="16"/>
      <c r="D60" s="89"/>
      <c r="E60" s="404"/>
      <c r="F60" s="89">
        <f t="shared" si="0"/>
        <v>0</v>
      </c>
      <c r="G60" s="90"/>
      <c r="H60" s="91"/>
      <c r="I60" s="116">
        <f t="shared" si="2"/>
        <v>2416.8999999999992</v>
      </c>
    </row>
    <row r="61" spans="1:9" x14ac:dyDescent="0.25">
      <c r="A61" s="180"/>
      <c r="B61" s="13"/>
      <c r="C61" s="16"/>
      <c r="D61" s="89"/>
      <c r="E61" s="404"/>
      <c r="F61" s="89">
        <f t="shared" si="0"/>
        <v>0</v>
      </c>
      <c r="G61" s="90"/>
      <c r="H61" s="91"/>
      <c r="I61" s="116">
        <f t="shared" si="2"/>
        <v>2416.8999999999992</v>
      </c>
    </row>
    <row r="62" spans="1:9" x14ac:dyDescent="0.25">
      <c r="A62" s="180"/>
      <c r="B62" s="13"/>
      <c r="C62" s="16"/>
      <c r="D62" s="89"/>
      <c r="E62" s="404"/>
      <c r="F62" s="89">
        <f t="shared" si="0"/>
        <v>0</v>
      </c>
      <c r="G62" s="90"/>
      <c r="H62" s="91"/>
      <c r="I62" s="116">
        <f t="shared" si="2"/>
        <v>2416.8999999999992</v>
      </c>
    </row>
    <row r="63" spans="1:9" x14ac:dyDescent="0.25">
      <c r="A63" s="180"/>
      <c r="C63" s="16"/>
      <c r="D63" s="89"/>
      <c r="E63" s="404"/>
      <c r="F63" s="89">
        <f t="shared" si="0"/>
        <v>0</v>
      </c>
      <c r="G63" s="90"/>
      <c r="H63" s="91"/>
      <c r="I63" s="116">
        <f t="shared" si="2"/>
        <v>2416.8999999999992</v>
      </c>
    </row>
    <row r="64" spans="1:9" x14ac:dyDescent="0.25">
      <c r="A64" s="180"/>
      <c r="C64" s="16"/>
      <c r="D64" s="89"/>
      <c r="E64" s="404"/>
      <c r="F64" s="89">
        <f t="shared" si="0"/>
        <v>0</v>
      </c>
      <c r="G64" s="90"/>
      <c r="H64" s="91"/>
      <c r="I64" s="116">
        <f t="shared" si="2"/>
        <v>2416.8999999999992</v>
      </c>
    </row>
    <row r="65" spans="1:9" x14ac:dyDescent="0.25">
      <c r="A65" s="180"/>
      <c r="C65" s="16"/>
      <c r="D65" s="89"/>
      <c r="E65" s="404"/>
      <c r="F65" s="89">
        <f t="shared" si="0"/>
        <v>0</v>
      </c>
      <c r="G65" s="90"/>
      <c r="H65" s="91"/>
      <c r="I65" s="116">
        <f t="shared" si="2"/>
        <v>2416.8999999999992</v>
      </c>
    </row>
    <row r="66" spans="1:9" x14ac:dyDescent="0.25">
      <c r="A66" s="180"/>
      <c r="C66" s="16"/>
      <c r="D66" s="89"/>
      <c r="E66" s="404"/>
      <c r="F66" s="89">
        <f t="shared" si="0"/>
        <v>0</v>
      </c>
      <c r="G66" s="90"/>
      <c r="H66" s="91"/>
      <c r="I66" s="116">
        <f t="shared" si="2"/>
        <v>2416.8999999999992</v>
      </c>
    </row>
    <row r="67" spans="1:9" x14ac:dyDescent="0.25">
      <c r="A67" s="180"/>
      <c r="C67" s="16"/>
      <c r="D67" s="89"/>
      <c r="E67" s="404"/>
      <c r="F67" s="89">
        <f t="shared" si="0"/>
        <v>0</v>
      </c>
      <c r="G67" s="90"/>
      <c r="H67" s="91"/>
      <c r="I67" s="116">
        <f t="shared" si="2"/>
        <v>2416.8999999999992</v>
      </c>
    </row>
    <row r="68" spans="1:9" x14ac:dyDescent="0.25">
      <c r="A68" s="180"/>
      <c r="C68" s="16"/>
      <c r="D68" s="89"/>
      <c r="E68" s="404"/>
      <c r="F68" s="89">
        <f t="shared" si="0"/>
        <v>0</v>
      </c>
      <c r="G68" s="90"/>
      <c r="H68" s="91"/>
      <c r="I68" s="116">
        <f t="shared" si="2"/>
        <v>2416.8999999999992</v>
      </c>
    </row>
    <row r="69" spans="1:9" x14ac:dyDescent="0.25">
      <c r="A69" s="180"/>
      <c r="C69" s="16"/>
      <c r="D69" s="89"/>
      <c r="E69" s="404"/>
      <c r="F69" s="89">
        <f t="shared" si="0"/>
        <v>0</v>
      </c>
      <c r="G69" s="90"/>
      <c r="H69" s="91"/>
      <c r="I69" s="116">
        <f t="shared" si="2"/>
        <v>2416.8999999999992</v>
      </c>
    </row>
    <row r="70" spans="1:9" x14ac:dyDescent="0.25">
      <c r="A70" s="180"/>
      <c r="C70" s="16"/>
      <c r="D70" s="89"/>
      <c r="E70" s="404"/>
      <c r="F70" s="89">
        <f t="shared" si="0"/>
        <v>0</v>
      </c>
      <c r="G70" s="90"/>
      <c r="H70" s="91"/>
      <c r="I70" s="116">
        <f t="shared" si="2"/>
        <v>2416.8999999999992</v>
      </c>
    </row>
    <row r="71" spans="1:9" x14ac:dyDescent="0.25">
      <c r="A71" s="180"/>
      <c r="C71" s="16"/>
      <c r="D71" s="89"/>
      <c r="E71" s="404"/>
      <c r="F71" s="89">
        <f t="shared" si="0"/>
        <v>0</v>
      </c>
      <c r="G71" s="90"/>
      <c r="H71" s="91"/>
      <c r="I71" s="116">
        <f t="shared" si="2"/>
        <v>2416.8999999999992</v>
      </c>
    </row>
    <row r="72" spans="1:9" x14ac:dyDescent="0.25">
      <c r="A72" s="180"/>
      <c r="C72" s="16"/>
      <c r="D72" s="89"/>
      <c r="E72" s="404"/>
      <c r="F72" s="89">
        <f t="shared" si="0"/>
        <v>0</v>
      </c>
      <c r="G72" s="90"/>
      <c r="H72" s="91"/>
      <c r="I72" s="116">
        <f t="shared" si="2"/>
        <v>2416.8999999999992</v>
      </c>
    </row>
    <row r="73" spans="1:9" x14ac:dyDescent="0.25">
      <c r="A73" s="180"/>
      <c r="C73" s="16"/>
      <c r="D73" s="89"/>
      <c r="E73" s="404"/>
      <c r="F73" s="89">
        <f>D73</f>
        <v>0</v>
      </c>
      <c r="G73" s="90"/>
      <c r="H73" s="91"/>
      <c r="I73" s="116">
        <f t="shared" si="2"/>
        <v>2416.8999999999992</v>
      </c>
    </row>
    <row r="74" spans="1:9" x14ac:dyDescent="0.25">
      <c r="A74" s="180"/>
      <c r="C74" s="16"/>
      <c r="D74" s="89"/>
      <c r="E74" s="404"/>
      <c r="F74" s="89">
        <f>D74</f>
        <v>0</v>
      </c>
      <c r="G74" s="90"/>
      <c r="H74" s="91"/>
      <c r="I74" s="116">
        <f t="shared" si="2"/>
        <v>2416.8999999999992</v>
      </c>
    </row>
    <row r="75" spans="1:9" x14ac:dyDescent="0.25">
      <c r="A75" s="180"/>
      <c r="C75" s="16"/>
      <c r="D75" s="89"/>
      <c r="E75" s="404"/>
      <c r="F75" s="89">
        <f>D75</f>
        <v>0</v>
      </c>
      <c r="G75" s="90"/>
      <c r="H75" s="91"/>
      <c r="I75" s="116">
        <f t="shared" ref="I75" si="4">I74-F75</f>
        <v>2416.8999999999992</v>
      </c>
    </row>
    <row r="76" spans="1:9" ht="15.75" thickBot="1" x14ac:dyDescent="0.3">
      <c r="A76" s="180"/>
      <c r="B76" s="17"/>
      <c r="C76" s="61"/>
      <c r="D76" s="156"/>
      <c r="E76" s="390"/>
      <c r="F76" s="149"/>
      <c r="G76" s="150"/>
      <c r="H76" s="78"/>
    </row>
    <row r="77" spans="1:9" x14ac:dyDescent="0.25">
      <c r="C77" s="62">
        <f>SUM(C9:C76)</f>
        <v>153</v>
      </c>
      <c r="D77" s="7">
        <f>SUM(D9:D76)</f>
        <v>2568.7999999999997</v>
      </c>
      <c r="F77" s="7">
        <f>SUM(F9:F76)</f>
        <v>2568.7999999999997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136</v>
      </c>
    </row>
    <row r="81" spans="3:6" ht="15.75" thickBot="1" x14ac:dyDescent="0.3"/>
    <row r="82" spans="3:6" ht="15.75" thickBot="1" x14ac:dyDescent="0.3">
      <c r="C82" s="751" t="s">
        <v>11</v>
      </c>
      <c r="D82" s="752"/>
      <c r="E82" s="74">
        <f>E5+E6-F77+E7</f>
        <v>2416.9</v>
      </c>
      <c r="F82" s="97"/>
    </row>
  </sheetData>
  <mergeCells count="4">
    <mergeCell ref="A1:G1"/>
    <mergeCell ref="A5:A6"/>
    <mergeCell ref="B5:B6"/>
    <mergeCell ref="C82:D8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I24" sqref="I2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44" t="s">
        <v>250</v>
      </c>
      <c r="B1" s="744"/>
      <c r="C1" s="744"/>
      <c r="D1" s="744"/>
      <c r="E1" s="744"/>
      <c r="F1" s="744"/>
      <c r="G1" s="744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ht="15.75" x14ac:dyDescent="0.25">
      <c r="A5" s="437" t="s">
        <v>227</v>
      </c>
      <c r="B5" s="339" t="s">
        <v>229</v>
      </c>
      <c r="C5" s="248">
        <v>28.97</v>
      </c>
      <c r="D5" s="234">
        <v>43554</v>
      </c>
      <c r="E5" s="194">
        <v>503.57</v>
      </c>
      <c r="F5" s="97">
        <v>37</v>
      </c>
      <c r="G5" s="130">
        <f>F40</f>
        <v>503.56999999999994</v>
      </c>
      <c r="H5" s="8">
        <f>E5-G5+E4+E6</f>
        <v>5.6843418860808015E-14</v>
      </c>
    </row>
    <row r="6" spans="1:9" ht="15.75" thickBot="1" x14ac:dyDescent="0.3">
      <c r="B6" s="376"/>
      <c r="C6" s="248"/>
      <c r="D6" s="234"/>
      <c r="E6" s="194"/>
      <c r="F6" s="97"/>
    </row>
    <row r="7" spans="1:9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>
        <v>10</v>
      </c>
      <c r="D8" s="89">
        <f>C8*B8</f>
        <v>136.1</v>
      </c>
      <c r="E8" s="119">
        <v>43554</v>
      </c>
      <c r="F8" s="154">
        <f t="shared" ref="F8:F39" si="0">D8</f>
        <v>136.1</v>
      </c>
      <c r="G8" s="90" t="s">
        <v>240</v>
      </c>
      <c r="H8" s="91">
        <v>32</v>
      </c>
      <c r="I8" s="456">
        <f>E5-F8</f>
        <v>367.47</v>
      </c>
    </row>
    <row r="9" spans="1:9" ht="15.75" x14ac:dyDescent="0.25">
      <c r="B9" s="131">
        <v>13.61</v>
      </c>
      <c r="C9" s="16">
        <v>27</v>
      </c>
      <c r="D9" s="632">
        <f>C9*B9</f>
        <v>367.46999999999997</v>
      </c>
      <c r="E9" s="638">
        <v>43570</v>
      </c>
      <c r="F9" s="639">
        <f t="shared" si="0"/>
        <v>367.46999999999997</v>
      </c>
      <c r="G9" s="634" t="s">
        <v>427</v>
      </c>
      <c r="H9" s="635">
        <v>32</v>
      </c>
      <c r="I9" s="456">
        <f>I8-F9</f>
        <v>0</v>
      </c>
    </row>
    <row r="10" spans="1:9" ht="15.75" x14ac:dyDescent="0.25">
      <c r="B10" s="131">
        <v>13.61</v>
      </c>
      <c r="C10" s="16"/>
      <c r="D10" s="632">
        <f t="shared" ref="D10:D39" si="1">C10*B10</f>
        <v>0</v>
      </c>
      <c r="E10" s="638"/>
      <c r="F10" s="639">
        <f t="shared" si="0"/>
        <v>0</v>
      </c>
      <c r="G10" s="701"/>
      <c r="H10" s="702"/>
      <c r="I10" s="703">
        <f t="shared" ref="I10:I38" si="2">I9-F10</f>
        <v>0</v>
      </c>
    </row>
    <row r="11" spans="1:9" ht="15.75" x14ac:dyDescent="0.25">
      <c r="A11" s="71" t="s">
        <v>33</v>
      </c>
      <c r="B11" s="131">
        <v>13.61</v>
      </c>
      <c r="C11" s="16"/>
      <c r="D11" s="632">
        <f t="shared" si="1"/>
        <v>0</v>
      </c>
      <c r="E11" s="638"/>
      <c r="F11" s="639">
        <f t="shared" si="0"/>
        <v>0</v>
      </c>
      <c r="G11" s="701"/>
      <c r="H11" s="702"/>
      <c r="I11" s="703">
        <f t="shared" si="2"/>
        <v>0</v>
      </c>
    </row>
    <row r="12" spans="1:9" ht="15.75" x14ac:dyDescent="0.25">
      <c r="B12" s="131">
        <v>13.61</v>
      </c>
      <c r="C12" s="16"/>
      <c r="D12" s="632">
        <f t="shared" si="1"/>
        <v>0</v>
      </c>
      <c r="E12" s="638"/>
      <c r="F12" s="639">
        <f t="shared" si="0"/>
        <v>0</v>
      </c>
      <c r="G12" s="701"/>
      <c r="H12" s="702"/>
      <c r="I12" s="703">
        <f t="shared" si="2"/>
        <v>0</v>
      </c>
    </row>
    <row r="13" spans="1:9" ht="15.75" x14ac:dyDescent="0.25">
      <c r="A13" s="20"/>
      <c r="B13" s="131">
        <v>13.61</v>
      </c>
      <c r="C13" s="62"/>
      <c r="D13" s="632">
        <f t="shared" si="1"/>
        <v>0</v>
      </c>
      <c r="E13" s="638"/>
      <c r="F13" s="639">
        <f t="shared" si="0"/>
        <v>0</v>
      </c>
      <c r="G13" s="634"/>
      <c r="H13" s="635"/>
      <c r="I13" s="456">
        <f t="shared" si="2"/>
        <v>0</v>
      </c>
    </row>
    <row r="14" spans="1:9" ht="15.75" x14ac:dyDescent="0.25">
      <c r="B14" s="131">
        <v>13.61</v>
      </c>
      <c r="C14" s="16"/>
      <c r="D14" s="632">
        <f t="shared" si="1"/>
        <v>0</v>
      </c>
      <c r="E14" s="638"/>
      <c r="F14" s="639">
        <f t="shared" si="0"/>
        <v>0</v>
      </c>
      <c r="G14" s="634"/>
      <c r="H14" s="635"/>
      <c r="I14" s="456">
        <f t="shared" si="2"/>
        <v>0</v>
      </c>
    </row>
    <row r="15" spans="1:9" ht="15.75" x14ac:dyDescent="0.25">
      <c r="B15" s="131">
        <v>13.61</v>
      </c>
      <c r="C15" s="16"/>
      <c r="D15" s="89">
        <f t="shared" si="1"/>
        <v>0</v>
      </c>
      <c r="E15" s="119"/>
      <c r="F15" s="154">
        <f t="shared" si="0"/>
        <v>0</v>
      </c>
      <c r="G15" s="90"/>
      <c r="H15" s="91"/>
      <c r="I15" s="456">
        <f t="shared" si="2"/>
        <v>0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56">
        <f t="shared" si="2"/>
        <v>0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56">
        <f t="shared" si="2"/>
        <v>0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56">
        <f t="shared" si="2"/>
        <v>0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56">
        <f t="shared" si="2"/>
        <v>0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56">
        <f t="shared" si="2"/>
        <v>0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56">
        <f t="shared" si="2"/>
        <v>0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56">
        <f t="shared" si="2"/>
        <v>0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56">
        <f t="shared" si="2"/>
        <v>0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56">
        <f t="shared" si="2"/>
        <v>0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56">
        <f t="shared" si="2"/>
        <v>0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56">
        <f t="shared" si="2"/>
        <v>0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56">
        <f t="shared" si="2"/>
        <v>0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56">
        <f t="shared" si="2"/>
        <v>0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56">
        <f t="shared" si="2"/>
        <v>0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56">
        <f t="shared" si="2"/>
        <v>0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56">
        <f t="shared" si="2"/>
        <v>0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56">
        <f t="shared" si="2"/>
        <v>0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56">
        <f t="shared" si="2"/>
        <v>0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56">
        <f t="shared" si="2"/>
        <v>0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56">
        <f t="shared" si="2"/>
        <v>0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56">
        <f t="shared" si="2"/>
        <v>0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56">
        <f t="shared" si="2"/>
        <v>0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56">
        <f t="shared" si="2"/>
        <v>0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409"/>
      <c r="F39" s="410">
        <f t="shared" si="0"/>
        <v>0</v>
      </c>
      <c r="G39" s="209"/>
      <c r="H39" s="392"/>
      <c r="I39" s="457"/>
    </row>
    <row r="40" spans="1:9" ht="15.75" thickTop="1" x14ac:dyDescent="0.25">
      <c r="A40" s="51">
        <f>SUM(A29:A39)</f>
        <v>0</v>
      </c>
      <c r="C40" s="97">
        <f>SUM(C8:C39)</f>
        <v>37</v>
      </c>
      <c r="D40" s="154">
        <f>SUM(D8:D39)</f>
        <v>503.56999999999994</v>
      </c>
      <c r="E40" s="102"/>
      <c r="F40" s="154">
        <f>SUM(F8:F39)</f>
        <v>503.56999999999994</v>
      </c>
    </row>
    <row r="41" spans="1:9" ht="15.75" thickBot="1" x14ac:dyDescent="0.3">
      <c r="A41" s="51"/>
    </row>
    <row r="42" spans="1:9" x14ac:dyDescent="0.25">
      <c r="B42" s="6"/>
      <c r="D42" s="746" t="s">
        <v>21</v>
      </c>
      <c r="E42" s="747"/>
      <c r="F42" s="211">
        <f>E4+E5-F40+E6</f>
        <v>5.6843418860808015E-14</v>
      </c>
    </row>
    <row r="43" spans="1:9" ht="15.75" thickBot="1" x14ac:dyDescent="0.3">
      <c r="A43" s="185"/>
      <c r="D43" s="321" t="s">
        <v>4</v>
      </c>
      <c r="E43" s="322"/>
      <c r="F43" s="53">
        <f>F4+F5-C40+F6</f>
        <v>0</v>
      </c>
    </row>
    <row r="44" spans="1:9" x14ac:dyDescent="0.25">
      <c r="B44" s="6"/>
    </row>
  </sheetData>
  <mergeCells count="2">
    <mergeCell ref="A1:G1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Hoja2</vt:lpstr>
      <vt:lpstr>PIERNA</vt:lpstr>
      <vt:lpstr>CONTRA   SWIFT     </vt:lpstr>
      <vt:lpstr>CONTRA EXCEL   pulpa blanca</vt:lpstr>
      <vt:lpstr>CORBATA SMITHFIELD</vt:lpstr>
      <vt:lpstr>BUCHE  SEABOARD   </vt:lpstr>
      <vt:lpstr>CORBATA SEABOARD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LENGUA DE  CERDO    </vt:lpstr>
      <vt:lpstr>LOMO DE CAÑA    </vt:lpstr>
      <vt:lpstr>MANITAS KEKEN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2018-09-06T20:56:50Z</cp:lastPrinted>
  <dcterms:created xsi:type="dcterms:W3CDTF">2008-07-31T16:59:13Z</dcterms:created>
  <dcterms:modified xsi:type="dcterms:W3CDTF">2019-07-09T15:54:35Z</dcterms:modified>
</cp:coreProperties>
</file>