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E95CDB86-F41F-41EB-8790-F005BD169BE9}" xr6:coauthVersionLast="44" xr6:coauthVersionMax="44" xr10:uidLastSave="{00000000-0000-0000-0000-000000000000}"/>
  <bookViews>
    <workbookView xWindow="8715" yWindow="390" windowWidth="14220" windowHeight="11730" firstSheet="13" activeTab="14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J U N I O     2019     " sheetId="15" r:id="rId11"/>
    <sheet name="SALIDAS   J U N I O    2019   " sheetId="16" r:id="rId12"/>
    <sheet name="J U L I O     2019    " sheetId="19" r:id="rId13"/>
    <sheet name="SALIDAS  J U L I O     2019   " sheetId="20" r:id="rId14"/>
    <sheet name="A G O S T O     2019     " sheetId="23" r:id="rId15"/>
    <sheet name="SALIDAS AGOSTO  2019   " sheetId="24" r:id="rId16"/>
    <sheet name="Hoja5" sheetId="21" r:id="rId17"/>
    <sheet name="Hoja6" sheetId="22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4" i="23" l="1"/>
  <c r="N6" i="23"/>
  <c r="N7" i="23"/>
  <c r="E35" i="23" l="1"/>
  <c r="C41" i="24" l="1"/>
  <c r="L32" i="23" l="1"/>
  <c r="N33" i="23"/>
  <c r="L29" i="23" l="1"/>
  <c r="L23" i="23"/>
  <c r="L21" i="23" l="1"/>
  <c r="L16" i="23"/>
  <c r="L13" i="23"/>
  <c r="N12" i="23" l="1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11" i="23"/>
  <c r="L11" i="23"/>
  <c r="N8" i="23"/>
  <c r="L7" i="23"/>
  <c r="L5" i="23"/>
  <c r="N5" i="23" s="1"/>
  <c r="E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J40" i="23"/>
  <c r="H35" i="23"/>
  <c r="B35" i="23"/>
  <c r="N10" i="23"/>
  <c r="N9" i="23"/>
  <c r="K8" i="23"/>
  <c r="K35" i="23" s="1"/>
  <c r="N34" i="23" l="1"/>
  <c r="F41" i="24"/>
  <c r="J37" i="23"/>
  <c r="E38" i="23" s="1"/>
  <c r="E41" i="23" s="1"/>
  <c r="E43" i="23" s="1"/>
  <c r="J39" i="23" s="1"/>
  <c r="J41" i="23" s="1"/>
  <c r="N34" i="19" l="1"/>
  <c r="L32" i="19" l="1"/>
  <c r="L16" i="19" l="1"/>
  <c r="L26" i="19"/>
  <c r="L25" i="19"/>
  <c r="L22" i="19" l="1"/>
  <c r="L21" i="19"/>
  <c r="L20" i="19"/>
  <c r="N19" i="19"/>
  <c r="L19" i="19"/>
  <c r="L18" i="19"/>
  <c r="L17" i="19"/>
  <c r="L14" i="19"/>
  <c r="N13" i="19" l="1"/>
  <c r="N14" i="19"/>
  <c r="N15" i="19"/>
  <c r="N16" i="19"/>
  <c r="N17" i="19"/>
  <c r="N18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5" i="19"/>
  <c r="N36" i="19"/>
  <c r="N12" i="19"/>
  <c r="N9" i="19"/>
  <c r="N8" i="19"/>
  <c r="L11" i="19"/>
  <c r="N11" i="19" s="1"/>
  <c r="L10" i="19" l="1"/>
  <c r="N6" i="19" l="1"/>
  <c r="L5" i="19" l="1"/>
  <c r="N37" i="19" l="1"/>
  <c r="E41" i="20"/>
  <c r="C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4" i="19"/>
  <c r="H39" i="19"/>
  <c r="E39" i="19"/>
  <c r="B39" i="19"/>
  <c r="N10" i="19"/>
  <c r="K8" i="19"/>
  <c r="K39" i="19" s="1"/>
  <c r="N7" i="19"/>
  <c r="N5" i="19"/>
  <c r="L38" i="19"/>
  <c r="F41" i="20" l="1"/>
  <c r="J41" i="19"/>
  <c r="E42" i="19" s="1"/>
  <c r="E45" i="19" s="1"/>
  <c r="E47" i="19" s="1"/>
  <c r="J43" i="19" s="1"/>
  <c r="J45" i="19" s="1"/>
  <c r="F39" i="16"/>
  <c r="N6" i="15" l="1"/>
  <c r="N25" i="15"/>
  <c r="N24" i="15"/>
  <c r="N21" i="15"/>
  <c r="N19" i="15"/>
  <c r="N17" i="15"/>
  <c r="N13" i="15"/>
  <c r="N11" i="15"/>
  <c r="N10" i="15"/>
  <c r="N7" i="15" l="1"/>
  <c r="N31" i="15"/>
  <c r="L30" i="15" l="1"/>
  <c r="L27" i="15" l="1"/>
  <c r="L26" i="15" l="1"/>
  <c r="N26" i="15" s="1"/>
  <c r="L18" i="15" l="1"/>
  <c r="N18" i="15" s="1"/>
  <c r="L23" i="15" l="1"/>
  <c r="N23" i="15" s="1"/>
  <c r="L22" i="15"/>
  <c r="N22" i="15" s="1"/>
  <c r="L20" i="15"/>
  <c r="N20" i="15" s="1"/>
  <c r="N27" i="15" l="1"/>
  <c r="N28" i="15"/>
  <c r="N29" i="15"/>
  <c r="N30" i="15"/>
  <c r="N32" i="15"/>
  <c r="L16" i="15"/>
  <c r="N16" i="15" s="1"/>
  <c r="L15" i="15"/>
  <c r="N15" i="15" s="1"/>
  <c r="L14" i="15"/>
  <c r="N14" i="15" s="1"/>
  <c r="L12" i="15"/>
  <c r="N12" i="15" s="1"/>
  <c r="L9" i="15" l="1"/>
  <c r="N9" i="15" s="1"/>
  <c r="L8" i="15" l="1"/>
  <c r="N8" i="15" s="1"/>
  <c r="L5" i="15"/>
  <c r="E41" i="16"/>
  <c r="C41" i="16"/>
  <c r="F40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39" i="15"/>
  <c r="H34" i="15"/>
  <c r="E34" i="15"/>
  <c r="B34" i="15"/>
  <c r="K8" i="15"/>
  <c r="K34" i="15" s="1"/>
  <c r="N5" i="15"/>
  <c r="N33" i="15" s="1"/>
  <c r="J36" i="15" l="1"/>
  <c r="E37" i="15" s="1"/>
  <c r="E40" i="15" s="1"/>
  <c r="E42" i="15" s="1"/>
  <c r="J38" i="15" s="1"/>
  <c r="J40" i="15" s="1"/>
  <c r="F41" i="16"/>
  <c r="L33" i="15"/>
  <c r="L34" i="13" l="1"/>
  <c r="E35" i="13"/>
  <c r="N9" i="13" l="1"/>
  <c r="N11" i="13" s="1"/>
  <c r="N6" i="13"/>
  <c r="N7" i="13"/>
  <c r="N8" i="13"/>
  <c r="N10" i="13"/>
  <c r="N5" i="13"/>
  <c r="H35" i="13"/>
  <c r="L26" i="13" l="1"/>
  <c r="L22" i="13" l="1"/>
  <c r="L21" i="13"/>
  <c r="L18" i="13"/>
  <c r="L10" i="13"/>
  <c r="E10" i="13"/>
  <c r="L14" i="13"/>
  <c r="L9" i="13"/>
  <c r="L7" i="13"/>
  <c r="L5" i="13"/>
  <c r="E40" i="14" l="1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<sst xmlns="http://schemas.openxmlformats.org/spreadsheetml/2006/main" count="677" uniqueCount="369">
  <si>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</si>
  <si>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</si>
  <si>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</si>
  <si>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</si>
  <si>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</si>
  <si>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</si>
  <si>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</si>
  <si>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</si>
  <si>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</si>
  <si>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</si>
  <si>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</si>
  <si>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</si>
  <si>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</si>
  <si>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</si>
  <si>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</si>
  <si>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</si>
  <si>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</si>
  <si>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</si>
  <si>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</si>
  <si>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</si>
  <si>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</si>
  <si>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</si>
  <si>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</si>
  <si>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</si>
  <si>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</si>
  <si>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</si>
  <si>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</si>
  <si>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</si>
  <si>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</si>
  <si>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</si>
  <si>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</si>
  <si>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</si>
  <si>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</si>
  <si>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</si>
  <si>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</si>
  <si>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</si>
  <si>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</si>
  <si>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</si>
  <si>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</si>
  <si>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</si>
  <si>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</si>
  <si>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</si>
  <si>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</si>
  <si>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</si>
  <si>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</si>
  <si>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</si>
  <si>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</si>
  <si>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</si>
  <si>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</si>
  <si>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</si>
  <si>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</si>
  <si>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</si>
  <si>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</si>
  <si>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</si>
  <si>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</si>
  <si>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</si>
  <si>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</si>
  <si>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</si>
  <si>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</si>
  <si>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</si>
  <si>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</si>
  <si>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</si>
  <si>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</si>
  <si>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</si>
  <si>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</si>
  <si>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</si>
  <si>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</si>
  <si>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</si>
  <si>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</si>
  <si>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</si>
  <si>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</si>
  <si>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</si>
  <si>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</si>
  <si>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</si>
  <si>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</si>
  <si>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</si>
  <si>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</si>
  <si>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</si>
  <si>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</si>
  <si>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</si>
  <si>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</si>
  <si>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</si>
  <si>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</si>
  <si>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</si>
  <si>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</si>
  <si>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</si>
  <si>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</si>
  <si>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</si>
  <si>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</si>
  <si>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</si>
  <si>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</si>
  <si>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</si>
  <si>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</si>
  <si>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</si>
  <si>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</si>
  <si>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</si>
  <si>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</si>
  <si>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</si>
  <si>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</si>
  <si>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</si>
  <si>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</si>
  <si>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</si>
  <si>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</si>
  <si>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</si>
  <si>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</si>
  <si>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</si>
  <si>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</si>
  <si>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</si>
  <si>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</si>
  <si>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</si>
  <si>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</si>
  <si>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</si>
  <si>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</si>
  <si>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</si>
  <si>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</si>
  <si>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</si>
  <si>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</si>
  <si>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</si>
  <si>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</si>
  <si>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</si>
  <si>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</si>
  <si>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</si>
  <si>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</si>
  <si>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</si>
  <si>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</si>
  <si>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</si>
  <si>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</si>
  <si>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</si>
  <si>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</si>
  <si>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</si>
  <si>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</si>
  <si>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</si>
  <si>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</si>
  <si>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</si>
  <si>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</si>
  <si>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</si>
  <si>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</si>
  <si>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</si>
  <si>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</si>
  <si>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</si>
  <si>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</si>
  <si>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</si>
  <si>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</si>
  <si>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</si>
  <si>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</si>
  <si>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</si>
  <si>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</si>
  <si>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</si>
  <si>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</si>
  <si>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</si>
  <si>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</si>
  <si>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</si>
  <si>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</si>
  <si>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</si>
  <si>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</si>
  <si>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</si>
  <si>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</si>
  <si>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</si>
  <si>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</si>
  <si>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</si>
  <si>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</si>
  <si>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</si>
  <si>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</si>
  <si>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</si>
  <si>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</si>
  <si>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</si>
  <si>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</si>
  <si>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</si>
  <si>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</si>
  <si>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</si>
  <si>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</si>
  <si>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</si>
  <si>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</si>
  <si>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</si>
  <si>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</si>
  <si>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</si>
  <si>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</si>
  <si>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</si>
  <si>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</si>
  <si>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</si>
  <si>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</si>
  <si>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</si>
  <si>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</si>
  <si>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</si>
  <si>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</si>
  <si>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</si>
  <si>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</si>
  <si>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</si>
  <si>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</si>
  <si>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</si>
  <si>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</si>
  <si>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</si>
  <si>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</si>
  <si>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</si>
  <si>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</si>
  <si>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</si>
  <si>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</si>
  <si>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</si>
  <si>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</si>
  <si>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</si>
  <si>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</si>
  <si>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</si>
  <si>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</si>
  <si>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</si>
  <si>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</si>
  <si>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</si>
  <si>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</si>
  <si>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</si>
  <si>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</si>
  <si>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</si>
  <si>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</si>
  <si>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</si>
  <si>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</si>
  <si>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</si>
  <si>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</si>
  <si>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</si>
  <si>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</si>
  <si>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</si>
  <si>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</si>
  <si>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</si>
  <si>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</si>
  <si>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</si>
  <si>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</si>
  <si>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</si>
  <si>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</si>
  <si>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</si>
  <si>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</si>
  <si>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</si>
  <si>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</si>
  <si>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</si>
  <si>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</si>
  <si>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</si>
  <si>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</si>
  <si>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</si>
  <si>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</si>
  <si>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</si>
  <si>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</si>
  <si>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</si>
  <si>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</si>
  <si>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</si>
  <si>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</si>
  <si>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</si>
  <si>
    <t>NOMINA 23</t>
  </si>
  <si>
    <t>NOMINA 24.</t>
  </si>
  <si>
    <t>NOMINA 25.</t>
  </si>
  <si>
    <t>NOMINA 26</t>
  </si>
  <si>
    <t xml:space="preserve">BALANCE       DE      J U N I O                  2 0 1 9     HERRADURA </t>
  </si>
  <si>
    <t>Ma Luisa</t>
  </si>
  <si>
    <t>OK</t>
  </si>
  <si>
    <t>m</t>
  </si>
  <si>
    <t>1178 C</t>
  </si>
  <si>
    <t>1179 C</t>
  </si>
  <si>
    <t>1183 C</t>
  </si>
  <si>
    <t>1192 C</t>
  </si>
  <si>
    <t>1188 C</t>
  </si>
  <si>
    <t>1197 C</t>
  </si>
  <si>
    <t>1202 C</t>
  </si>
  <si>
    <t>1203 C</t>
  </si>
  <si>
    <t>1218 C</t>
  </si>
  <si>
    <t>1219 C</t>
  </si>
  <si>
    <t>1226 C</t>
  </si>
  <si>
    <t>1227 C</t>
  </si>
  <si>
    <t>1232 C</t>
  </si>
  <si>
    <t>1233 C</t>
  </si>
  <si>
    <t>1235 C</t>
  </si>
  <si>
    <t>1251 C</t>
  </si>
  <si>
    <t>1257 C</t>
  </si>
  <si>
    <t>1264 C</t>
  </si>
  <si>
    <t>1265 C</t>
  </si>
  <si>
    <t>1266 C</t>
  </si>
  <si>
    <t>1272 C</t>
  </si>
  <si>
    <t>1280 C</t>
  </si>
  <si>
    <t>1284 C</t>
  </si>
  <si>
    <t>1296 C</t>
  </si>
  <si>
    <t>1297 C</t>
  </si>
  <si>
    <t>1304 C</t>
  </si>
  <si>
    <t>1311 C</t>
  </si>
  <si>
    <t>1317 C</t>
  </si>
  <si>
    <t>1322 C</t>
  </si>
  <si>
    <t>1323 C</t>
  </si>
  <si>
    <t>1329 C</t>
  </si>
  <si>
    <t>1330 C</t>
  </si>
  <si>
    <t>1335 C</t>
  </si>
  <si>
    <t>1342 C</t>
  </si>
  <si>
    <t>1343 C</t>
  </si>
  <si>
    <t>1348 C</t>
  </si>
  <si>
    <t>751 B</t>
  </si>
  <si>
    <t xml:space="preserve">CENTRAL </t>
  </si>
  <si>
    <r>
      <t xml:space="preserve">INVENTARIO FINAL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03 Julio </t>
    </r>
  </si>
  <si>
    <t xml:space="preserve">BALANCE       DE      J U L I O                  2 0 1 9     HERRADURA </t>
  </si>
  <si>
    <t>NOMINA 27</t>
  </si>
  <si>
    <t>NOMINA 28</t>
  </si>
  <si>
    <t>NOMINA 29</t>
  </si>
  <si>
    <t>NOMINA 30</t>
  </si>
  <si>
    <t>NOMINA  31</t>
  </si>
  <si>
    <t>MARISOL</t>
  </si>
  <si>
    <t>1361 C</t>
  </si>
  <si>
    <t>1363 C</t>
  </si>
  <si>
    <t>1371 C</t>
  </si>
  <si>
    <t>1376 C</t>
  </si>
  <si>
    <t>1378 C</t>
  </si>
  <si>
    <t>1386 C</t>
  </si>
  <si>
    <t>1387 C</t>
  </si>
  <si>
    <t>1394 C</t>
  </si>
  <si>
    <t>1397 C</t>
  </si>
  <si>
    <t>1405 C</t>
  </si>
  <si>
    <t>1411 C</t>
  </si>
  <si>
    <t>1419 C</t>
  </si>
  <si>
    <t>1423 C</t>
  </si>
  <si>
    <t>1426 C</t>
  </si>
  <si>
    <t>1431 C</t>
  </si>
  <si>
    <t>1432 C</t>
  </si>
  <si>
    <t>1439 C</t>
  </si>
  <si>
    <t>1444 C</t>
  </si>
  <si>
    <t>1451 C</t>
  </si>
  <si>
    <t>1452 C</t>
  </si>
  <si>
    <t>1464 C</t>
  </si>
  <si>
    <t>1465 C</t>
  </si>
  <si>
    <t>1476 C</t>
  </si>
  <si>
    <t>1490 C</t>
  </si>
  <si>
    <t>1493 C</t>
  </si>
  <si>
    <t>1500 C</t>
  </si>
  <si>
    <t>1510 C</t>
  </si>
  <si>
    <t>1518 C</t>
  </si>
  <si>
    <t>1527 C</t>
  </si>
  <si>
    <t>1535 C</t>
  </si>
  <si>
    <t>1536 C</t>
  </si>
  <si>
    <t>1540 C</t>
  </si>
  <si>
    <t xml:space="preserve">BALANCE       DE      A G O S T O                   2 0 1 9     HERRADURA </t>
  </si>
  <si>
    <t>NOMINA 32</t>
  </si>
  <si>
    <t>NOMINA 33</t>
  </si>
  <si>
    <t>NOMINA 34</t>
  </si>
  <si>
    <t>NOMINA 35</t>
  </si>
  <si>
    <t>NOMINA  36</t>
  </si>
  <si>
    <t>sobrante</t>
  </si>
  <si>
    <t>26-Ago,</t>
  </si>
  <si>
    <t>1554 C</t>
  </si>
  <si>
    <t>1559 C</t>
  </si>
  <si>
    <t>1569 C</t>
  </si>
  <si>
    <t>1575 C</t>
  </si>
  <si>
    <t>1578 C</t>
  </si>
  <si>
    <t>1581 C</t>
  </si>
  <si>
    <t>1586 C</t>
  </si>
  <si>
    <t>1590 C</t>
  </si>
  <si>
    <t>1595 C</t>
  </si>
  <si>
    <t>1596 C</t>
  </si>
  <si>
    <t>1616 C</t>
  </si>
  <si>
    <t>1628 C</t>
  </si>
  <si>
    <t>1630 C</t>
  </si>
  <si>
    <t>1632 C</t>
  </si>
  <si>
    <t>1642 C</t>
  </si>
  <si>
    <t>1643 C</t>
  </si>
  <si>
    <t>1649 C</t>
  </si>
  <si>
    <t>1651 C</t>
  </si>
  <si>
    <t>1658 C</t>
  </si>
  <si>
    <t>1674 C</t>
  </si>
  <si>
    <t>1681 C</t>
  </si>
  <si>
    <t>1688 C</t>
  </si>
  <si>
    <t>1689 C</t>
  </si>
  <si>
    <t>1693 C</t>
  </si>
  <si>
    <t>1694 C</t>
  </si>
  <si>
    <t>1698 C</t>
  </si>
  <si>
    <t>1699 C</t>
  </si>
  <si>
    <t>1704 C</t>
  </si>
  <si>
    <t>1712 C</t>
  </si>
  <si>
    <t>1715 C</t>
  </si>
  <si>
    <t>CAMARA Com</t>
  </si>
  <si>
    <t>aplica sobrante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</si>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</sst>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0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33" fillId="0" borderId="3" xfId="1" applyFont="1" applyBorder="1"/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" fontId="21" fillId="0" borderId="3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2" fillId="13" borderId="0" xfId="0" applyNumberFormat="1" applyFont="1" applyFill="1" applyAlignment="1">
      <alignment horizontal="left"/>
    </xf>
    <xf numFmtId="44" fontId="30" fillId="0" borderId="0" xfId="1" applyFont="1" applyFill="1" applyBorder="1" applyAlignment="1">
      <alignment horizontal="center"/>
    </xf>
    <xf numFmtId="165" fontId="2" fillId="13" borderId="0" xfId="0" applyNumberFormat="1" applyFont="1" applyFill="1"/>
    <xf numFmtId="16" fontId="13" fillId="13" borderId="0" xfId="1" applyNumberFormat="1" applyFont="1" applyFill="1" applyAlignment="1">
      <alignment horizontal="center"/>
    </xf>
    <xf numFmtId="0" fontId="10" fillId="13" borderId="0" xfId="0" applyFont="1" applyFill="1"/>
    <xf numFmtId="16" fontId="2" fillId="0" borderId="0" xfId="1" applyNumberFormat="1" applyFont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44" fontId="19" fillId="0" borderId="26" xfId="1" applyFont="1" applyBorder="1"/>
    <xf numFmtId="44" fontId="22" fillId="0" borderId="49" xfId="1" applyFont="1" applyBorder="1"/>
    <xf numFmtId="44" fontId="33" fillId="0" borderId="3" xfId="1" applyFont="1" applyFill="1" applyBorder="1"/>
    <xf numFmtId="0" fontId="8" fillId="0" borderId="3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44" fontId="7" fillId="0" borderId="4" xfId="1" applyFont="1" applyFill="1" applyBorder="1" applyAlignment="1">
      <alignment vertical="center"/>
    </xf>
    <xf numFmtId="44" fontId="19" fillId="0" borderId="4" xfId="1" applyFont="1" applyFill="1" applyBorder="1"/>
    <xf numFmtId="44" fontId="8" fillId="10" borderId="45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" fontId="7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" fillId="0" borderId="50" xfId="0" applyFont="1" applyBorder="1"/>
    <xf numFmtId="165" fontId="2" fillId="0" borderId="32" xfId="0" applyNumberFormat="1" applyFont="1" applyBorder="1"/>
    <xf numFmtId="44" fontId="4" fillId="0" borderId="0" xfId="1" applyFont="1" applyFill="1" applyAlignment="1">
      <alignment horizontal="center"/>
    </xf>
    <xf numFmtId="16" fontId="6" fillId="0" borderId="0" xfId="0" applyNumberFormat="1" applyFont="1" applyAlignment="1">
      <alignment horizontal="center"/>
    </xf>
    <xf numFmtId="44" fontId="2" fillId="5" borderId="0" xfId="0" applyNumberFormat="1" applyFont="1" applyFill="1" applyAlignment="1">
      <alignment horizontal="left"/>
    </xf>
    <xf numFmtId="44" fontId="7" fillId="0" borderId="15" xfId="1" applyFont="1" applyFill="1" applyBorder="1" applyAlignment="1">
      <alignment horizontal="right"/>
    </xf>
    <xf numFmtId="44" fontId="35" fillId="0" borderId="0" xfId="1" applyFont="1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2" fillId="0" borderId="51" xfId="1" applyFont="1" applyFill="1" applyBorder="1"/>
    <xf numFmtId="44" fontId="2" fillId="0" borderId="15" xfId="1" applyFont="1" applyBorder="1"/>
    <xf numFmtId="0" fontId="2" fillId="0" borderId="15" xfId="0" applyFont="1" applyBorder="1"/>
    <xf numFmtId="165" fontId="2" fillId="0" borderId="15" xfId="0" applyNumberFormat="1" applyFont="1" applyBorder="1"/>
    <xf numFmtId="15" fontId="10" fillId="0" borderId="15" xfId="1" applyNumberFormat="1" applyFont="1" applyBorder="1"/>
    <xf numFmtId="0" fontId="2" fillId="4" borderId="15" xfId="0" applyFont="1" applyFill="1" applyBorder="1"/>
    <xf numFmtId="165" fontId="2" fillId="5" borderId="15" xfId="0" applyNumberFormat="1" applyFont="1" applyFill="1" applyBorder="1"/>
    <xf numFmtId="165" fontId="2" fillId="6" borderId="15" xfId="0" applyNumberFormat="1" applyFont="1" applyFill="1" applyBorder="1"/>
    <xf numFmtId="16" fontId="2" fillId="0" borderId="15" xfId="1" applyNumberFormat="1" applyFont="1" applyBorder="1" applyAlignment="1">
      <alignment horizontal="center"/>
    </xf>
    <xf numFmtId="16" fontId="13" fillId="0" borderId="15" xfId="1" applyNumberFormat="1" applyFont="1" applyBorder="1" applyAlignment="1">
      <alignment horizontal="center"/>
    </xf>
    <xf numFmtId="16" fontId="13" fillId="0" borderId="15" xfId="1" applyNumberFormat="1" applyFont="1" applyFill="1" applyBorder="1" applyAlignment="1">
      <alignment horizontal="center"/>
    </xf>
    <xf numFmtId="0" fontId="10" fillId="0" borderId="15" xfId="0" applyFont="1" applyFill="1" applyBorder="1"/>
    <xf numFmtId="165" fontId="2" fillId="0" borderId="15" xfId="0" applyNumberFormat="1" applyFont="1" applyFill="1" applyBorder="1"/>
    <xf numFmtId="16" fontId="15" fillId="0" borderId="15" xfId="0" applyNumberFormat="1" applyFont="1" applyBorder="1" applyAlignment="1">
      <alignment horizontal="center"/>
    </xf>
    <xf numFmtId="0" fontId="14" fillId="0" borderId="15" xfId="0" applyFont="1" applyBorder="1"/>
    <xf numFmtId="44" fontId="2" fillId="0" borderId="15" xfId="1" applyFont="1" applyBorder="1" applyAlignment="1">
      <alignment horizontal="center"/>
    </xf>
    <xf numFmtId="16" fontId="2" fillId="0" borderId="15" xfId="1" applyNumberFormat="1" applyFont="1" applyBorder="1"/>
    <xf numFmtId="0" fontId="13" fillId="0" borderId="15" xfId="0" applyFont="1" applyBorder="1"/>
    <xf numFmtId="15" fontId="7" fillId="7" borderId="15" xfId="1" applyNumberFormat="1" applyFont="1" applyFill="1" applyBorder="1"/>
    <xf numFmtId="16" fontId="0" fillId="0" borderId="0" xfId="1" applyNumberFormat="1" applyFont="1"/>
    <xf numFmtId="44" fontId="2" fillId="4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44" fontId="8" fillId="9" borderId="3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99FF"/>
      <color rgb="FF00FF00"/>
      <color rgb="FF0000FF"/>
      <color rgb="FFFF99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4E8C0CA5-BDBC-4029-A77A-3ABBED9F53D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2D81BEED-B3B1-4E32-8F66-36D4DD99656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8E261368-3A17-4FC6-8D8D-F9C41C163EA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C39A2016-8C8C-4D80-8508-EC652055D3F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A631852-D23F-4031-8E6F-4428732B6DD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A3495BF4-15A1-4C57-918F-897C2A1F27B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DDD8CDBD-76D6-4634-B88C-9C3EB8F111F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8085EFA-CA17-40FE-8C0F-FEBC66CE0EA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95AC970-FC19-48BF-A986-7691DA312EE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745A76CF-9DCB-4EEB-92ED-0AFF61D5BF7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5AC63045-7132-459C-91B6-B01C1A854C2A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41289F5C-1F19-4733-A052-B816D692048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52F41202-47A1-4221-ACC8-DE146A573AB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7EA9885B-763B-4AED-8FB5-D7D8EEDA21F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EAE1DC82-0E1A-46D2-A406-286F68BF80F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3880533B-9402-4EE9-A950-3E31E932435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37</xdr:row>
      <xdr:rowOff>95250</xdr:rowOff>
    </xdr:from>
    <xdr:to>
      <xdr:col>7</xdr:col>
      <xdr:colOff>152400</xdr:colOff>
      <xdr:row>41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3F8A827F-E54F-419D-8622-EE70FF5FD5D3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E2638D56-42F9-41E6-A3C7-A7B0391C3E21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D0779174-FB5F-4FC7-AF60-323717C7AEFD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2DD39BB-2EE5-4CB5-B21E-BA6E80F217FB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85E070-4472-43DD-BF2E-190B81A2EFE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B4D70623-5423-450E-9302-188CDB0DA82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6C43B965-9CAA-4701-B9E1-4DD6FD33A3F1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68407964-73A1-40AD-BA97-FBE5F0C95939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5FCF4E71-3C75-4B9B-98DE-CF4C9A3539E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75A4EF22-EDBF-401C-A4DB-522CBD4CB9F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96279B-8605-4A64-9192-49F7BC004A7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6FDCF50E-F0E4-4263-B52C-F4A8776CC1C5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67CE3E9-3242-43F7-90AC-DEB30BA33A5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DD41068B-5BCD-4C26-A040-B9A934263E6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8282971-2C8A-44B0-BA5F-E4027F47446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8B214A2-4EDD-4FE5-A61D-8A8ABCB36DE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0A7F56D-3DB9-4AA1-B60F-49576979F32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1251FFF5-CAE0-41D6-BED8-701E72109F2F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42</xdr:row>
      <xdr:rowOff>95250</xdr:rowOff>
    </xdr:from>
    <xdr:to>
      <xdr:col>7</xdr:col>
      <xdr:colOff>152400</xdr:colOff>
      <xdr:row>46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B10A1A26-ADDD-4DFF-9951-8F8735137EEB}"/>
            </a:ext>
          </a:extLst>
        </xdr:cNvPr>
        <xdr:cNvCxnSpPr/>
      </xdr:nvCxnSpPr>
      <xdr:spPr>
        <a:xfrm flipV="1">
          <a:off x="3476625" y="80105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03468C8F-F540-43D5-BBC0-05A09E5306D0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7B7B3E96-B0A8-4EAE-AAB5-94027806764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803D799-EF78-4713-99FE-1545F38AFC5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C92EFE28-9267-43AC-8A0C-4D856CBCFC85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EFC89C1-2124-4667-A916-4E1E964B3FD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3191306-069B-4D8B-B366-9EB382C3FF38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3C62B9F3-C14A-4601-81A8-DF9FEBBEABC6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E047B056-20C2-4D3F-A8D7-A22839EDB560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F36B85D-99CC-4307-9629-A98B984A323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EFE0257B-82F5-4F02-B284-CC810B425D7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FC4DAC6A-5243-4342-9D5F-B0C067AC4572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E85A61C-5056-42D6-B942-867ABA543BB1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95183E8B-05CD-492D-B9C4-827679ADBEC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318761A9-0A30-4DE7-9256-F8D5015A017D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F5DF3B6-9BCF-42C9-AB4A-B70FF2A7E86A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9E3FC742-B86D-41F5-AF3B-7468499E552D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405CBB9D-DC8C-4E72-9DC3-10C6325EC2CC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6761D1E5-908F-4EDC-82C3-013D5CCF8EB8}"/>
            </a:ext>
          </a:extLst>
        </xdr:cNvPr>
        <xdr:cNvCxnSpPr/>
      </xdr:nvCxnSpPr>
      <xdr:spPr>
        <a:xfrm flipV="1">
          <a:off x="3476625" y="90582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A1F193C2-0FB1-4F8A-80FF-8DA06A3C4748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279" t="s">
        <v>28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82" t="s">
        <v>3</v>
      </c>
      <c r="E4" s="283"/>
      <c r="H4" s="284" t="s">
        <v>4</v>
      </c>
      <c r="I4" s="285"/>
      <c r="J4" s="285"/>
      <c r="K4" s="285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269" t="s">
        <v>16</v>
      </c>
      <c r="H48" s="270"/>
      <c r="I48" s="66"/>
      <c r="J48" s="271">
        <f>H46+K46</f>
        <v>87938.41</v>
      </c>
      <c r="K48" s="272"/>
      <c r="L48" s="67"/>
      <c r="M48" s="68"/>
    </row>
    <row r="49" spans="1:13" ht="15.75" x14ac:dyDescent="0.25">
      <c r="A49" s="1"/>
      <c r="B49" s="69"/>
      <c r="C49" s="273" t="s">
        <v>17</v>
      </c>
      <c r="D49" s="273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274" t="s">
        <v>19</v>
      </c>
      <c r="I50" s="274"/>
      <c r="J50" s="274">
        <f>E54</f>
        <v>420646.88999999932</v>
      </c>
      <c r="K50" s="275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276" t="s">
        <v>1</v>
      </c>
      <c r="I51" s="276"/>
      <c r="J51" s="277">
        <f>-B4</f>
        <v>-227176.14</v>
      </c>
      <c r="K51" s="278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61" t="s">
        <v>88</v>
      </c>
      <c r="I52" s="262"/>
      <c r="J52" s="263">
        <f>SUM(J49:K51)</f>
        <v>193470.7499999993</v>
      </c>
      <c r="K52" s="264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65"/>
      <c r="K53" s="266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267"/>
      <c r="K54" s="268"/>
      <c r="L54" s="67"/>
      <c r="M54" s="68"/>
    </row>
    <row r="58" spans="1:13" x14ac:dyDescent="0.25">
      <c r="D58" s="2" t="s">
        <v>11</v>
      </c>
    </row>
  </sheetData>
  <mergeCells count="17">
    <mergeCell ref="B1:J1"/>
    <mergeCell ref="D3:F3"/>
    <mergeCell ref="G3:H3"/>
    <mergeCell ref="D4:E4"/>
    <mergeCell ref="H4:K4"/>
    <mergeCell ref="A3:B3"/>
    <mergeCell ref="C49:D49"/>
    <mergeCell ref="H50:I50"/>
    <mergeCell ref="J50:K50"/>
    <mergeCell ref="H51:I51"/>
    <mergeCell ref="J51:K51"/>
    <mergeCell ref="H52:I52"/>
    <mergeCell ref="J52:K52"/>
    <mergeCell ref="J53:K53"/>
    <mergeCell ref="J54:K54"/>
    <mergeCell ref="G48:H48"/>
    <mergeCell ref="J48:K48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topLeftCell="A22" workbookViewId="0">
      <selection activeCell="I36" sqref="I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294"/>
      <c r="I3" s="295"/>
      <c r="J3" s="296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294"/>
      <c r="I4" s="295"/>
      <c r="J4" s="296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297"/>
      <c r="I5" s="298"/>
      <c r="J5" s="299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9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9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9" x14ac:dyDescent="0.25">
      <c r="A35" s="101"/>
      <c r="B35" s="102"/>
      <c r="C35" s="95"/>
      <c r="D35" s="93"/>
      <c r="E35" s="95"/>
      <c r="F35" s="99">
        <f t="shared" si="0"/>
        <v>0</v>
      </c>
    </row>
    <row r="36" spans="1:9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  <c r="I36" t="s">
        <v>249</v>
      </c>
    </row>
    <row r="37" spans="1:9" x14ac:dyDescent="0.25">
      <c r="A37" s="101"/>
      <c r="B37" s="102"/>
      <c r="C37" s="95"/>
      <c r="D37" s="93"/>
      <c r="E37" s="95"/>
      <c r="F37" s="99">
        <f t="shared" si="0"/>
        <v>0</v>
      </c>
    </row>
    <row r="38" spans="1:9" x14ac:dyDescent="0.25">
      <c r="A38" s="101"/>
      <c r="B38" s="102"/>
      <c r="C38" s="95"/>
      <c r="D38" s="93"/>
      <c r="E38" s="95"/>
      <c r="F38" s="99">
        <f t="shared" si="0"/>
        <v>0</v>
      </c>
    </row>
    <row r="39" spans="1:9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9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sheetPr>
    <tabColor rgb="FF00B0F0"/>
  </sheetPr>
  <dimension ref="A1:P46"/>
  <sheetViews>
    <sheetView topLeftCell="A25"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" style="5" customWidth="1"/>
    <col min="14" max="14" width="15.28515625" style="169" customWidth="1"/>
  </cols>
  <sheetData>
    <row r="1" spans="1:16" ht="23.25" x14ac:dyDescent="0.35">
      <c r="A1" s="1"/>
      <c r="B1" s="279" t="s">
        <v>246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233"/>
      <c r="N1" s="168"/>
    </row>
    <row r="2" spans="1:16" x14ac:dyDescent="0.25">
      <c r="A2" s="1"/>
      <c r="B2" s="5"/>
      <c r="D2" s="203"/>
      <c r="E2" s="8"/>
      <c r="L2" s="9"/>
      <c r="M2" s="9"/>
      <c r="N2" s="168"/>
    </row>
    <row r="3" spans="1:16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194"/>
      <c r="N3" s="168"/>
    </row>
    <row r="4" spans="1:16" ht="20.25" thickTop="1" thickBot="1" x14ac:dyDescent="0.35">
      <c r="A4" s="120"/>
      <c r="B4" s="11">
        <v>333658.42</v>
      </c>
      <c r="C4" s="230">
        <v>43621</v>
      </c>
      <c r="D4" s="282" t="s">
        <v>3</v>
      </c>
      <c r="E4" s="283"/>
      <c r="H4" s="284" t="s">
        <v>4</v>
      </c>
      <c r="I4" s="285"/>
      <c r="J4" s="285"/>
      <c r="K4" s="28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43622</v>
      </c>
      <c r="E5" s="178">
        <v>51803.24</v>
      </c>
      <c r="F5" s="182"/>
      <c r="G5" s="183">
        <v>43622</v>
      </c>
      <c r="H5" s="184">
        <v>0</v>
      </c>
      <c r="I5" s="21"/>
      <c r="J5" s="22"/>
      <c r="K5" s="22"/>
      <c r="L5" s="142">
        <f>25000+50021</f>
        <v>75021</v>
      </c>
      <c r="M5" s="177"/>
      <c r="N5" s="211">
        <f>L5-E5</f>
        <v>23217.760000000002</v>
      </c>
      <c r="O5" s="149" t="s">
        <v>248</v>
      </c>
      <c r="P5" s="150"/>
    </row>
    <row r="6" spans="1:16" ht="16.5" thickBot="1" x14ac:dyDescent="0.3">
      <c r="A6" s="25"/>
      <c r="B6" s="16">
        <v>0</v>
      </c>
      <c r="C6" s="12"/>
      <c r="D6" s="181">
        <v>43623</v>
      </c>
      <c r="E6" s="178">
        <v>84553.07</v>
      </c>
      <c r="F6" s="185"/>
      <c r="G6" s="183">
        <v>43623</v>
      </c>
      <c r="H6" s="160">
        <v>0</v>
      </c>
      <c r="I6" s="28"/>
      <c r="J6" s="2" t="s">
        <v>6</v>
      </c>
      <c r="K6" s="29">
        <v>549</v>
      </c>
      <c r="L6" s="142">
        <v>101453</v>
      </c>
      <c r="M6" s="177"/>
      <c r="N6" s="211">
        <f>L6-E6</f>
        <v>16899.929999999993</v>
      </c>
      <c r="O6" s="149" t="s">
        <v>248</v>
      </c>
      <c r="P6" s="150"/>
    </row>
    <row r="7" spans="1:16" ht="16.5" thickBot="1" x14ac:dyDescent="0.3">
      <c r="A7" s="25"/>
      <c r="B7" s="16">
        <v>0</v>
      </c>
      <c r="C7" s="12"/>
      <c r="D7" s="181">
        <v>43624</v>
      </c>
      <c r="E7" s="178">
        <v>79472.149999999994</v>
      </c>
      <c r="F7" s="150"/>
      <c r="G7" s="183">
        <v>43624</v>
      </c>
      <c r="H7" s="160">
        <v>60</v>
      </c>
      <c r="I7" s="30" t="s">
        <v>197</v>
      </c>
      <c r="J7" s="31" t="s">
        <v>7</v>
      </c>
      <c r="K7" s="32">
        <v>9349</v>
      </c>
      <c r="L7" s="142">
        <v>91485.5</v>
      </c>
      <c r="M7" s="177">
        <v>5000</v>
      </c>
      <c r="N7" s="211">
        <f>L7-E7+H7-M7</f>
        <v>7073.3500000000058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43625</v>
      </c>
      <c r="E8" s="178">
        <v>101039.03999999999</v>
      </c>
      <c r="F8" s="150"/>
      <c r="G8" s="183">
        <v>43625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f>25000+72239</f>
        <v>97239</v>
      </c>
      <c r="M8" s="212">
        <v>-5000</v>
      </c>
      <c r="N8" s="211">
        <f>L8-E8-M8</f>
        <v>1199.9600000000064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43626</v>
      </c>
      <c r="E9" s="178">
        <v>73407.009999999995</v>
      </c>
      <c r="F9" s="150"/>
      <c r="G9" s="183">
        <v>43626</v>
      </c>
      <c r="H9" s="160">
        <v>0</v>
      </c>
      <c r="I9" s="216">
        <v>43624</v>
      </c>
      <c r="J9" s="2" t="s">
        <v>242</v>
      </c>
      <c r="K9" s="29">
        <v>9166.84</v>
      </c>
      <c r="L9" s="142">
        <f>55000+23407</f>
        <v>78407</v>
      </c>
      <c r="M9" s="177"/>
      <c r="N9" s="211">
        <f>L9-E9+H9</f>
        <v>4999.9900000000052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43627</v>
      </c>
      <c r="E10" s="178">
        <v>44476.75</v>
      </c>
      <c r="F10" s="150"/>
      <c r="G10" s="183">
        <v>43627</v>
      </c>
      <c r="H10" s="160">
        <v>0</v>
      </c>
      <c r="I10" s="216">
        <v>43631</v>
      </c>
      <c r="J10" s="2" t="s">
        <v>243</v>
      </c>
      <c r="K10" s="29">
        <v>9366.84</v>
      </c>
      <c r="L10" s="142">
        <v>44477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43628</v>
      </c>
      <c r="E11" s="178">
        <v>62012.97</v>
      </c>
      <c r="F11" s="150"/>
      <c r="G11" s="183">
        <v>43628</v>
      </c>
      <c r="H11" s="160">
        <v>0</v>
      </c>
      <c r="I11" s="216">
        <v>43638</v>
      </c>
      <c r="J11" s="2" t="s">
        <v>244</v>
      </c>
      <c r="K11" s="29">
        <v>7731.93</v>
      </c>
      <c r="L11" s="142">
        <v>62013</v>
      </c>
      <c r="M11" s="177" t="s">
        <v>11</v>
      </c>
      <c r="N11" s="192">
        <f>L11-E11</f>
        <v>2.9999999998835847E-2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43629</v>
      </c>
      <c r="E12" s="178">
        <v>74105.899999999994</v>
      </c>
      <c r="F12" s="150"/>
      <c r="G12" s="183">
        <v>43629</v>
      </c>
      <c r="H12" s="160">
        <v>0</v>
      </c>
      <c r="I12" s="216">
        <v>43645</v>
      </c>
      <c r="J12" s="2" t="s">
        <v>245</v>
      </c>
      <c r="K12" s="29">
        <v>9581.1299999999992</v>
      </c>
      <c r="L12" s="142">
        <f>35000+39106</f>
        <v>74106</v>
      </c>
      <c r="M12" s="177"/>
      <c r="N12" s="192">
        <f>L12-E12</f>
        <v>0.10000000000582077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43630</v>
      </c>
      <c r="E13" s="178">
        <v>75182.850000000006</v>
      </c>
      <c r="F13" s="150"/>
      <c r="G13" s="183">
        <v>43630</v>
      </c>
      <c r="H13" s="160">
        <v>0</v>
      </c>
      <c r="I13" s="126"/>
      <c r="J13" s="2" t="s">
        <v>148</v>
      </c>
      <c r="K13" s="29">
        <v>0</v>
      </c>
      <c r="L13" s="142">
        <v>109014</v>
      </c>
      <c r="M13" s="177"/>
      <c r="N13" s="211">
        <f>L13-E13</f>
        <v>33831.149999999994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43631</v>
      </c>
      <c r="E14" s="178">
        <v>143630.62</v>
      </c>
      <c r="F14" s="150"/>
      <c r="G14" s="183">
        <v>43631</v>
      </c>
      <c r="H14" s="160">
        <v>0</v>
      </c>
      <c r="I14" s="214">
        <v>43632</v>
      </c>
      <c r="J14" s="215" t="s">
        <v>9</v>
      </c>
      <c r="K14" s="213">
        <v>1500</v>
      </c>
      <c r="L14" s="142">
        <f>85000+58630</f>
        <v>143630</v>
      </c>
      <c r="M14" s="177"/>
      <c r="N14" s="192">
        <f>L14-E14</f>
        <v>-0.61999999999534339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43632</v>
      </c>
      <c r="E15" s="178">
        <v>129064.31</v>
      </c>
      <c r="F15" s="150"/>
      <c r="G15" s="183">
        <v>43632</v>
      </c>
      <c r="H15" s="160">
        <v>40</v>
      </c>
      <c r="I15" s="28"/>
      <c r="J15" s="42" t="s">
        <v>247</v>
      </c>
      <c r="K15" s="29">
        <v>0</v>
      </c>
      <c r="L15" s="142">
        <f>50000+76624.5</f>
        <v>126624.5</v>
      </c>
      <c r="M15" s="177"/>
      <c r="N15" s="192">
        <f>L15-E15+K14+K17+H15</f>
        <v>0.19000000000232831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43633</v>
      </c>
      <c r="E16" s="178">
        <v>99053.2</v>
      </c>
      <c r="F16" s="150"/>
      <c r="G16" s="183">
        <v>43633</v>
      </c>
      <c r="H16" s="160">
        <v>128</v>
      </c>
      <c r="I16" s="28"/>
      <c r="J16" s="43"/>
      <c r="K16" s="8">
        <v>0</v>
      </c>
      <c r="L16" s="142">
        <f>97060+1865</f>
        <v>98925</v>
      </c>
      <c r="M16" s="177"/>
      <c r="N16" s="192">
        <f t="shared" ref="N16:N26" si="0">L16-E16+H16</f>
        <v>-0.19999999999708962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43634</v>
      </c>
      <c r="E17" s="178">
        <v>46207.519999999997</v>
      </c>
      <c r="F17" s="150"/>
      <c r="G17" s="183">
        <v>43634</v>
      </c>
      <c r="H17" s="160">
        <v>95</v>
      </c>
      <c r="I17" s="166">
        <v>43632</v>
      </c>
      <c r="J17" s="167" t="s">
        <v>12</v>
      </c>
      <c r="K17" s="8">
        <v>900</v>
      </c>
      <c r="L17" s="142">
        <v>46112.5</v>
      </c>
      <c r="M17" s="177"/>
      <c r="N17" s="192">
        <f t="shared" si="0"/>
        <v>-1.9999999996798579E-2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43635</v>
      </c>
      <c r="E18" s="178">
        <v>157095.04999999999</v>
      </c>
      <c r="F18" s="150"/>
      <c r="G18" s="183">
        <v>43635</v>
      </c>
      <c r="H18" s="160">
        <v>90</v>
      </c>
      <c r="I18" s="44"/>
      <c r="K18" s="8"/>
      <c r="L18" s="142">
        <f>104498+52507</f>
        <v>157005</v>
      </c>
      <c r="M18" s="177"/>
      <c r="N18" s="192">
        <f t="shared" si="0"/>
        <v>-4.9999999988358468E-2</v>
      </c>
    </row>
    <row r="19" spans="1:16" ht="16.5" thickBot="1" x14ac:dyDescent="0.3">
      <c r="A19" s="25"/>
      <c r="B19" s="16">
        <v>0</v>
      </c>
      <c r="C19" s="36"/>
      <c r="D19" s="181">
        <v>43636</v>
      </c>
      <c r="E19" s="178">
        <v>68750.87</v>
      </c>
      <c r="F19" s="150"/>
      <c r="G19" s="183">
        <v>43636</v>
      </c>
      <c r="H19" s="160">
        <v>110</v>
      </c>
      <c r="I19" s="28"/>
      <c r="K19" s="8">
        <v>0</v>
      </c>
      <c r="L19" s="142">
        <v>68641</v>
      </c>
      <c r="M19" s="177"/>
      <c r="N19" s="192">
        <f t="shared" si="0"/>
        <v>0.13000000000465661</v>
      </c>
    </row>
    <row r="20" spans="1:16" ht="16.5" thickBot="1" x14ac:dyDescent="0.3">
      <c r="A20" s="25"/>
      <c r="B20" s="16">
        <v>0</v>
      </c>
      <c r="C20" s="46"/>
      <c r="D20" s="181">
        <v>43637</v>
      </c>
      <c r="E20" s="178">
        <v>92912.39</v>
      </c>
      <c r="F20" s="186"/>
      <c r="G20" s="183">
        <v>43637</v>
      </c>
      <c r="H20" s="160">
        <v>90</v>
      </c>
      <c r="I20" s="162"/>
      <c r="J20" s="48"/>
      <c r="K20" s="28" t="s">
        <v>10</v>
      </c>
      <c r="L20" s="142">
        <f>20000+72822</f>
        <v>92822</v>
      </c>
      <c r="M20" s="177"/>
      <c r="N20" s="192">
        <f t="shared" si="0"/>
        <v>-0.38999999999941792</v>
      </c>
    </row>
    <row r="21" spans="1:16" ht="16.5" thickBot="1" x14ac:dyDescent="0.3">
      <c r="A21" s="25"/>
      <c r="B21" s="16">
        <v>0</v>
      </c>
      <c r="C21" s="46"/>
      <c r="D21" s="181">
        <v>43638</v>
      </c>
      <c r="E21" s="178">
        <v>76632.22</v>
      </c>
      <c r="F21" s="150"/>
      <c r="G21" s="183">
        <v>43638</v>
      </c>
      <c r="H21" s="160">
        <v>90</v>
      </c>
      <c r="I21" s="33"/>
      <c r="J21" s="49"/>
      <c r="K21" s="28"/>
      <c r="L21" s="142">
        <v>76542</v>
      </c>
      <c r="M21" s="177"/>
      <c r="N21" s="192">
        <f t="shared" si="0"/>
        <v>-0.22000000000116415</v>
      </c>
    </row>
    <row r="22" spans="1:16" ht="16.5" thickBot="1" x14ac:dyDescent="0.3">
      <c r="A22" s="25"/>
      <c r="B22" s="16">
        <v>0</v>
      </c>
      <c r="C22" s="36"/>
      <c r="D22" s="181">
        <v>43639</v>
      </c>
      <c r="E22" s="178">
        <v>83506</v>
      </c>
      <c r="F22" s="150"/>
      <c r="G22" s="183">
        <v>43639</v>
      </c>
      <c r="H22" s="160">
        <v>90</v>
      </c>
      <c r="I22" s="47" t="s">
        <v>11</v>
      </c>
      <c r="J22" s="50"/>
      <c r="K22" s="28">
        <v>0</v>
      </c>
      <c r="L22" s="142">
        <f>30000+30000+23416</f>
        <v>83416</v>
      </c>
      <c r="M22" s="177"/>
      <c r="N22" s="192">
        <f t="shared" si="0"/>
        <v>0</v>
      </c>
    </row>
    <row r="23" spans="1:16" ht="16.5" thickBot="1" x14ac:dyDescent="0.3">
      <c r="A23" s="25"/>
      <c r="B23" s="16">
        <v>0</v>
      </c>
      <c r="C23" s="36"/>
      <c r="D23" s="181">
        <v>43640</v>
      </c>
      <c r="E23" s="178">
        <v>94710.75</v>
      </c>
      <c r="F23" s="150"/>
      <c r="G23" s="183">
        <v>43640</v>
      </c>
      <c r="H23" s="160">
        <v>128</v>
      </c>
      <c r="I23" s="28"/>
      <c r="J23" s="49"/>
      <c r="K23" s="28">
        <v>0</v>
      </c>
      <c r="L23" s="142">
        <f>80000+14583</f>
        <v>94583</v>
      </c>
      <c r="M23" s="177"/>
      <c r="N23" s="192">
        <f t="shared" si="0"/>
        <v>0.25</v>
      </c>
    </row>
    <row r="24" spans="1:16" ht="16.5" thickBot="1" x14ac:dyDescent="0.3">
      <c r="A24" s="25"/>
      <c r="B24" s="16">
        <v>0</v>
      </c>
      <c r="C24" s="36"/>
      <c r="D24" s="181">
        <v>43641</v>
      </c>
      <c r="E24" s="178">
        <v>40165.800000000003</v>
      </c>
      <c r="F24" s="150"/>
      <c r="G24" s="183">
        <v>43641</v>
      </c>
      <c r="H24" s="160">
        <v>0</v>
      </c>
      <c r="I24" s="28"/>
      <c r="J24" s="56"/>
      <c r="K24" s="28">
        <v>0</v>
      </c>
      <c r="L24" s="142">
        <v>40166</v>
      </c>
      <c r="M24" s="177"/>
      <c r="N24" s="192">
        <f t="shared" si="0"/>
        <v>0.19999999999708962</v>
      </c>
    </row>
    <row r="25" spans="1:16" ht="16.5" thickBot="1" x14ac:dyDescent="0.3">
      <c r="A25" s="25"/>
      <c r="B25" s="16">
        <v>0</v>
      </c>
      <c r="C25" s="46"/>
      <c r="D25" s="181">
        <v>43642</v>
      </c>
      <c r="E25" s="178">
        <v>55022.62</v>
      </c>
      <c r="F25" s="150"/>
      <c r="G25" s="183">
        <v>43642</v>
      </c>
      <c r="H25" s="160">
        <v>0</v>
      </c>
      <c r="I25" s="28"/>
      <c r="J25" s="52"/>
      <c r="K25" s="28"/>
      <c r="L25" s="142">
        <v>55023</v>
      </c>
      <c r="M25" s="177"/>
      <c r="N25" s="192">
        <f t="shared" si="0"/>
        <v>0.37999999999738066</v>
      </c>
    </row>
    <row r="26" spans="1:16" ht="16.5" thickBot="1" x14ac:dyDescent="0.3">
      <c r="A26" s="25"/>
      <c r="B26" s="16">
        <v>0</v>
      </c>
      <c r="C26" s="36"/>
      <c r="D26" s="181">
        <v>43643</v>
      </c>
      <c r="E26" s="178">
        <v>78901.88</v>
      </c>
      <c r="F26" s="150"/>
      <c r="G26" s="183">
        <v>43643</v>
      </c>
      <c r="H26" s="160">
        <v>0</v>
      </c>
      <c r="I26" s="40"/>
      <c r="J26" s="53"/>
      <c r="K26" s="28">
        <v>0</v>
      </c>
      <c r="L26" s="142">
        <f>55000+23902</f>
        <v>78902</v>
      </c>
      <c r="M26" s="177"/>
      <c r="N26" s="192">
        <f t="shared" si="0"/>
        <v>0.11999999999534339</v>
      </c>
    </row>
    <row r="27" spans="1:16" ht="16.5" thickBot="1" x14ac:dyDescent="0.3">
      <c r="A27" s="25"/>
      <c r="B27" s="16">
        <v>0</v>
      </c>
      <c r="C27" s="36"/>
      <c r="D27" s="181">
        <v>43644</v>
      </c>
      <c r="E27" s="178">
        <v>73446.95</v>
      </c>
      <c r="F27" s="150"/>
      <c r="G27" s="183">
        <v>43644</v>
      </c>
      <c r="H27" s="160">
        <v>60</v>
      </c>
      <c r="I27" s="40"/>
      <c r="J27" s="54"/>
      <c r="K27" s="28">
        <v>0</v>
      </c>
      <c r="L27" s="142">
        <f>25000+48387</f>
        <v>73387</v>
      </c>
      <c r="M27" s="177"/>
      <c r="N27" s="192">
        <f t="shared" ref="N27:N32" si="1">L27-E27+H27</f>
        <v>5.0000000002910383E-2</v>
      </c>
    </row>
    <row r="28" spans="1:16" ht="16.5" thickBot="1" x14ac:dyDescent="0.3">
      <c r="A28" s="25"/>
      <c r="B28" s="16">
        <v>0</v>
      </c>
      <c r="C28" s="36"/>
      <c r="D28" s="181">
        <v>43645</v>
      </c>
      <c r="E28" s="178">
        <v>102996.41</v>
      </c>
      <c r="F28" s="150"/>
      <c r="G28" s="183">
        <v>43645</v>
      </c>
      <c r="H28" s="187">
        <v>0</v>
      </c>
      <c r="I28" s="28"/>
      <c r="J28" s="55"/>
      <c r="K28" s="28">
        <v>0</v>
      </c>
      <c r="L28" s="142">
        <v>102996.5</v>
      </c>
      <c r="M28" s="177"/>
      <c r="N28" s="192">
        <f t="shared" si="1"/>
        <v>8.999999999650754E-2</v>
      </c>
    </row>
    <row r="29" spans="1:16" ht="16.5" thickBot="1" x14ac:dyDescent="0.3">
      <c r="A29" s="1"/>
      <c r="B29" s="16">
        <v>0</v>
      </c>
      <c r="C29" s="36"/>
      <c r="D29" s="181">
        <v>43646</v>
      </c>
      <c r="E29" s="188">
        <v>103026.8</v>
      </c>
      <c r="F29" s="150"/>
      <c r="G29" s="183">
        <v>43646</v>
      </c>
      <c r="H29" s="187">
        <v>0</v>
      </c>
      <c r="I29" s="40"/>
      <c r="K29" s="28"/>
      <c r="L29" s="142">
        <v>103027</v>
      </c>
      <c r="M29" s="177"/>
      <c r="N29" s="192">
        <f t="shared" si="1"/>
        <v>0.19999999999708962</v>
      </c>
    </row>
    <row r="30" spans="1:16" ht="16.5" thickBot="1" x14ac:dyDescent="0.3">
      <c r="A30" s="1"/>
      <c r="B30" s="16">
        <v>0</v>
      </c>
      <c r="C30" s="36"/>
      <c r="D30" s="181">
        <v>43647</v>
      </c>
      <c r="E30" s="188">
        <v>71479.649999999994</v>
      </c>
      <c r="F30" s="150"/>
      <c r="G30" s="183">
        <v>43647</v>
      </c>
      <c r="H30" s="187">
        <v>0</v>
      </c>
      <c r="I30" s="28"/>
      <c r="J30" s="55"/>
      <c r="K30" s="28"/>
      <c r="L30" s="142">
        <f>60000+11480</f>
        <v>71480</v>
      </c>
      <c r="M30" s="177"/>
      <c r="N30" s="192">
        <f t="shared" si="1"/>
        <v>0.35000000000582077</v>
      </c>
    </row>
    <row r="31" spans="1:16" ht="16.5" thickBot="1" x14ac:dyDescent="0.3">
      <c r="A31" s="1"/>
      <c r="B31" s="16">
        <v>0</v>
      </c>
      <c r="C31" s="36"/>
      <c r="D31" s="181">
        <v>43648</v>
      </c>
      <c r="E31" s="188">
        <v>66806.820000000007</v>
      </c>
      <c r="F31" s="150"/>
      <c r="G31" s="183">
        <v>43648</v>
      </c>
      <c r="H31" s="187">
        <v>38</v>
      </c>
      <c r="I31" s="216">
        <v>43648</v>
      </c>
      <c r="J31" s="55" t="s">
        <v>116</v>
      </c>
      <c r="K31" s="28">
        <v>870</v>
      </c>
      <c r="L31" s="142">
        <v>65899</v>
      </c>
      <c r="M31" s="177"/>
      <c r="N31" s="192">
        <f>L31-E31+H31+K31</f>
        <v>0.17999999999301508</v>
      </c>
    </row>
    <row r="32" spans="1:16" ht="16.5" thickBot="1" x14ac:dyDescent="0.3">
      <c r="A32" s="1"/>
      <c r="B32" s="16">
        <v>0</v>
      </c>
      <c r="C32" s="36"/>
      <c r="D32" s="181">
        <v>43649</v>
      </c>
      <c r="E32" s="188">
        <v>82652.100000000006</v>
      </c>
      <c r="F32" s="150"/>
      <c r="G32" s="183">
        <v>43649</v>
      </c>
      <c r="H32" s="187">
        <v>0</v>
      </c>
      <c r="I32" s="28"/>
      <c r="J32" s="55" t="s">
        <v>233</v>
      </c>
      <c r="K32" s="28"/>
      <c r="L32" s="142">
        <v>82652</v>
      </c>
      <c r="M32" s="177"/>
      <c r="N32" s="192">
        <f t="shared" si="1"/>
        <v>-0.10000000000582077</v>
      </c>
    </row>
    <row r="33" spans="1:14" ht="19.5" thickBot="1" x14ac:dyDescent="0.35">
      <c r="A33" s="58"/>
      <c r="B33" s="16">
        <v>0</v>
      </c>
      <c r="C33" s="12"/>
      <c r="D33" s="130"/>
      <c r="E33" s="132">
        <v>0</v>
      </c>
      <c r="F33" s="131"/>
      <c r="G33" s="129"/>
      <c r="H33" s="153">
        <v>0</v>
      </c>
      <c r="I33" s="5"/>
      <c r="J33" s="231"/>
      <c r="K33" s="232"/>
      <c r="L33" s="226">
        <f>SUM(L5:L32)</f>
        <v>2395049</v>
      </c>
      <c r="M33" s="201"/>
      <c r="N33" s="177">
        <f>SUM(N5:N32)</f>
        <v>87223.060000000027</v>
      </c>
    </row>
    <row r="34" spans="1:14" ht="15.75" thickBot="1" x14ac:dyDescent="0.3">
      <c r="A34" s="61"/>
      <c r="B34" s="62">
        <f>SUM(B5:B33)</f>
        <v>0</v>
      </c>
      <c r="D34" s="63" t="s">
        <v>15</v>
      </c>
      <c r="E34" s="64">
        <f>SUM(E5:E33)</f>
        <v>2312114.94</v>
      </c>
      <c r="G34" s="203" t="s">
        <v>15</v>
      </c>
      <c r="H34" s="132">
        <f>SUM(H5:H33)</f>
        <v>1019</v>
      </c>
      <c r="I34" s="28"/>
      <c r="J34" s="65" t="s">
        <v>15</v>
      </c>
      <c r="K34" s="29">
        <f>SUM(K5:K33)</f>
        <v>77764.739999999991</v>
      </c>
      <c r="L34" s="9"/>
      <c r="M34" s="9"/>
      <c r="N34" s="168"/>
    </row>
    <row r="35" spans="1:14" x14ac:dyDescent="0.25">
      <c r="A35" s="1"/>
      <c r="B35" s="5"/>
      <c r="E35" s="5"/>
      <c r="I35" s="5"/>
      <c r="L35" s="9"/>
      <c r="M35" s="9"/>
      <c r="N35" s="168"/>
    </row>
    <row r="36" spans="1:14" ht="16.5" thickBot="1" x14ac:dyDescent="0.3">
      <c r="A36" s="1"/>
      <c r="B36" s="5">
        <v>0</v>
      </c>
      <c r="E36" s="5"/>
      <c r="G36" s="269" t="s">
        <v>16</v>
      </c>
      <c r="H36" s="270"/>
      <c r="I36" s="204"/>
      <c r="J36" s="271">
        <f>H34+K34</f>
        <v>78783.739999999991</v>
      </c>
      <c r="K36" s="272"/>
      <c r="L36" s="67"/>
      <c r="M36" s="67"/>
      <c r="N36" s="176"/>
    </row>
    <row r="37" spans="1:14" ht="15.75" x14ac:dyDescent="0.25">
      <c r="A37" s="1"/>
      <c r="B37" s="69"/>
      <c r="C37" s="273" t="s">
        <v>17</v>
      </c>
      <c r="D37" s="273"/>
      <c r="E37" s="70">
        <f>E34-J36</f>
        <v>2233331.2000000002</v>
      </c>
      <c r="F37" s="71"/>
      <c r="G37" s="71"/>
      <c r="H37" s="72"/>
      <c r="I37" s="72"/>
      <c r="J37" s="73"/>
      <c r="K37" s="74"/>
      <c r="L37" s="67"/>
      <c r="M37" s="67"/>
      <c r="N37" s="176"/>
    </row>
    <row r="38" spans="1:14" x14ac:dyDescent="0.25">
      <c r="A38" s="1"/>
      <c r="B38" s="75"/>
      <c r="D38" s="2" t="s">
        <v>18</v>
      </c>
      <c r="E38" s="28">
        <v>109486.95</v>
      </c>
      <c r="H38" s="274" t="s">
        <v>19</v>
      </c>
      <c r="I38" s="274"/>
      <c r="J38" s="274">
        <f>E42</f>
        <v>426152.71000000031</v>
      </c>
      <c r="K38" s="275"/>
      <c r="L38" s="67"/>
      <c r="M38" s="67"/>
      <c r="N38" s="176"/>
    </row>
    <row r="39" spans="1:14" ht="15.75" thickBot="1" x14ac:dyDescent="0.3">
      <c r="A39" s="1"/>
      <c r="B39" s="75" t="s">
        <v>11</v>
      </c>
      <c r="C39" s="6" t="s">
        <v>20</v>
      </c>
      <c r="E39" s="76">
        <v>-2051573.32</v>
      </c>
      <c r="H39" s="276" t="s">
        <v>1</v>
      </c>
      <c r="I39" s="276"/>
      <c r="J39" s="277">
        <f>-B4</f>
        <v>-333658.42</v>
      </c>
      <c r="K39" s="278"/>
      <c r="L39" s="67"/>
      <c r="M39" s="67"/>
      <c r="N39" s="176"/>
    </row>
    <row r="40" spans="1:14" ht="20.25" thickTop="1" thickBot="1" x14ac:dyDescent="0.3">
      <c r="A40" s="1"/>
      <c r="B40" s="75"/>
      <c r="D40" s="2" t="s">
        <v>21</v>
      </c>
      <c r="E40" s="28">
        <f>SUM(E37:E39)</f>
        <v>291244.83000000031</v>
      </c>
      <c r="H40" s="306" t="s">
        <v>88</v>
      </c>
      <c r="I40" s="307"/>
      <c r="J40" s="308">
        <f>SUM(J37:K39)</f>
        <v>92494.290000000328</v>
      </c>
      <c r="K40" s="309"/>
      <c r="L40" s="67"/>
      <c r="M40" s="67"/>
      <c r="N40" s="176"/>
    </row>
    <row r="41" spans="1:14" ht="16.5" thickBot="1" x14ac:dyDescent="0.3">
      <c r="A41" s="1"/>
      <c r="B41" s="75"/>
      <c r="C41" s="10" t="s">
        <v>288</v>
      </c>
      <c r="D41" s="77"/>
      <c r="E41" s="78">
        <v>134907.88</v>
      </c>
      <c r="F41" s="229"/>
      <c r="J41" s="265"/>
      <c r="K41" s="266"/>
      <c r="L41" s="67"/>
      <c r="M41" s="67"/>
      <c r="N41" s="176"/>
    </row>
    <row r="42" spans="1:14" ht="19.5" thickBot="1" x14ac:dyDescent="0.35">
      <c r="A42" s="1"/>
      <c r="B42" s="79"/>
      <c r="C42" s="80"/>
      <c r="D42" s="80" t="s">
        <v>23</v>
      </c>
      <c r="E42" s="81">
        <f>E41+E40</f>
        <v>426152.71000000031</v>
      </c>
      <c r="F42" s="82"/>
      <c r="G42" s="82"/>
      <c r="H42" s="221"/>
      <c r="I42" s="222"/>
      <c r="J42" s="223"/>
      <c r="K42" s="224"/>
      <c r="L42" s="225"/>
      <c r="M42" s="67"/>
      <c r="N42" s="176"/>
    </row>
    <row r="46" spans="1:14" x14ac:dyDescent="0.25">
      <c r="D46" s="2" t="s">
        <v>11</v>
      </c>
    </row>
  </sheetData>
  <mergeCells count="16">
    <mergeCell ref="H40:I40"/>
    <mergeCell ref="J40:K40"/>
    <mergeCell ref="J41:K41"/>
    <mergeCell ref="G36:H36"/>
    <mergeCell ref="J36:K36"/>
    <mergeCell ref="C37:D37"/>
    <mergeCell ref="H38:I38"/>
    <mergeCell ref="J38:K38"/>
    <mergeCell ref="H39:I39"/>
    <mergeCell ref="J39:K39"/>
    <mergeCell ref="B1:J1"/>
    <mergeCell ref="A3:B3"/>
    <mergeCell ref="D3:F3"/>
    <mergeCell ref="G3:H3"/>
    <mergeCell ref="D4:E4"/>
    <mergeCell ref="H4:K4"/>
  </mergeCells>
  <pageMargins left="0.19685039370078741" right="0.11811023622047245" top="0.31496062992125984" bottom="0.27559055118110237" header="0.31496062992125984" footer="0.31496062992125984"/>
  <pageSetup scale="8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sheetPr>
    <tabColor rgb="FF00B0F0"/>
  </sheetPr>
  <dimension ref="A1:J41"/>
  <sheetViews>
    <sheetView topLeftCell="A25" workbookViewId="0">
      <selection activeCell="E52" sqref="E5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205">
        <v>43623</v>
      </c>
      <c r="B3" s="206" t="s">
        <v>250</v>
      </c>
      <c r="C3" s="207">
        <v>3849.3</v>
      </c>
      <c r="D3" s="117"/>
      <c r="E3" s="92"/>
      <c r="F3" s="94">
        <f t="shared" ref="F3:F40" si="0">C3-E3</f>
        <v>3849.3</v>
      </c>
      <c r="H3" s="294"/>
      <c r="I3" s="295"/>
      <c r="J3" s="296"/>
    </row>
    <row r="4" spans="1:10" x14ac:dyDescent="0.25">
      <c r="A4" s="205">
        <v>43623</v>
      </c>
      <c r="B4" s="208" t="s">
        <v>251</v>
      </c>
      <c r="C4" s="207">
        <v>133570.5</v>
      </c>
      <c r="D4" s="117"/>
      <c r="E4" s="95"/>
      <c r="F4" s="96">
        <f t="shared" si="0"/>
        <v>133570.5</v>
      </c>
      <c r="H4" s="294"/>
      <c r="I4" s="295"/>
      <c r="J4" s="296"/>
    </row>
    <row r="5" spans="1:10" ht="15.75" thickBot="1" x14ac:dyDescent="0.3">
      <c r="A5" s="209">
        <v>43624</v>
      </c>
      <c r="B5" s="143" t="s">
        <v>252</v>
      </c>
      <c r="C5" s="163">
        <v>53997.7</v>
      </c>
      <c r="D5" s="117"/>
      <c r="E5" s="95"/>
      <c r="F5" s="96">
        <f t="shared" si="0"/>
        <v>53997.7</v>
      </c>
      <c r="H5" s="297"/>
      <c r="I5" s="298"/>
      <c r="J5" s="299"/>
    </row>
    <row r="6" spans="1:10" x14ac:dyDescent="0.25">
      <c r="A6" s="209">
        <v>43625</v>
      </c>
      <c r="B6" s="143" t="s">
        <v>254</v>
      </c>
      <c r="C6" s="163">
        <v>96052.44</v>
      </c>
      <c r="D6" s="117"/>
      <c r="E6" s="95"/>
      <c r="F6" s="99">
        <f t="shared" si="0"/>
        <v>96052.44</v>
      </c>
    </row>
    <row r="7" spans="1:10" x14ac:dyDescent="0.25">
      <c r="A7" s="209">
        <v>43626</v>
      </c>
      <c r="B7" s="143" t="s">
        <v>253</v>
      </c>
      <c r="C7" s="163">
        <v>82869.899999999994</v>
      </c>
      <c r="D7" s="117"/>
      <c r="E7" s="95"/>
      <c r="F7" s="99">
        <f t="shared" si="0"/>
        <v>82869.899999999994</v>
      </c>
    </row>
    <row r="8" spans="1:10" x14ac:dyDescent="0.25">
      <c r="A8" s="209">
        <v>43627</v>
      </c>
      <c r="B8" s="143" t="s">
        <v>255</v>
      </c>
      <c r="C8" s="163">
        <v>41045</v>
      </c>
      <c r="D8" s="117"/>
      <c r="E8" s="95"/>
      <c r="F8" s="99">
        <f t="shared" si="0"/>
        <v>41045</v>
      </c>
    </row>
    <row r="9" spans="1:10" x14ac:dyDescent="0.25">
      <c r="A9" s="209">
        <v>43628</v>
      </c>
      <c r="B9" s="143" t="s">
        <v>256</v>
      </c>
      <c r="C9" s="163">
        <v>48255.4</v>
      </c>
      <c r="D9" s="117"/>
      <c r="E9" s="95"/>
      <c r="F9" s="99">
        <f t="shared" si="0"/>
        <v>48255.4</v>
      </c>
    </row>
    <row r="10" spans="1:10" x14ac:dyDescent="0.25">
      <c r="A10" s="209">
        <v>43629</v>
      </c>
      <c r="B10" s="143" t="s">
        <v>257</v>
      </c>
      <c r="C10" s="163">
        <v>110106.45</v>
      </c>
      <c r="D10" s="117"/>
      <c r="E10" s="95"/>
      <c r="F10" s="99">
        <f t="shared" si="0"/>
        <v>110106.45</v>
      </c>
    </row>
    <row r="11" spans="1:10" x14ac:dyDescent="0.25">
      <c r="A11" s="209">
        <v>43630</v>
      </c>
      <c r="B11" s="144" t="s">
        <v>258</v>
      </c>
      <c r="C11" s="163">
        <v>49171.6</v>
      </c>
      <c r="D11" s="117"/>
      <c r="E11" s="95"/>
      <c r="F11" s="99">
        <f t="shared" si="0"/>
        <v>49171.6</v>
      </c>
    </row>
    <row r="12" spans="1:10" x14ac:dyDescent="0.25">
      <c r="A12" s="209">
        <v>43630</v>
      </c>
      <c r="B12" s="143" t="s">
        <v>259</v>
      </c>
      <c r="C12" s="163">
        <v>7991.4</v>
      </c>
      <c r="D12" s="117"/>
      <c r="E12" s="95"/>
      <c r="F12" s="99">
        <f t="shared" si="0"/>
        <v>7991.4</v>
      </c>
    </row>
    <row r="13" spans="1:10" x14ac:dyDescent="0.25">
      <c r="A13" s="190">
        <v>43631</v>
      </c>
      <c r="B13" s="145" t="s">
        <v>260</v>
      </c>
      <c r="C13" s="163">
        <v>124297.36</v>
      </c>
      <c r="D13" s="117"/>
      <c r="E13" s="95"/>
      <c r="F13" s="99">
        <f t="shared" si="0"/>
        <v>124297.36</v>
      </c>
    </row>
    <row r="14" spans="1:10" x14ac:dyDescent="0.25">
      <c r="A14" s="190">
        <v>43631</v>
      </c>
      <c r="B14" s="145" t="s">
        <v>261</v>
      </c>
      <c r="C14" s="163">
        <v>24683.919999999998</v>
      </c>
      <c r="D14" s="117"/>
      <c r="E14" s="95"/>
      <c r="F14" s="99">
        <f t="shared" si="0"/>
        <v>24683.919999999998</v>
      </c>
    </row>
    <row r="15" spans="1:10" x14ac:dyDescent="0.25">
      <c r="A15" s="190">
        <v>43632</v>
      </c>
      <c r="B15" s="145" t="s">
        <v>262</v>
      </c>
      <c r="C15" s="163">
        <v>17749.900000000001</v>
      </c>
      <c r="D15" s="117"/>
      <c r="E15" s="95"/>
      <c r="F15" s="99">
        <f t="shared" si="0"/>
        <v>17749.900000000001</v>
      </c>
    </row>
    <row r="16" spans="1:10" x14ac:dyDescent="0.25">
      <c r="A16" s="190">
        <v>43632</v>
      </c>
      <c r="B16" s="145" t="s">
        <v>263</v>
      </c>
      <c r="C16" s="163">
        <v>10411</v>
      </c>
      <c r="D16" s="117"/>
      <c r="E16" s="95"/>
      <c r="F16" s="99">
        <f t="shared" si="0"/>
        <v>10411</v>
      </c>
    </row>
    <row r="17" spans="1:6" x14ac:dyDescent="0.25">
      <c r="A17" s="190">
        <v>43633</v>
      </c>
      <c r="B17" s="145" t="s">
        <v>264</v>
      </c>
      <c r="C17" s="163">
        <v>165879.35999999999</v>
      </c>
      <c r="D17" s="117"/>
      <c r="E17" s="95"/>
      <c r="F17" s="99">
        <f t="shared" si="0"/>
        <v>165879.35999999999</v>
      </c>
    </row>
    <row r="18" spans="1:6" x14ac:dyDescent="0.25">
      <c r="A18" s="190">
        <v>43634</v>
      </c>
      <c r="B18" s="145" t="s">
        <v>265</v>
      </c>
      <c r="C18" s="163">
        <v>9283.2000000000007</v>
      </c>
      <c r="D18" s="117"/>
      <c r="E18" s="95"/>
      <c r="F18" s="99">
        <f t="shared" si="0"/>
        <v>9283.2000000000007</v>
      </c>
    </row>
    <row r="19" spans="1:6" x14ac:dyDescent="0.25">
      <c r="A19" s="190">
        <v>43635</v>
      </c>
      <c r="B19" s="145" t="s">
        <v>266</v>
      </c>
      <c r="C19" s="163">
        <v>2820</v>
      </c>
      <c r="D19" s="117"/>
      <c r="E19" s="95"/>
      <c r="F19" s="99">
        <f t="shared" si="0"/>
        <v>2820</v>
      </c>
    </row>
    <row r="20" spans="1:6" x14ac:dyDescent="0.25">
      <c r="A20" s="190">
        <v>43636</v>
      </c>
      <c r="B20" s="145" t="s">
        <v>267</v>
      </c>
      <c r="C20" s="163">
        <v>124590.96</v>
      </c>
      <c r="D20" s="117"/>
      <c r="E20" s="95"/>
      <c r="F20" s="99">
        <f t="shared" si="0"/>
        <v>124590.96</v>
      </c>
    </row>
    <row r="21" spans="1:6" x14ac:dyDescent="0.25">
      <c r="A21" s="190">
        <v>43636</v>
      </c>
      <c r="B21" s="145" t="s">
        <v>268</v>
      </c>
      <c r="C21" s="163">
        <v>170557.58</v>
      </c>
      <c r="D21" s="117"/>
      <c r="E21" s="95"/>
      <c r="F21" s="99">
        <f t="shared" si="0"/>
        <v>170557.58</v>
      </c>
    </row>
    <row r="22" spans="1:6" x14ac:dyDescent="0.25">
      <c r="A22" s="190">
        <v>43637</v>
      </c>
      <c r="B22" s="145" t="s">
        <v>269</v>
      </c>
      <c r="C22" s="163">
        <v>65327.14</v>
      </c>
      <c r="D22" s="117"/>
      <c r="E22" s="95"/>
      <c r="F22" s="99">
        <f t="shared" si="0"/>
        <v>65327.14</v>
      </c>
    </row>
    <row r="23" spans="1:6" x14ac:dyDescent="0.25">
      <c r="A23" s="190">
        <v>43638</v>
      </c>
      <c r="B23" s="145" t="s">
        <v>270</v>
      </c>
      <c r="C23" s="163">
        <v>101680.2</v>
      </c>
      <c r="D23" s="117"/>
      <c r="E23" s="95"/>
      <c r="F23" s="99">
        <f t="shared" si="0"/>
        <v>101680.2</v>
      </c>
    </row>
    <row r="24" spans="1:6" x14ac:dyDescent="0.25">
      <c r="A24" s="190">
        <v>43639</v>
      </c>
      <c r="B24" s="145" t="s">
        <v>271</v>
      </c>
      <c r="C24" s="163">
        <v>7209.6</v>
      </c>
      <c r="D24" s="117"/>
      <c r="E24" s="95"/>
      <c r="F24" s="99">
        <f t="shared" si="0"/>
        <v>7209.6</v>
      </c>
    </row>
    <row r="25" spans="1:6" x14ac:dyDescent="0.25">
      <c r="A25" s="190">
        <v>43640</v>
      </c>
      <c r="B25" s="145" t="s">
        <v>272</v>
      </c>
      <c r="C25" s="163">
        <v>95272.14</v>
      </c>
      <c r="D25" s="117"/>
      <c r="E25" s="95"/>
      <c r="F25" s="99">
        <f t="shared" si="0"/>
        <v>95272.14</v>
      </c>
    </row>
    <row r="26" spans="1:6" x14ac:dyDescent="0.25">
      <c r="A26" s="190">
        <v>43642</v>
      </c>
      <c r="B26" s="145" t="s">
        <v>273</v>
      </c>
      <c r="C26" s="163">
        <v>74190.44</v>
      </c>
      <c r="D26" s="117"/>
      <c r="E26" s="95"/>
      <c r="F26" s="99">
        <f t="shared" si="0"/>
        <v>74190.44</v>
      </c>
    </row>
    <row r="27" spans="1:6" x14ac:dyDescent="0.25">
      <c r="A27" s="190">
        <v>43642</v>
      </c>
      <c r="B27" s="145" t="s">
        <v>274</v>
      </c>
      <c r="C27" s="163">
        <v>5428.8</v>
      </c>
      <c r="D27" s="93"/>
      <c r="E27" s="95"/>
      <c r="F27" s="99">
        <f t="shared" si="0"/>
        <v>5428.8</v>
      </c>
    </row>
    <row r="28" spans="1:6" x14ac:dyDescent="0.25">
      <c r="A28" s="190">
        <v>43642</v>
      </c>
      <c r="B28" s="145" t="s">
        <v>275</v>
      </c>
      <c r="C28" s="163">
        <v>2776.8</v>
      </c>
      <c r="D28" s="93"/>
      <c r="E28" s="95"/>
      <c r="F28" s="99">
        <f t="shared" si="0"/>
        <v>2776.8</v>
      </c>
    </row>
    <row r="29" spans="1:6" x14ac:dyDescent="0.25">
      <c r="A29" s="190">
        <v>43643</v>
      </c>
      <c r="B29" s="145" t="s">
        <v>276</v>
      </c>
      <c r="C29" s="163">
        <v>112119.5</v>
      </c>
      <c r="D29" s="93"/>
      <c r="E29" s="95"/>
      <c r="F29" s="99">
        <f t="shared" si="0"/>
        <v>112119.5</v>
      </c>
    </row>
    <row r="30" spans="1:6" x14ac:dyDescent="0.25">
      <c r="A30" s="190">
        <v>43644</v>
      </c>
      <c r="B30" s="145" t="s">
        <v>277</v>
      </c>
      <c r="C30" s="163">
        <v>109341.55</v>
      </c>
      <c r="D30" s="93"/>
      <c r="E30" s="95"/>
      <c r="F30" s="99">
        <f t="shared" si="0"/>
        <v>109341.55</v>
      </c>
    </row>
    <row r="31" spans="1:6" x14ac:dyDescent="0.25">
      <c r="A31" s="190">
        <v>43644</v>
      </c>
      <c r="B31" s="145" t="s">
        <v>278</v>
      </c>
      <c r="C31" s="163">
        <v>29894</v>
      </c>
      <c r="D31" s="93"/>
      <c r="E31" s="95"/>
      <c r="F31" s="99">
        <f t="shared" si="0"/>
        <v>29894</v>
      </c>
    </row>
    <row r="32" spans="1:6" x14ac:dyDescent="0.25">
      <c r="A32" s="190">
        <v>43644</v>
      </c>
      <c r="B32" s="145" t="s">
        <v>279</v>
      </c>
      <c r="C32" s="163">
        <v>2772.26</v>
      </c>
      <c r="D32" s="93"/>
      <c r="E32" s="95"/>
      <c r="F32" s="99">
        <f t="shared" si="0"/>
        <v>2772.26</v>
      </c>
    </row>
    <row r="33" spans="1:6" x14ac:dyDescent="0.25">
      <c r="A33" s="190">
        <v>43645</v>
      </c>
      <c r="B33" s="145" t="s">
        <v>280</v>
      </c>
      <c r="C33" s="163">
        <v>20603.8</v>
      </c>
      <c r="D33" s="93"/>
      <c r="E33" s="95"/>
      <c r="F33" s="99">
        <f t="shared" si="0"/>
        <v>20603.8</v>
      </c>
    </row>
    <row r="34" spans="1:6" x14ac:dyDescent="0.25">
      <c r="A34" s="190">
        <v>43645</v>
      </c>
      <c r="B34" s="145" t="s">
        <v>281</v>
      </c>
      <c r="C34" s="163">
        <v>76866.86</v>
      </c>
      <c r="D34" s="93"/>
      <c r="E34" s="95"/>
      <c r="F34" s="99">
        <f t="shared" si="0"/>
        <v>76866.86</v>
      </c>
    </row>
    <row r="35" spans="1:6" x14ac:dyDescent="0.25">
      <c r="A35" s="190">
        <v>43646</v>
      </c>
      <c r="B35" s="145" t="s">
        <v>282</v>
      </c>
      <c r="C35" s="163">
        <v>13855.03</v>
      </c>
      <c r="D35" s="93"/>
      <c r="E35" s="95"/>
      <c r="F35" s="99">
        <f t="shared" si="0"/>
        <v>13855.03</v>
      </c>
    </row>
    <row r="36" spans="1:6" x14ac:dyDescent="0.25">
      <c r="A36" s="190">
        <v>43647</v>
      </c>
      <c r="B36" s="145" t="s">
        <v>283</v>
      </c>
      <c r="C36" s="163">
        <v>46136.5</v>
      </c>
      <c r="D36" s="210"/>
      <c r="E36" s="95"/>
      <c r="F36" s="99">
        <f t="shared" si="0"/>
        <v>46136.5</v>
      </c>
    </row>
    <row r="37" spans="1:6" x14ac:dyDescent="0.25">
      <c r="A37" s="101">
        <v>43647</v>
      </c>
      <c r="B37" s="102" t="s">
        <v>284</v>
      </c>
      <c r="C37" s="95">
        <v>6543.63</v>
      </c>
      <c r="D37" s="93"/>
      <c r="E37" s="95"/>
      <c r="F37" s="99">
        <f t="shared" si="0"/>
        <v>6543.63</v>
      </c>
    </row>
    <row r="38" spans="1:6" x14ac:dyDescent="0.25">
      <c r="A38" s="101">
        <v>43648</v>
      </c>
      <c r="B38" s="102" t="s">
        <v>285</v>
      </c>
      <c r="C38" s="95">
        <v>108817.4</v>
      </c>
      <c r="D38" s="93"/>
      <c r="E38" s="95"/>
      <c r="F38" s="99">
        <f t="shared" si="0"/>
        <v>108817.4</v>
      </c>
    </row>
    <row r="39" spans="1:6" x14ac:dyDescent="0.25">
      <c r="A39" s="217">
        <v>43644</v>
      </c>
      <c r="B39" s="218" t="s">
        <v>286</v>
      </c>
      <c r="C39" s="219">
        <v>6360</v>
      </c>
      <c r="D39" s="164" t="s">
        <v>287</v>
      </c>
      <c r="E39" s="219"/>
      <c r="F39" s="220">
        <f t="shared" si="0"/>
        <v>6360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110805.3</v>
      </c>
      <c r="F40" s="108">
        <f t="shared" si="0"/>
        <v>-110805.3</v>
      </c>
    </row>
    <row r="41" spans="1:6" s="113" customFormat="1" ht="19.5" thickBot="1" x14ac:dyDescent="0.35">
      <c r="A41" s="109"/>
      <c r="B41" s="110"/>
      <c r="C41" s="111">
        <f>SUM(C3:C40)</f>
        <v>2162378.62</v>
      </c>
      <c r="D41" s="111"/>
      <c r="E41" s="112">
        <f>SUM(E3:E40)</f>
        <v>110805.3</v>
      </c>
      <c r="F41" s="112">
        <f>SUM(F3:F40)</f>
        <v>2051573.32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CB4-C7B8-4E63-8B3B-9D38D98E6875}">
  <sheetPr>
    <tabColor rgb="FFFFFF00"/>
  </sheetPr>
  <dimension ref="A1:P51"/>
  <sheetViews>
    <sheetView topLeftCell="J1" workbookViewId="0">
      <selection activeCell="O17" sqref="O1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279" t="s">
        <v>289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233"/>
      <c r="N1" s="168"/>
    </row>
    <row r="2" spans="1:16" x14ac:dyDescent="0.25">
      <c r="A2" s="1"/>
      <c r="B2" s="5"/>
      <c r="D2" s="227"/>
      <c r="E2" s="8"/>
      <c r="L2" s="9"/>
      <c r="M2" s="9"/>
      <c r="N2" s="168"/>
    </row>
    <row r="3" spans="1:16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194"/>
      <c r="N3" s="168"/>
    </row>
    <row r="4" spans="1:16" ht="20.25" thickTop="1" thickBot="1" x14ac:dyDescent="0.35">
      <c r="A4" s="120"/>
      <c r="B4" s="11">
        <v>134907.88</v>
      </c>
      <c r="C4" s="230">
        <v>43649</v>
      </c>
      <c r="D4" s="282" t="s">
        <v>3</v>
      </c>
      <c r="E4" s="283"/>
      <c r="H4" s="284" t="s">
        <v>4</v>
      </c>
      <c r="I4" s="285"/>
      <c r="J4" s="285"/>
      <c r="K4" s="28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43650</v>
      </c>
      <c r="E5" s="178">
        <v>40151.85</v>
      </c>
      <c r="F5" s="182"/>
      <c r="G5" s="183">
        <v>43650</v>
      </c>
      <c r="H5" s="184">
        <v>0</v>
      </c>
      <c r="I5" s="21"/>
      <c r="J5" s="22"/>
      <c r="K5" s="22"/>
      <c r="L5" s="142">
        <f>25000+47491</f>
        <v>72491</v>
      </c>
      <c r="M5" s="177"/>
      <c r="N5" s="235">
        <f>L5-E5</f>
        <v>32339.15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43651</v>
      </c>
      <c r="E6" s="178">
        <v>47270.15</v>
      </c>
      <c r="F6" s="185"/>
      <c r="G6" s="183">
        <v>43651</v>
      </c>
      <c r="H6" s="240">
        <v>0</v>
      </c>
      <c r="I6" s="241"/>
      <c r="J6" s="242" t="s">
        <v>6</v>
      </c>
      <c r="K6" s="243">
        <v>549</v>
      </c>
      <c r="L6" s="142">
        <v>53025</v>
      </c>
      <c r="M6" s="177"/>
      <c r="N6" s="235">
        <f>L6-E6</f>
        <v>5754.8499999999985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43652</v>
      </c>
      <c r="E7" s="178">
        <v>84749.3</v>
      </c>
      <c r="F7" s="150"/>
      <c r="G7" s="183">
        <v>43652</v>
      </c>
      <c r="H7" s="240">
        <v>0</v>
      </c>
      <c r="I7" s="244">
        <v>43650</v>
      </c>
      <c r="J7" s="245" t="s">
        <v>7</v>
      </c>
      <c r="K7" s="246">
        <v>10097</v>
      </c>
      <c r="L7" s="142">
        <v>91553</v>
      </c>
      <c r="M7" s="177"/>
      <c r="N7" s="235">
        <f>L7-E7+H7-M7</f>
        <v>6803.6999999999971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43653</v>
      </c>
      <c r="E8" s="178">
        <v>58641.3</v>
      </c>
      <c r="F8" s="150"/>
      <c r="G8" s="183">
        <v>43653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v>58852</v>
      </c>
      <c r="M8" s="212"/>
      <c r="N8" s="235">
        <f>L8-E8-M8+K17</f>
        <v>1110.6999999999971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43654</v>
      </c>
      <c r="E9" s="178">
        <v>57853.9</v>
      </c>
      <c r="F9" s="150"/>
      <c r="G9" s="183">
        <v>43654</v>
      </c>
      <c r="H9" s="240">
        <v>90</v>
      </c>
      <c r="I9" s="248">
        <v>43652</v>
      </c>
      <c r="J9" s="242" t="s">
        <v>290</v>
      </c>
      <c r="K9" s="243">
        <v>10823.98</v>
      </c>
      <c r="L9" s="142">
        <v>68764</v>
      </c>
      <c r="M9" s="177"/>
      <c r="N9" s="235">
        <f>L9-E9+H9</f>
        <v>11000.099999999999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43655</v>
      </c>
      <c r="E10" s="178">
        <v>29843.47</v>
      </c>
      <c r="F10" s="150"/>
      <c r="G10" s="183">
        <v>43655</v>
      </c>
      <c r="H10" s="240">
        <v>0</v>
      </c>
      <c r="I10" s="248">
        <v>43659</v>
      </c>
      <c r="J10" s="242" t="s">
        <v>291</v>
      </c>
      <c r="K10" s="243">
        <v>8738.27</v>
      </c>
      <c r="L10" s="142">
        <f>40000+32322</f>
        <v>72322</v>
      </c>
      <c r="M10" s="177"/>
      <c r="N10" s="235">
        <f>L10-E10</f>
        <v>42478.53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43656</v>
      </c>
      <c r="E11" s="178">
        <v>38916.03</v>
      </c>
      <c r="F11" s="150"/>
      <c r="G11" s="183">
        <v>43656</v>
      </c>
      <c r="H11" s="240">
        <v>0</v>
      </c>
      <c r="I11" s="248">
        <v>43666</v>
      </c>
      <c r="J11" s="242" t="s">
        <v>292</v>
      </c>
      <c r="K11" s="243">
        <v>9095.4500000000007</v>
      </c>
      <c r="L11" s="236">
        <f>29773+K14</f>
        <v>38915.86</v>
      </c>
      <c r="M11" s="177" t="s">
        <v>11</v>
      </c>
      <c r="N11" s="192">
        <f>L11-E11</f>
        <v>-0.16999999999825377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43657</v>
      </c>
      <c r="E12" s="178">
        <v>53957.55</v>
      </c>
      <c r="F12" s="150"/>
      <c r="G12" s="183">
        <v>43657</v>
      </c>
      <c r="H12" s="240">
        <v>38</v>
      </c>
      <c r="I12" s="248">
        <v>43673</v>
      </c>
      <c r="J12" s="242" t="s">
        <v>293</v>
      </c>
      <c r="K12" s="243">
        <v>9347.7900000000009</v>
      </c>
      <c r="L12" s="142">
        <v>53920</v>
      </c>
      <c r="M12" s="177"/>
      <c r="N12" s="192">
        <f>L12-E12+H12</f>
        <v>0.44999999999708962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43658</v>
      </c>
      <c r="E13" s="178">
        <v>91637.22</v>
      </c>
      <c r="F13" s="150"/>
      <c r="G13" s="183">
        <v>43658</v>
      </c>
      <c r="H13" s="240">
        <v>0</v>
      </c>
      <c r="I13" s="249">
        <v>43680</v>
      </c>
      <c r="J13" s="242" t="s">
        <v>294</v>
      </c>
      <c r="K13" s="243">
        <v>10338.27</v>
      </c>
      <c r="L13" s="142">
        <v>91637</v>
      </c>
      <c r="M13" s="177"/>
      <c r="N13" s="192">
        <f t="shared" ref="N13:N36" si="0">L13-E13+H13</f>
        <v>-0.22000000000116415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43659</v>
      </c>
      <c r="E14" s="178">
        <v>44187.14</v>
      </c>
      <c r="F14" s="150"/>
      <c r="G14" s="183">
        <v>43659</v>
      </c>
      <c r="H14" s="240">
        <v>50</v>
      </c>
      <c r="I14" s="250">
        <v>43656</v>
      </c>
      <c r="J14" s="251" t="s">
        <v>9</v>
      </c>
      <c r="K14" s="252">
        <v>9142.86</v>
      </c>
      <c r="L14" s="142">
        <f>25000+19137</f>
        <v>44137</v>
      </c>
      <c r="M14" s="177"/>
      <c r="N14" s="192">
        <f t="shared" si="0"/>
        <v>-0.13999999999941792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43660</v>
      </c>
      <c r="E15" s="178">
        <v>79662.240000000005</v>
      </c>
      <c r="F15" s="150"/>
      <c r="G15" s="183">
        <v>43660</v>
      </c>
      <c r="H15" s="240">
        <v>300.14999999999998</v>
      </c>
      <c r="I15" s="241"/>
      <c r="J15" s="253" t="s">
        <v>295</v>
      </c>
      <c r="K15" s="243">
        <v>0</v>
      </c>
      <c r="L15" s="142">
        <v>79362</v>
      </c>
      <c r="M15" s="177"/>
      <c r="N15" s="192">
        <f t="shared" si="0"/>
        <v>-9.0000000005261427E-2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43661</v>
      </c>
      <c r="E16" s="178">
        <v>54247.64</v>
      </c>
      <c r="F16" s="150"/>
      <c r="G16" s="183">
        <v>43661</v>
      </c>
      <c r="H16" s="240">
        <v>0</v>
      </c>
      <c r="I16" s="241"/>
      <c r="J16" s="254"/>
      <c r="K16" s="255">
        <v>0</v>
      </c>
      <c r="L16" s="142">
        <f>25000+30000+9248</f>
        <v>64248</v>
      </c>
      <c r="M16" s="177"/>
      <c r="N16" s="211">
        <f t="shared" si="0"/>
        <v>10000.36</v>
      </c>
      <c r="O16" s="150" t="s">
        <v>368</v>
      </c>
      <c r="P16" s="149"/>
    </row>
    <row r="17" spans="1:16" ht="16.5" thickBot="1" x14ac:dyDescent="0.3">
      <c r="A17" s="25"/>
      <c r="B17" s="16">
        <v>0</v>
      </c>
      <c r="C17" s="36"/>
      <c r="D17" s="181">
        <v>43662</v>
      </c>
      <c r="E17" s="178">
        <v>71820.92</v>
      </c>
      <c r="F17" s="150"/>
      <c r="G17" s="183">
        <v>43662</v>
      </c>
      <c r="H17" s="240">
        <v>0</v>
      </c>
      <c r="I17" s="256">
        <v>43653</v>
      </c>
      <c r="J17" s="257" t="s">
        <v>12</v>
      </c>
      <c r="K17" s="255">
        <v>900</v>
      </c>
      <c r="L17" s="142">
        <f>30000+25000+16821</f>
        <v>71821</v>
      </c>
      <c r="M17" s="177"/>
      <c r="N17" s="192">
        <f t="shared" si="0"/>
        <v>8.000000000174623E-2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43663</v>
      </c>
      <c r="E18" s="178">
        <v>55104.38</v>
      </c>
      <c r="F18" s="150"/>
      <c r="G18" s="183">
        <v>43663</v>
      </c>
      <c r="H18" s="160">
        <v>0</v>
      </c>
      <c r="I18" s="44"/>
      <c r="K18" s="8"/>
      <c r="L18" s="142">
        <f>20000+25000+10104.5</f>
        <v>55104.5</v>
      </c>
      <c r="M18" s="177"/>
      <c r="N18" s="192">
        <f t="shared" si="0"/>
        <v>0.12000000000261934</v>
      </c>
      <c r="O18" s="150"/>
    </row>
    <row r="19" spans="1:16" ht="16.5" thickBot="1" x14ac:dyDescent="0.3">
      <c r="A19" s="25"/>
      <c r="B19" s="16">
        <v>0</v>
      </c>
      <c r="C19" s="36"/>
      <c r="D19" s="181">
        <v>43664</v>
      </c>
      <c r="E19" s="178">
        <v>53986.55</v>
      </c>
      <c r="F19" s="150"/>
      <c r="G19" s="183">
        <v>43664</v>
      </c>
      <c r="H19" s="160">
        <v>38</v>
      </c>
      <c r="I19" s="28"/>
      <c r="K19" s="8">
        <v>0</v>
      </c>
      <c r="L19" s="142">
        <f>30000+23948.5</f>
        <v>53948.5</v>
      </c>
      <c r="M19" s="177"/>
      <c r="N19" s="192">
        <f>L19-E19+H19</f>
        <v>-5.0000000002910383E-2</v>
      </c>
    </row>
    <row r="20" spans="1:16" ht="16.5" thickBot="1" x14ac:dyDescent="0.3">
      <c r="A20" s="25"/>
      <c r="B20" s="16">
        <v>0</v>
      </c>
      <c r="C20" s="46"/>
      <c r="D20" s="181">
        <v>43665</v>
      </c>
      <c r="E20" s="178">
        <v>81479.97</v>
      </c>
      <c r="F20" s="186"/>
      <c r="G20" s="183">
        <v>43665</v>
      </c>
      <c r="H20" s="160">
        <v>0</v>
      </c>
      <c r="I20" s="162"/>
      <c r="J20" s="48"/>
      <c r="K20" s="28" t="s">
        <v>10</v>
      </c>
      <c r="L20" s="142">
        <f>25000+30000+20000+6480</f>
        <v>81480</v>
      </c>
      <c r="M20" s="177"/>
      <c r="N20" s="192">
        <f t="shared" si="0"/>
        <v>2.9999999998835847E-2</v>
      </c>
    </row>
    <row r="21" spans="1:16" ht="16.5" thickBot="1" x14ac:dyDescent="0.3">
      <c r="A21" s="25"/>
      <c r="B21" s="16">
        <v>0</v>
      </c>
      <c r="C21" s="46"/>
      <c r="D21" s="181">
        <v>43666</v>
      </c>
      <c r="E21" s="178">
        <v>85371.11</v>
      </c>
      <c r="F21" s="150"/>
      <c r="G21" s="183">
        <v>43666</v>
      </c>
      <c r="H21" s="160">
        <v>0</v>
      </c>
      <c r="I21" s="33"/>
      <c r="J21" s="49"/>
      <c r="K21" s="28"/>
      <c r="L21" s="142">
        <f>25000+45000+15371</f>
        <v>85371</v>
      </c>
      <c r="M21" s="177"/>
      <c r="N21" s="192">
        <f t="shared" si="0"/>
        <v>-0.11000000000058208</v>
      </c>
    </row>
    <row r="22" spans="1:16" ht="16.5" thickBot="1" x14ac:dyDescent="0.3">
      <c r="A22" s="25"/>
      <c r="B22" s="16">
        <v>0</v>
      </c>
      <c r="C22" s="36"/>
      <c r="D22" s="181">
        <v>43667</v>
      </c>
      <c r="E22" s="178">
        <v>63283.9</v>
      </c>
      <c r="F22" s="150"/>
      <c r="G22" s="183">
        <v>43667</v>
      </c>
      <c r="H22" s="160">
        <v>0</v>
      </c>
      <c r="I22" s="47" t="s">
        <v>11</v>
      </c>
      <c r="J22" s="50"/>
      <c r="K22" s="28">
        <v>0</v>
      </c>
      <c r="L22" s="142">
        <f>35000+28284</f>
        <v>63284</v>
      </c>
      <c r="M22" s="177"/>
      <c r="N22" s="192">
        <f t="shared" si="0"/>
        <v>9.9999999998544808E-2</v>
      </c>
    </row>
    <row r="23" spans="1:16" ht="16.5" thickBot="1" x14ac:dyDescent="0.3">
      <c r="A23" s="25"/>
      <c r="B23" s="16">
        <v>0</v>
      </c>
      <c r="C23" s="36"/>
      <c r="D23" s="181">
        <v>43668</v>
      </c>
      <c r="E23" s="178">
        <v>79339.179999999993</v>
      </c>
      <c r="F23" s="150"/>
      <c r="G23" s="183">
        <v>43668</v>
      </c>
      <c r="H23" s="160">
        <v>90</v>
      </c>
      <c r="I23" s="28"/>
      <c r="J23" s="49"/>
      <c r="K23" s="28">
        <v>0</v>
      </c>
      <c r="L23" s="142">
        <v>79259</v>
      </c>
      <c r="M23" s="177"/>
      <c r="N23" s="192">
        <f t="shared" si="0"/>
        <v>9.8200000000069849</v>
      </c>
    </row>
    <row r="24" spans="1:16" ht="16.5" thickBot="1" x14ac:dyDescent="0.3">
      <c r="A24" s="25"/>
      <c r="B24" s="16">
        <v>0</v>
      </c>
      <c r="C24" s="36"/>
      <c r="D24" s="181">
        <v>43669</v>
      </c>
      <c r="E24" s="178">
        <v>31986.75</v>
      </c>
      <c r="F24" s="150"/>
      <c r="G24" s="183">
        <v>43669</v>
      </c>
      <c r="H24" s="160">
        <v>0</v>
      </c>
      <c r="I24" s="28"/>
      <c r="J24" s="56"/>
      <c r="K24" s="28">
        <v>0</v>
      </c>
      <c r="L24" s="142">
        <v>31987</v>
      </c>
      <c r="M24" s="177"/>
      <c r="N24" s="192">
        <f t="shared" si="0"/>
        <v>0.25</v>
      </c>
    </row>
    <row r="25" spans="1:16" ht="16.5" thickBot="1" x14ac:dyDescent="0.3">
      <c r="A25" s="25"/>
      <c r="B25" s="16">
        <v>0</v>
      </c>
      <c r="C25" s="46"/>
      <c r="D25" s="181">
        <v>43670</v>
      </c>
      <c r="E25" s="178">
        <v>88419.18</v>
      </c>
      <c r="F25" s="150"/>
      <c r="G25" s="183">
        <v>43670</v>
      </c>
      <c r="H25" s="160">
        <v>0</v>
      </c>
      <c r="I25" s="28"/>
      <c r="J25" s="52"/>
      <c r="K25" s="28"/>
      <c r="L25" s="142">
        <f>83419+5000</f>
        <v>88419</v>
      </c>
      <c r="M25" s="177"/>
      <c r="N25" s="192">
        <f t="shared" si="0"/>
        <v>-0.17999999999301508</v>
      </c>
    </row>
    <row r="26" spans="1:16" ht="16.5" thickBot="1" x14ac:dyDescent="0.3">
      <c r="A26" s="25"/>
      <c r="B26" s="16">
        <v>0</v>
      </c>
      <c r="C26" s="36"/>
      <c r="D26" s="181">
        <v>43671</v>
      </c>
      <c r="E26" s="178">
        <v>65238.2</v>
      </c>
      <c r="F26" s="150"/>
      <c r="G26" s="183">
        <v>43671</v>
      </c>
      <c r="H26" s="160">
        <v>0</v>
      </c>
      <c r="I26" s="40"/>
      <c r="J26" s="53"/>
      <c r="K26" s="28">
        <v>0</v>
      </c>
      <c r="L26" s="142">
        <f>30000+35238</f>
        <v>65238</v>
      </c>
      <c r="M26" s="177"/>
      <c r="N26" s="192">
        <f t="shared" si="0"/>
        <v>-0.19999999999708962</v>
      </c>
    </row>
    <row r="27" spans="1:16" ht="16.5" thickBot="1" x14ac:dyDescent="0.3">
      <c r="A27" s="25"/>
      <c r="B27" s="16">
        <v>0</v>
      </c>
      <c r="C27" s="36"/>
      <c r="D27" s="181">
        <v>43672</v>
      </c>
      <c r="E27" s="178">
        <v>83937.48</v>
      </c>
      <c r="F27" s="150"/>
      <c r="G27" s="183">
        <v>43672</v>
      </c>
      <c r="H27" s="160">
        <v>50</v>
      </c>
      <c r="I27" s="40"/>
      <c r="J27" s="54"/>
      <c r="K27" s="28">
        <v>0</v>
      </c>
      <c r="L27" s="142">
        <v>83887.5</v>
      </c>
      <c r="M27" s="177"/>
      <c r="N27" s="192">
        <f t="shared" si="0"/>
        <v>2.0000000004074536E-2</v>
      </c>
    </row>
    <row r="28" spans="1:16" ht="16.5" thickBot="1" x14ac:dyDescent="0.3">
      <c r="A28" s="25"/>
      <c r="B28" s="16">
        <v>0</v>
      </c>
      <c r="C28" s="36"/>
      <c r="D28" s="181">
        <v>43673</v>
      </c>
      <c r="E28" s="178">
        <v>94298.07</v>
      </c>
      <c r="F28" s="150"/>
      <c r="G28" s="183">
        <v>43673</v>
      </c>
      <c r="H28" s="187">
        <v>0</v>
      </c>
      <c r="I28" s="28"/>
      <c r="J28" s="55"/>
      <c r="K28" s="28">
        <v>0</v>
      </c>
      <c r="L28" s="142">
        <v>94298</v>
      </c>
      <c r="M28" s="177"/>
      <c r="N28" s="192">
        <f t="shared" si="0"/>
        <v>-7.0000000006984919E-2</v>
      </c>
    </row>
    <row r="29" spans="1:16" ht="16.5" thickBot="1" x14ac:dyDescent="0.3">
      <c r="A29" s="1"/>
      <c r="B29" s="16">
        <v>0</v>
      </c>
      <c r="C29" s="36"/>
      <c r="D29" s="181">
        <v>43674</v>
      </c>
      <c r="E29" s="188">
        <v>40721.19</v>
      </c>
      <c r="F29" s="150"/>
      <c r="G29" s="183">
        <v>43674</v>
      </c>
      <c r="H29" s="187">
        <v>150</v>
      </c>
      <c r="I29" s="40"/>
      <c r="K29" s="28"/>
      <c r="L29" s="142">
        <v>40571</v>
      </c>
      <c r="M29" s="177"/>
      <c r="N29" s="192">
        <f t="shared" si="0"/>
        <v>-0.19000000000232831</v>
      </c>
    </row>
    <row r="30" spans="1:16" ht="16.5" thickBot="1" x14ac:dyDescent="0.3">
      <c r="A30" s="1"/>
      <c r="B30" s="16">
        <v>0</v>
      </c>
      <c r="C30" s="36"/>
      <c r="D30" s="181">
        <v>43675</v>
      </c>
      <c r="E30" s="188">
        <v>67351.59</v>
      </c>
      <c r="F30" s="150"/>
      <c r="G30" s="183">
        <v>43675</v>
      </c>
      <c r="H30" s="187">
        <v>90</v>
      </c>
      <c r="I30" s="28"/>
      <c r="J30" s="55"/>
      <c r="K30" s="28"/>
      <c r="L30" s="142">
        <v>67261.5</v>
      </c>
      <c r="M30" s="177"/>
      <c r="N30" s="192">
        <f t="shared" si="0"/>
        <v>-8.999999999650754E-2</v>
      </c>
    </row>
    <row r="31" spans="1:16" ht="16.5" thickBot="1" x14ac:dyDescent="0.3">
      <c r="A31" s="1"/>
      <c r="B31" s="16">
        <v>0</v>
      </c>
      <c r="C31" s="36"/>
      <c r="D31" s="181">
        <v>43676</v>
      </c>
      <c r="E31" s="188">
        <v>98932.9</v>
      </c>
      <c r="F31" s="150"/>
      <c r="G31" s="183">
        <v>43676</v>
      </c>
      <c r="H31" s="187">
        <v>38</v>
      </c>
      <c r="I31" s="216"/>
      <c r="J31" s="55"/>
      <c r="K31" s="28">
        <v>0</v>
      </c>
      <c r="L31" s="142">
        <v>98895</v>
      </c>
      <c r="M31" s="177"/>
      <c r="N31" s="192">
        <f t="shared" si="0"/>
        <v>0.10000000000582077</v>
      </c>
    </row>
    <row r="32" spans="1:16" ht="16.5" thickBot="1" x14ac:dyDescent="0.3">
      <c r="A32" s="1"/>
      <c r="B32" s="16">
        <v>0</v>
      </c>
      <c r="C32" s="36"/>
      <c r="D32" s="181">
        <v>43677</v>
      </c>
      <c r="E32" s="188">
        <v>58612.1</v>
      </c>
      <c r="F32" s="150"/>
      <c r="G32" s="183">
        <v>43677</v>
      </c>
      <c r="H32" s="187">
        <v>0</v>
      </c>
      <c r="I32" s="28"/>
      <c r="J32" s="55" t="s">
        <v>233</v>
      </c>
      <c r="K32" s="28"/>
      <c r="L32" s="142">
        <f>33612+25000</f>
        <v>58612</v>
      </c>
      <c r="M32" s="177"/>
      <c r="N32" s="192">
        <f t="shared" si="0"/>
        <v>-9.9999999998544808E-2</v>
      </c>
    </row>
    <row r="33" spans="1:14" ht="16.5" thickBot="1" x14ac:dyDescent="0.3">
      <c r="A33" s="1"/>
      <c r="B33" s="16">
        <v>0</v>
      </c>
      <c r="C33" s="36"/>
      <c r="D33" s="181">
        <v>43678</v>
      </c>
      <c r="E33" s="188">
        <v>60715.45</v>
      </c>
      <c r="F33" s="150"/>
      <c r="G33" s="183">
        <v>43678</v>
      </c>
      <c r="H33" s="187">
        <v>0</v>
      </c>
      <c r="I33" s="28"/>
      <c r="J33" s="55"/>
      <c r="K33" s="28"/>
      <c r="L33" s="142">
        <v>60715.5</v>
      </c>
      <c r="M33" s="177"/>
      <c r="N33" s="192">
        <f t="shared" si="0"/>
        <v>5.0000000002910383E-2</v>
      </c>
    </row>
    <row r="34" spans="1:14" ht="16.5" thickBot="1" x14ac:dyDescent="0.3">
      <c r="A34" s="1"/>
      <c r="B34" s="16">
        <v>0</v>
      </c>
      <c r="C34" s="36"/>
      <c r="D34" s="181">
        <v>43679</v>
      </c>
      <c r="E34" s="188">
        <v>96272.9</v>
      </c>
      <c r="F34" s="150"/>
      <c r="G34" s="183">
        <v>43679</v>
      </c>
      <c r="H34" s="187">
        <v>0</v>
      </c>
      <c r="I34" s="40">
        <v>43679</v>
      </c>
      <c r="J34" s="55" t="s">
        <v>79</v>
      </c>
      <c r="K34" s="28">
        <v>870</v>
      </c>
      <c r="L34" s="142">
        <v>95403</v>
      </c>
      <c r="M34" s="177"/>
      <c r="N34" s="192">
        <f>L34-E34+H34+K34</f>
        <v>0.10000000000582077</v>
      </c>
    </row>
    <row r="35" spans="1:14" ht="16.5" thickBot="1" x14ac:dyDescent="0.3">
      <c r="A35" s="1"/>
      <c r="B35" s="16">
        <v>0</v>
      </c>
      <c r="C35" s="36"/>
      <c r="D35" s="181">
        <v>43680</v>
      </c>
      <c r="E35" s="188">
        <v>97263.05</v>
      </c>
      <c r="F35" s="150"/>
      <c r="G35" s="183">
        <v>43680</v>
      </c>
      <c r="H35" s="187">
        <v>0</v>
      </c>
      <c r="I35" s="28"/>
      <c r="J35" s="55"/>
      <c r="K35" s="28"/>
      <c r="L35" s="142">
        <v>97263</v>
      </c>
      <c r="M35" s="177"/>
      <c r="N35" s="192">
        <f t="shared" si="0"/>
        <v>-5.0000000002910383E-2</v>
      </c>
    </row>
    <row r="36" spans="1:14" ht="16.5" thickBot="1" x14ac:dyDescent="0.3">
      <c r="A36" s="1"/>
      <c r="B36" s="16">
        <v>0</v>
      </c>
      <c r="C36" s="36"/>
      <c r="D36" s="181">
        <v>43681</v>
      </c>
      <c r="E36" s="188">
        <v>82270.25</v>
      </c>
      <c r="F36" s="150"/>
      <c r="G36" s="183">
        <v>43681</v>
      </c>
      <c r="H36" s="187">
        <v>0</v>
      </c>
      <c r="I36" s="28"/>
      <c r="J36" s="55"/>
      <c r="K36" s="28"/>
      <c r="L36" s="142">
        <v>82270</v>
      </c>
      <c r="M36" s="177"/>
      <c r="N36" s="192">
        <f t="shared" si="0"/>
        <v>-0.25</v>
      </c>
    </row>
    <row r="37" spans="1:14" ht="16.5" thickBot="1" x14ac:dyDescent="0.3">
      <c r="A37" s="1"/>
      <c r="B37" s="16">
        <v>0</v>
      </c>
      <c r="C37" s="36"/>
      <c r="D37" s="181">
        <v>43682</v>
      </c>
      <c r="E37" s="188">
        <v>119414.69</v>
      </c>
      <c r="F37" s="150"/>
      <c r="G37" s="183">
        <v>43682</v>
      </c>
      <c r="H37" s="187">
        <v>0</v>
      </c>
      <c r="I37" s="28"/>
      <c r="J37" s="55"/>
      <c r="K37" s="28"/>
      <c r="L37" s="142">
        <v>0</v>
      </c>
      <c r="M37" s="177"/>
      <c r="N37" s="192">
        <f t="shared" ref="N37" si="1">L37-E37+H37</f>
        <v>-119414.69</v>
      </c>
    </row>
    <row r="38" spans="1:14" ht="19.5" thickBot="1" x14ac:dyDescent="0.35">
      <c r="A38" s="58"/>
      <c r="B38" s="16">
        <v>0</v>
      </c>
      <c r="C38" s="12"/>
      <c r="D38" s="130"/>
      <c r="E38" s="132">
        <v>0</v>
      </c>
      <c r="F38" s="131"/>
      <c r="G38" s="129"/>
      <c r="H38" s="153">
        <v>0</v>
      </c>
      <c r="I38" s="5"/>
      <c r="J38" s="231"/>
      <c r="K38" s="232"/>
      <c r="L38" s="226">
        <f>SUM(L5:L32)</f>
        <v>1908663.8599999999</v>
      </c>
      <c r="M38" s="201"/>
      <c r="N38" s="177"/>
    </row>
    <row r="39" spans="1:14" ht="15.75" thickBot="1" x14ac:dyDescent="0.3">
      <c r="A39" s="61"/>
      <c r="B39" s="62">
        <f>SUM(B5:B38)</f>
        <v>0</v>
      </c>
      <c r="D39" s="63" t="s">
        <v>15</v>
      </c>
      <c r="E39" s="64">
        <f>SUM(E5:E38)</f>
        <v>2256937.6</v>
      </c>
      <c r="G39" s="227" t="s">
        <v>15</v>
      </c>
      <c r="H39" s="132">
        <f>SUM(H5:H38)</f>
        <v>934.15</v>
      </c>
      <c r="I39" s="28"/>
      <c r="J39" s="65" t="s">
        <v>15</v>
      </c>
      <c r="K39" s="29">
        <f>SUM(K5:K38)</f>
        <v>98652.62</v>
      </c>
      <c r="L39" s="9"/>
      <c r="M39" s="9"/>
      <c r="N39" s="168"/>
    </row>
    <row r="40" spans="1:14" x14ac:dyDescent="0.25">
      <c r="A40" s="1"/>
      <c r="B40" s="5"/>
      <c r="E40" s="5"/>
      <c r="I40" s="5"/>
      <c r="L40" s="9"/>
      <c r="M40" s="9"/>
      <c r="N40" s="168"/>
    </row>
    <row r="41" spans="1:14" ht="16.5" thickBot="1" x14ac:dyDescent="0.3">
      <c r="A41" s="1"/>
      <c r="B41" s="5">
        <v>0</v>
      </c>
      <c r="E41" s="5"/>
      <c r="G41" s="269" t="s">
        <v>16</v>
      </c>
      <c r="H41" s="270"/>
      <c r="I41" s="228"/>
      <c r="J41" s="271">
        <f>H39+K39</f>
        <v>99586.76999999999</v>
      </c>
      <c r="K41" s="272"/>
      <c r="L41" s="67"/>
      <c r="M41" s="67"/>
      <c r="N41" s="237"/>
    </row>
    <row r="42" spans="1:14" ht="15.75" x14ac:dyDescent="0.25">
      <c r="A42" s="1"/>
      <c r="B42" s="69"/>
      <c r="C42" s="273" t="s">
        <v>17</v>
      </c>
      <c r="D42" s="273"/>
      <c r="E42" s="70">
        <f>E39-J41</f>
        <v>2157350.83</v>
      </c>
      <c r="F42" s="71"/>
      <c r="G42" s="71"/>
      <c r="H42" s="72"/>
      <c r="I42" s="72"/>
      <c r="J42" s="73"/>
      <c r="K42" s="74"/>
      <c r="L42" s="67"/>
      <c r="M42" s="67"/>
      <c r="N42" s="176"/>
    </row>
    <row r="43" spans="1:14" x14ac:dyDescent="0.25">
      <c r="A43" s="1"/>
      <c r="B43" s="75"/>
      <c r="D43" s="2" t="s">
        <v>18</v>
      </c>
      <c r="E43" s="28">
        <v>137138.45000000001</v>
      </c>
      <c r="H43" s="274" t="s">
        <v>19</v>
      </c>
      <c r="I43" s="274"/>
      <c r="J43" s="274">
        <f>E47</f>
        <v>123846.24000000043</v>
      </c>
      <c r="K43" s="275"/>
      <c r="L43" s="67"/>
      <c r="M43" s="67"/>
      <c r="N43" s="176"/>
    </row>
    <row r="44" spans="1:14" ht="15.75" thickBot="1" x14ac:dyDescent="0.3">
      <c r="A44" s="1"/>
      <c r="B44" s="75" t="s">
        <v>11</v>
      </c>
      <c r="C44" s="6" t="s">
        <v>20</v>
      </c>
      <c r="E44" s="76">
        <v>-2366416.0699999998</v>
      </c>
      <c r="H44" s="276" t="s">
        <v>1</v>
      </c>
      <c r="I44" s="276"/>
      <c r="J44" s="277">
        <f>-B4</f>
        <v>-134907.88</v>
      </c>
      <c r="K44" s="278"/>
      <c r="L44" s="67"/>
      <c r="M44" s="67"/>
      <c r="N44" s="176"/>
    </row>
    <row r="45" spans="1:14" ht="20.25" thickTop="1" thickBot="1" x14ac:dyDescent="0.3">
      <c r="A45" s="1"/>
      <c r="B45" s="75"/>
      <c r="D45" s="2" t="s">
        <v>21</v>
      </c>
      <c r="E45" s="28">
        <f>SUM(E42:E44)</f>
        <v>-71926.789999999572</v>
      </c>
      <c r="H45" s="261" t="s">
        <v>200</v>
      </c>
      <c r="I45" s="262"/>
      <c r="J45" s="263">
        <f>SUM(J42:K44)</f>
        <v>-11061.639999999577</v>
      </c>
      <c r="K45" s="264"/>
      <c r="L45" s="67"/>
      <c r="M45" s="67"/>
      <c r="N45" s="176"/>
    </row>
    <row r="46" spans="1:14" ht="16.5" thickBot="1" x14ac:dyDescent="0.3">
      <c r="A46" s="1"/>
      <c r="B46" s="75"/>
      <c r="C46" s="10" t="s">
        <v>288</v>
      </c>
      <c r="D46" s="234">
        <v>43682</v>
      </c>
      <c r="E46" s="78">
        <v>195773.03</v>
      </c>
      <c r="F46" s="229"/>
      <c r="J46" s="265"/>
      <c r="K46" s="266"/>
      <c r="L46" s="67"/>
      <c r="M46" s="67"/>
      <c r="N46" s="176"/>
    </row>
    <row r="47" spans="1:14" ht="19.5" thickBot="1" x14ac:dyDescent="0.35">
      <c r="A47" s="1"/>
      <c r="B47" s="79"/>
      <c r="C47" s="80"/>
      <c r="D47" s="80" t="s">
        <v>23</v>
      </c>
      <c r="E47" s="81">
        <f>E46+E45</f>
        <v>123846.24000000043</v>
      </c>
      <c r="F47" s="82"/>
      <c r="G47" s="82"/>
      <c r="H47" s="202"/>
      <c r="I47" s="196"/>
      <c r="J47" s="197"/>
      <c r="K47" s="198"/>
      <c r="L47" s="199"/>
      <c r="M47" s="67"/>
      <c r="N47" s="176"/>
    </row>
    <row r="51" spans="4:4" x14ac:dyDescent="0.25">
      <c r="D51" s="2" t="s">
        <v>11</v>
      </c>
    </row>
  </sheetData>
  <mergeCells count="16">
    <mergeCell ref="H45:I45"/>
    <mergeCell ref="J45:K45"/>
    <mergeCell ref="J46:K46"/>
    <mergeCell ref="G41:H41"/>
    <mergeCell ref="J41:K41"/>
    <mergeCell ref="C42:D42"/>
    <mergeCell ref="H43:I43"/>
    <mergeCell ref="J43:K43"/>
    <mergeCell ref="H44:I44"/>
    <mergeCell ref="J44:K44"/>
    <mergeCell ref="B1:J1"/>
    <mergeCell ref="A3:B3"/>
    <mergeCell ref="D3:F3"/>
    <mergeCell ref="G3:H3"/>
    <mergeCell ref="D4:E4"/>
    <mergeCell ref="H4:K4"/>
  </mergeCells>
  <pageMargins left="1.1499999999999999" right="0.15748031496062992" top="0.35433070866141736" bottom="0.35433070866141736" header="0.31496062992125984" footer="0.31496062992125984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7D7-9BBB-4C3A-AED9-BA235B0EBEC9}">
  <sheetPr>
    <tabColor rgb="FFFFFF00"/>
  </sheetPr>
  <dimension ref="A1:J41"/>
  <sheetViews>
    <sheetView topLeftCell="A31" workbookViewId="0">
      <selection activeCell="C39" sqref="C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205">
        <v>43650</v>
      </c>
      <c r="B3" s="206" t="s">
        <v>296</v>
      </c>
      <c r="C3" s="207">
        <v>76965.36</v>
      </c>
      <c r="D3" s="117"/>
      <c r="E3" s="92"/>
      <c r="F3" s="94">
        <f t="shared" ref="F3:F40" si="0">C3-E3</f>
        <v>76965.36</v>
      </c>
      <c r="H3" s="294"/>
      <c r="I3" s="295"/>
      <c r="J3" s="296"/>
    </row>
    <row r="4" spans="1:10" x14ac:dyDescent="0.25">
      <c r="A4" s="205">
        <v>43650</v>
      </c>
      <c r="B4" s="208" t="s">
        <v>297</v>
      </c>
      <c r="C4" s="207">
        <v>20179.5</v>
      </c>
      <c r="D4" s="117"/>
      <c r="E4" s="95"/>
      <c r="F4" s="96">
        <f t="shared" si="0"/>
        <v>20179.5</v>
      </c>
      <c r="H4" s="294"/>
      <c r="I4" s="295"/>
      <c r="J4" s="296"/>
    </row>
    <row r="5" spans="1:10" ht="15.75" thickBot="1" x14ac:dyDescent="0.3">
      <c r="A5" s="209">
        <v>43651</v>
      </c>
      <c r="B5" s="143" t="s">
        <v>298</v>
      </c>
      <c r="C5" s="163">
        <v>114221.75999999999</v>
      </c>
      <c r="D5" s="117"/>
      <c r="E5" s="95"/>
      <c r="F5" s="96">
        <f t="shared" si="0"/>
        <v>114221.75999999999</v>
      </c>
      <c r="H5" s="297"/>
      <c r="I5" s="298"/>
      <c r="J5" s="299"/>
    </row>
    <row r="6" spans="1:10" x14ac:dyDescent="0.25">
      <c r="A6" s="209">
        <v>43652</v>
      </c>
      <c r="B6" s="143" t="s">
        <v>299</v>
      </c>
      <c r="C6" s="163">
        <v>4497.6000000000004</v>
      </c>
      <c r="D6" s="117"/>
      <c r="E6" s="95"/>
      <c r="F6" s="99">
        <f t="shared" si="0"/>
        <v>4497.6000000000004</v>
      </c>
    </row>
    <row r="7" spans="1:10" x14ac:dyDescent="0.25">
      <c r="A7" s="209">
        <v>43652</v>
      </c>
      <c r="B7" s="143" t="s">
        <v>300</v>
      </c>
      <c r="C7" s="163">
        <v>115955.4</v>
      </c>
      <c r="D7" s="117"/>
      <c r="E7" s="95"/>
      <c r="F7" s="99">
        <f t="shared" si="0"/>
        <v>115955.4</v>
      </c>
    </row>
    <row r="8" spans="1:10" x14ac:dyDescent="0.25">
      <c r="A8" s="209">
        <v>43654</v>
      </c>
      <c r="B8" s="143" t="s">
        <v>301</v>
      </c>
      <c r="C8" s="163">
        <v>12398.98</v>
      </c>
      <c r="D8" s="117"/>
      <c r="E8" s="95"/>
      <c r="F8" s="99">
        <f t="shared" si="0"/>
        <v>12398.98</v>
      </c>
    </row>
    <row r="9" spans="1:10" x14ac:dyDescent="0.25">
      <c r="A9" s="209">
        <v>43654</v>
      </c>
      <c r="B9" s="143" t="s">
        <v>302</v>
      </c>
      <c r="C9" s="163">
        <v>8496</v>
      </c>
      <c r="D9" s="117"/>
      <c r="E9" s="95"/>
      <c r="F9" s="99">
        <f t="shared" si="0"/>
        <v>8496</v>
      </c>
    </row>
    <row r="10" spans="1:10" x14ac:dyDescent="0.25">
      <c r="A10" s="209">
        <v>43656</v>
      </c>
      <c r="B10" s="143" t="s">
        <v>303</v>
      </c>
      <c r="C10" s="163">
        <v>84468.36</v>
      </c>
      <c r="D10" s="117"/>
      <c r="E10" s="95"/>
      <c r="F10" s="99">
        <f t="shared" si="0"/>
        <v>84468.36</v>
      </c>
    </row>
    <row r="11" spans="1:10" x14ac:dyDescent="0.25">
      <c r="A11" s="209">
        <v>43657</v>
      </c>
      <c r="B11" s="144" t="s">
        <v>304</v>
      </c>
      <c r="C11" s="163">
        <v>99953.82</v>
      </c>
      <c r="D11" s="117"/>
      <c r="E11" s="95"/>
      <c r="F11" s="99">
        <f t="shared" si="0"/>
        <v>99953.82</v>
      </c>
    </row>
    <row r="12" spans="1:10" x14ac:dyDescent="0.25">
      <c r="A12" s="209">
        <v>43659</v>
      </c>
      <c r="B12" s="143" t="s">
        <v>305</v>
      </c>
      <c r="C12" s="163">
        <v>153431.70000000001</v>
      </c>
      <c r="D12" s="117"/>
      <c r="E12" s="95"/>
      <c r="F12" s="99">
        <f t="shared" si="0"/>
        <v>153431.70000000001</v>
      </c>
    </row>
    <row r="13" spans="1:10" x14ac:dyDescent="0.25">
      <c r="A13" s="190">
        <v>43660</v>
      </c>
      <c r="B13" s="145" t="s">
        <v>306</v>
      </c>
      <c r="C13" s="163">
        <v>3088.8</v>
      </c>
      <c r="D13" s="117"/>
      <c r="E13" s="95"/>
      <c r="F13" s="99">
        <f t="shared" si="0"/>
        <v>3088.8</v>
      </c>
    </row>
    <row r="14" spans="1:10" x14ac:dyDescent="0.25">
      <c r="A14" s="190">
        <v>43661</v>
      </c>
      <c r="B14" s="145" t="s">
        <v>307</v>
      </c>
      <c r="C14" s="163">
        <v>73106.100000000006</v>
      </c>
      <c r="D14" s="117"/>
      <c r="E14" s="95"/>
      <c r="F14" s="99">
        <f t="shared" si="0"/>
        <v>73106.100000000006</v>
      </c>
    </row>
    <row r="15" spans="1:10" x14ac:dyDescent="0.25">
      <c r="A15" s="190">
        <v>43662</v>
      </c>
      <c r="B15" s="145" t="s">
        <v>308</v>
      </c>
      <c r="C15" s="163">
        <v>102019.3</v>
      </c>
      <c r="D15" s="117"/>
      <c r="E15" s="95"/>
      <c r="F15" s="99">
        <f t="shared" si="0"/>
        <v>102019.3</v>
      </c>
    </row>
    <row r="16" spans="1:10" x14ac:dyDescent="0.25">
      <c r="A16" s="190">
        <v>43663</v>
      </c>
      <c r="B16" s="145" t="s">
        <v>309</v>
      </c>
      <c r="C16" s="163">
        <v>71842.17</v>
      </c>
      <c r="D16" s="117"/>
      <c r="E16" s="95"/>
      <c r="F16" s="99">
        <f t="shared" si="0"/>
        <v>71842.17</v>
      </c>
    </row>
    <row r="17" spans="1:6" x14ac:dyDescent="0.25">
      <c r="A17" s="190">
        <v>43664</v>
      </c>
      <c r="B17" s="145" t="s">
        <v>310</v>
      </c>
      <c r="C17" s="163">
        <v>121054.1</v>
      </c>
      <c r="D17" s="117"/>
      <c r="E17" s="95"/>
      <c r="F17" s="99">
        <f t="shared" si="0"/>
        <v>121054.1</v>
      </c>
    </row>
    <row r="18" spans="1:6" x14ac:dyDescent="0.25">
      <c r="A18" s="190">
        <v>43664</v>
      </c>
      <c r="B18" s="145" t="s">
        <v>311</v>
      </c>
      <c r="C18" s="163">
        <v>87444.800000000003</v>
      </c>
      <c r="D18" s="117"/>
      <c r="E18" s="95"/>
      <c r="F18" s="99">
        <f t="shared" si="0"/>
        <v>87444.800000000003</v>
      </c>
    </row>
    <row r="19" spans="1:6" x14ac:dyDescent="0.25">
      <c r="A19" s="190">
        <v>43666</v>
      </c>
      <c r="B19" s="145" t="s">
        <v>312</v>
      </c>
      <c r="C19" s="163">
        <v>0</v>
      </c>
      <c r="D19" s="117"/>
      <c r="E19" s="95"/>
      <c r="F19" s="99">
        <f t="shared" si="0"/>
        <v>0</v>
      </c>
    </row>
    <row r="20" spans="1:6" x14ac:dyDescent="0.25">
      <c r="A20" s="190">
        <v>43666</v>
      </c>
      <c r="B20" s="145" t="s">
        <v>313</v>
      </c>
      <c r="C20" s="163">
        <v>60279.76</v>
      </c>
      <c r="D20" s="117"/>
      <c r="E20" s="95"/>
      <c r="F20" s="99">
        <f t="shared" si="0"/>
        <v>60279.76</v>
      </c>
    </row>
    <row r="21" spans="1:6" x14ac:dyDescent="0.25">
      <c r="A21" s="190">
        <v>43668</v>
      </c>
      <c r="B21" s="145" t="s">
        <v>314</v>
      </c>
      <c r="C21" s="163">
        <v>47864</v>
      </c>
      <c r="D21" s="117"/>
      <c r="E21" s="95"/>
      <c r="F21" s="99">
        <f t="shared" si="0"/>
        <v>47864</v>
      </c>
    </row>
    <row r="22" spans="1:6" x14ac:dyDescent="0.25">
      <c r="A22" s="190">
        <v>43668</v>
      </c>
      <c r="B22" s="145" t="s">
        <v>315</v>
      </c>
      <c r="C22" s="163">
        <v>34530.6</v>
      </c>
      <c r="D22" s="117"/>
      <c r="E22" s="95"/>
      <c r="F22" s="99">
        <f t="shared" si="0"/>
        <v>34530.6</v>
      </c>
    </row>
    <row r="23" spans="1:6" x14ac:dyDescent="0.25">
      <c r="A23" s="190">
        <v>43670</v>
      </c>
      <c r="B23" s="145" t="s">
        <v>316</v>
      </c>
      <c r="C23" s="163">
        <v>37838.800000000003</v>
      </c>
      <c r="D23" s="117"/>
      <c r="E23" s="95"/>
      <c r="F23" s="99">
        <f t="shared" si="0"/>
        <v>37838.800000000003</v>
      </c>
    </row>
    <row r="24" spans="1:6" x14ac:dyDescent="0.25">
      <c r="A24" s="190">
        <v>43670</v>
      </c>
      <c r="B24" s="145" t="s">
        <v>317</v>
      </c>
      <c r="C24" s="163">
        <v>6025.6</v>
      </c>
      <c r="D24" s="117"/>
      <c r="E24" s="95"/>
      <c r="F24" s="99">
        <f t="shared" si="0"/>
        <v>6025.6</v>
      </c>
    </row>
    <row r="25" spans="1:6" x14ac:dyDescent="0.25">
      <c r="A25" s="190">
        <v>43671</v>
      </c>
      <c r="B25" s="145" t="s">
        <v>318</v>
      </c>
      <c r="C25" s="163">
        <v>175187.7</v>
      </c>
      <c r="D25" s="117"/>
      <c r="E25" s="95"/>
      <c r="F25" s="99">
        <f t="shared" si="0"/>
        <v>175187.7</v>
      </c>
    </row>
    <row r="26" spans="1:6" x14ac:dyDescent="0.25">
      <c r="A26" s="190">
        <v>43672</v>
      </c>
      <c r="B26" s="145" t="s">
        <v>319</v>
      </c>
      <c r="C26" s="163">
        <v>167570.12</v>
      </c>
      <c r="D26" s="117"/>
      <c r="E26" s="95"/>
      <c r="F26" s="99">
        <f t="shared" si="0"/>
        <v>167570.12</v>
      </c>
    </row>
    <row r="27" spans="1:6" x14ac:dyDescent="0.25">
      <c r="A27" s="190">
        <v>43673</v>
      </c>
      <c r="B27" s="145" t="s">
        <v>320</v>
      </c>
      <c r="C27" s="163">
        <v>41326.5</v>
      </c>
      <c r="D27" s="93"/>
      <c r="E27" s="95"/>
      <c r="F27" s="99">
        <f t="shared" si="0"/>
        <v>41326.5</v>
      </c>
    </row>
    <row r="28" spans="1:6" x14ac:dyDescent="0.25">
      <c r="A28" s="190">
        <v>43675</v>
      </c>
      <c r="B28" s="145" t="s">
        <v>321</v>
      </c>
      <c r="C28" s="163">
        <v>86678.26</v>
      </c>
      <c r="D28" s="93"/>
      <c r="E28" s="95"/>
      <c r="F28" s="99">
        <f t="shared" si="0"/>
        <v>86678.26</v>
      </c>
    </row>
    <row r="29" spans="1:6" x14ac:dyDescent="0.25">
      <c r="A29" s="190">
        <v>43676</v>
      </c>
      <c r="B29" s="145" t="s">
        <v>322</v>
      </c>
      <c r="C29" s="163">
        <v>140091.35</v>
      </c>
      <c r="D29" s="93"/>
      <c r="E29" s="95"/>
      <c r="F29" s="99">
        <f t="shared" si="0"/>
        <v>140091.35</v>
      </c>
    </row>
    <row r="30" spans="1:6" x14ac:dyDescent="0.25">
      <c r="A30" s="190">
        <v>43678</v>
      </c>
      <c r="B30" s="145" t="s">
        <v>323</v>
      </c>
      <c r="C30" s="163">
        <v>86781.75</v>
      </c>
      <c r="D30" s="93"/>
      <c r="E30" s="95"/>
      <c r="F30" s="99">
        <f t="shared" si="0"/>
        <v>86781.75</v>
      </c>
    </row>
    <row r="31" spans="1:6" x14ac:dyDescent="0.25">
      <c r="A31" s="190">
        <v>43679</v>
      </c>
      <c r="B31" s="145" t="s">
        <v>324</v>
      </c>
      <c r="C31" s="163">
        <v>103044.3</v>
      </c>
      <c r="D31" s="93"/>
      <c r="E31" s="95"/>
      <c r="F31" s="99">
        <f t="shared" si="0"/>
        <v>103044.3</v>
      </c>
    </row>
    <row r="32" spans="1:6" x14ac:dyDescent="0.25">
      <c r="A32" s="190">
        <v>43680</v>
      </c>
      <c r="B32" s="145" t="s">
        <v>325</v>
      </c>
      <c r="C32" s="163">
        <v>172100.3</v>
      </c>
      <c r="D32" s="93"/>
      <c r="E32" s="95"/>
      <c r="F32" s="99">
        <f t="shared" si="0"/>
        <v>172100.3</v>
      </c>
    </row>
    <row r="33" spans="1:6" x14ac:dyDescent="0.25">
      <c r="A33" s="190">
        <v>43680</v>
      </c>
      <c r="B33" s="145" t="s">
        <v>326</v>
      </c>
      <c r="C33" s="163">
        <v>2610</v>
      </c>
      <c r="D33" s="93"/>
      <c r="E33" s="95"/>
      <c r="F33" s="99">
        <f t="shared" si="0"/>
        <v>2610</v>
      </c>
    </row>
    <row r="34" spans="1:6" x14ac:dyDescent="0.25">
      <c r="A34" s="190">
        <v>43682</v>
      </c>
      <c r="B34" s="145" t="s">
        <v>327</v>
      </c>
      <c r="C34" s="163">
        <v>55363.28</v>
      </c>
      <c r="D34" s="93"/>
      <c r="E34" s="95"/>
      <c r="F34" s="99">
        <f t="shared" si="0"/>
        <v>55363.28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45272.2</v>
      </c>
      <c r="F40" s="108">
        <f t="shared" si="0"/>
        <v>-45272.2</v>
      </c>
    </row>
    <row r="41" spans="1:6" s="113" customFormat="1" ht="19.5" thickBot="1" x14ac:dyDescent="0.35">
      <c r="A41" s="109"/>
      <c r="B41" s="110"/>
      <c r="C41" s="111">
        <f>SUM(C3:C40)</f>
        <v>2366416.0700000003</v>
      </c>
      <c r="D41" s="111"/>
      <c r="E41" s="112">
        <f>SUM(E3:E40)</f>
        <v>45272.2</v>
      </c>
      <c r="F41" s="112">
        <f>SUM(F3:F40)</f>
        <v>2321143.87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E378-BEC1-4BDF-9D47-240E77297BA8}">
  <sheetPr>
    <tabColor theme="7" tint="-0.249977111117893"/>
  </sheetPr>
  <dimension ref="A1:P47"/>
  <sheetViews>
    <sheetView tabSelected="1" topLeftCell="A22" workbookViewId="0">
      <selection activeCell="F8" sqref="F8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279" t="s">
        <v>328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233"/>
      <c r="N1" s="168"/>
    </row>
    <row r="2" spans="1:16" x14ac:dyDescent="0.25">
      <c r="A2" s="1"/>
      <c r="B2" s="5"/>
      <c r="D2" s="238"/>
      <c r="E2" s="8"/>
      <c r="L2" s="9"/>
      <c r="M2" s="9"/>
      <c r="N2" s="168"/>
    </row>
    <row r="3" spans="1:16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194"/>
      <c r="N3" s="168"/>
    </row>
    <row r="4" spans="1:16" ht="20.25" thickTop="1" thickBot="1" x14ac:dyDescent="0.35">
      <c r="A4" s="120"/>
      <c r="B4" s="11">
        <v>195773.03</v>
      </c>
      <c r="C4" s="230">
        <v>43682</v>
      </c>
      <c r="D4" s="282" t="s">
        <v>3</v>
      </c>
      <c r="E4" s="283"/>
      <c r="H4" s="284" t="s">
        <v>4</v>
      </c>
      <c r="I4" s="285"/>
      <c r="J4" s="285"/>
      <c r="K4" s="28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43683</v>
      </c>
      <c r="E5" s="178">
        <v>35326.589999999997</v>
      </c>
      <c r="F5" s="182"/>
      <c r="G5" s="183">
        <v>43683</v>
      </c>
      <c r="H5" s="184">
        <v>0</v>
      </c>
      <c r="I5" s="21"/>
      <c r="J5" s="22"/>
      <c r="K5" s="22"/>
      <c r="L5" s="142">
        <f>30000+20438.5</f>
        <v>50438.5</v>
      </c>
      <c r="M5" s="177"/>
      <c r="N5" s="260">
        <f>L5-E5</f>
        <v>15111.910000000003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43684</v>
      </c>
      <c r="E6" s="178">
        <v>34310.6</v>
      </c>
      <c r="F6" s="185"/>
      <c r="G6" s="183">
        <v>43684</v>
      </c>
      <c r="H6" s="240">
        <v>0</v>
      </c>
      <c r="I6" s="241"/>
      <c r="J6" s="242" t="s">
        <v>6</v>
      </c>
      <c r="K6" s="243">
        <v>549</v>
      </c>
      <c r="L6" s="142">
        <v>89201</v>
      </c>
      <c r="M6" s="177"/>
      <c r="N6" s="260">
        <f>L6-E6+K17</f>
        <v>55790.400000000001</v>
      </c>
      <c r="O6" s="149">
        <v>25000</v>
      </c>
      <c r="P6" s="150" t="s">
        <v>334</v>
      </c>
    </row>
    <row r="7" spans="1:16" ht="16.5" thickBot="1" x14ac:dyDescent="0.3">
      <c r="A7" s="25"/>
      <c r="B7" s="16">
        <v>0</v>
      </c>
      <c r="C7" s="12"/>
      <c r="D7" s="181">
        <v>43685</v>
      </c>
      <c r="E7" s="178">
        <v>64409.2</v>
      </c>
      <c r="F7" s="150"/>
      <c r="G7" s="183">
        <v>43685</v>
      </c>
      <c r="H7" s="240">
        <v>38</v>
      </c>
      <c r="I7" s="258" t="s">
        <v>335</v>
      </c>
      <c r="J7" s="245" t="s">
        <v>7</v>
      </c>
      <c r="K7" s="246">
        <v>9408.5</v>
      </c>
      <c r="L7" s="142">
        <f>40000+25000+11030</f>
        <v>76030</v>
      </c>
      <c r="M7" s="177"/>
      <c r="N7" s="260">
        <f>L7-E7+H7-M7</f>
        <v>11658.800000000003</v>
      </c>
      <c r="O7" s="152">
        <v>-25000</v>
      </c>
      <c r="P7" s="150" t="s">
        <v>367</v>
      </c>
    </row>
    <row r="8" spans="1:16" ht="16.5" thickBot="1" x14ac:dyDescent="0.3">
      <c r="A8" s="25"/>
      <c r="B8" s="16">
        <v>0</v>
      </c>
      <c r="C8" s="34"/>
      <c r="D8" s="181">
        <v>43686</v>
      </c>
      <c r="E8" s="178">
        <v>98519.2</v>
      </c>
      <c r="F8" s="150"/>
      <c r="G8" s="183">
        <v>43686</v>
      </c>
      <c r="H8" s="240">
        <v>50</v>
      </c>
      <c r="I8" s="241"/>
      <c r="J8" s="242" t="s">
        <v>8</v>
      </c>
      <c r="K8" s="247">
        <f>7187.5+7187.5+7187.5+7187.5</f>
        <v>28750</v>
      </c>
      <c r="L8" s="142">
        <v>98469</v>
      </c>
      <c r="M8" s="212"/>
      <c r="N8" s="192">
        <f>L8-E8-M8+H8</f>
        <v>-0.19999999999708962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43687</v>
      </c>
      <c r="E9" s="178">
        <v>100148.1</v>
      </c>
      <c r="F9" s="150"/>
      <c r="G9" s="183">
        <v>43687</v>
      </c>
      <c r="H9" s="240">
        <v>0</v>
      </c>
      <c r="I9" s="248"/>
      <c r="J9" s="242" t="s">
        <v>329</v>
      </c>
      <c r="K9" s="243">
        <v>0</v>
      </c>
      <c r="L9" s="142">
        <v>100148</v>
      </c>
      <c r="M9" s="177"/>
      <c r="N9" s="192">
        <f>L9-E9+H9</f>
        <v>-0.10000000000582077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43688</v>
      </c>
      <c r="E10" s="178">
        <v>77058.75</v>
      </c>
      <c r="F10" s="150"/>
      <c r="G10" s="183">
        <v>43688</v>
      </c>
      <c r="H10" s="240">
        <v>0</v>
      </c>
      <c r="I10" s="248"/>
      <c r="J10" s="242" t="s">
        <v>330</v>
      </c>
      <c r="K10" s="243">
        <v>0</v>
      </c>
      <c r="L10" s="142">
        <v>77059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43689</v>
      </c>
      <c r="E11" s="178">
        <v>66761.289999999994</v>
      </c>
      <c r="F11" s="150"/>
      <c r="G11" s="183">
        <v>43689</v>
      </c>
      <c r="H11" s="240">
        <v>90</v>
      </c>
      <c r="I11" s="248"/>
      <c r="J11" s="242" t="s">
        <v>331</v>
      </c>
      <c r="K11" s="243">
        <v>0</v>
      </c>
      <c r="L11" s="142">
        <f>40000+26671</f>
        <v>66671</v>
      </c>
      <c r="M11" s="177" t="s">
        <v>11</v>
      </c>
      <c r="N11" s="192">
        <f>L11-E11+H11</f>
        <v>-0.28999999999359716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43690</v>
      </c>
      <c r="E12" s="178">
        <v>40785.449999999997</v>
      </c>
      <c r="F12" s="150"/>
      <c r="G12" s="183">
        <v>43690</v>
      </c>
      <c r="H12" s="240">
        <v>0</v>
      </c>
      <c r="I12" s="248"/>
      <c r="J12" s="242" t="s">
        <v>332</v>
      </c>
      <c r="K12" s="243">
        <v>0</v>
      </c>
      <c r="L12" s="142">
        <v>40785.5</v>
      </c>
      <c r="M12" s="177"/>
      <c r="N12" s="192">
        <f t="shared" ref="N12:N32" si="0">L12-E12+H12</f>
        <v>5.0000000002910383E-2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43691</v>
      </c>
      <c r="E13" s="178">
        <v>44847</v>
      </c>
      <c r="F13" s="150"/>
      <c r="G13" s="183">
        <v>43691</v>
      </c>
      <c r="H13" s="240">
        <v>0</v>
      </c>
      <c r="I13" s="249"/>
      <c r="J13" s="242" t="s">
        <v>333</v>
      </c>
      <c r="K13" s="243">
        <v>0</v>
      </c>
      <c r="L13" s="142">
        <f>30000+14847</f>
        <v>44847</v>
      </c>
      <c r="M13" s="177"/>
      <c r="N13" s="192">
        <f t="shared" si="0"/>
        <v>0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43692</v>
      </c>
      <c r="E14" s="178">
        <v>52330.7</v>
      </c>
      <c r="F14" s="150"/>
      <c r="G14" s="183">
        <v>43692</v>
      </c>
      <c r="H14" s="240">
        <v>0</v>
      </c>
      <c r="I14" s="250"/>
      <c r="J14" s="251" t="s">
        <v>9</v>
      </c>
      <c r="K14" s="252">
        <v>0</v>
      </c>
      <c r="L14" s="142">
        <v>91820</v>
      </c>
      <c r="M14" s="177"/>
      <c r="N14" s="260">
        <f t="shared" si="0"/>
        <v>39489.300000000003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43693</v>
      </c>
      <c r="E15" s="178">
        <v>70484.429999999993</v>
      </c>
      <c r="F15" s="150"/>
      <c r="G15" s="183">
        <v>43693</v>
      </c>
      <c r="H15" s="240">
        <v>38</v>
      </c>
      <c r="I15" s="241"/>
      <c r="J15" s="253"/>
      <c r="K15" s="243">
        <v>0</v>
      </c>
      <c r="L15" s="142">
        <v>70446.5</v>
      </c>
      <c r="M15" s="177"/>
      <c r="N15" s="192">
        <f t="shared" si="0"/>
        <v>7.0000000006984919E-2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43694</v>
      </c>
      <c r="E16" s="178">
        <v>79535.399999999994</v>
      </c>
      <c r="F16" s="150"/>
      <c r="G16" s="183">
        <v>43694</v>
      </c>
      <c r="H16" s="240">
        <v>0</v>
      </c>
      <c r="I16" s="241"/>
      <c r="J16" s="254"/>
      <c r="K16" s="255">
        <v>0</v>
      </c>
      <c r="L16" s="142">
        <f>55000+24535.5</f>
        <v>79535.5</v>
      </c>
      <c r="M16" s="177"/>
      <c r="N16" s="192">
        <f t="shared" si="0"/>
        <v>0.10000000000582077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43695</v>
      </c>
      <c r="E17" s="178">
        <v>85189.1</v>
      </c>
      <c r="F17" s="150"/>
      <c r="G17" s="183">
        <v>43695</v>
      </c>
      <c r="H17" s="240">
        <v>111</v>
      </c>
      <c r="I17" s="256">
        <v>43684</v>
      </c>
      <c r="J17" s="257" t="s">
        <v>12</v>
      </c>
      <c r="K17" s="255">
        <v>900</v>
      </c>
      <c r="L17" s="142">
        <v>85078</v>
      </c>
      <c r="M17" s="177"/>
      <c r="N17" s="192">
        <f t="shared" si="0"/>
        <v>-0.10000000000582077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43696</v>
      </c>
      <c r="E18" s="178">
        <v>31859.57</v>
      </c>
      <c r="F18" s="150"/>
      <c r="G18" s="183">
        <v>43696</v>
      </c>
      <c r="H18" s="240">
        <v>95</v>
      </c>
      <c r="I18" s="44"/>
      <c r="K18" s="8"/>
      <c r="L18" s="142">
        <v>31764.5</v>
      </c>
      <c r="M18" s="177"/>
      <c r="N18" s="192">
        <f t="shared" si="0"/>
        <v>-6.9999999999708962E-2</v>
      </c>
      <c r="O18" s="150"/>
    </row>
    <row r="19" spans="1:16" ht="16.5" thickBot="1" x14ac:dyDescent="0.3">
      <c r="A19" s="25"/>
      <c r="B19" s="16">
        <v>0</v>
      </c>
      <c r="C19" s="36"/>
      <c r="D19" s="181">
        <v>43697</v>
      </c>
      <c r="E19" s="178">
        <v>37187.1</v>
      </c>
      <c r="F19" s="150"/>
      <c r="G19" s="183">
        <v>43697</v>
      </c>
      <c r="H19" s="240">
        <v>50</v>
      </c>
      <c r="I19" s="28"/>
      <c r="K19" s="8">
        <v>0</v>
      </c>
      <c r="L19" s="142">
        <v>40137</v>
      </c>
      <c r="M19" s="177"/>
      <c r="N19" s="260">
        <f t="shared" si="0"/>
        <v>2999.9000000000015</v>
      </c>
    </row>
    <row r="20" spans="1:16" ht="16.5" thickBot="1" x14ac:dyDescent="0.3">
      <c r="A20" s="25"/>
      <c r="B20" s="16">
        <v>0</v>
      </c>
      <c r="C20" s="46"/>
      <c r="D20" s="181">
        <v>43698</v>
      </c>
      <c r="E20" s="178">
        <v>59803.3</v>
      </c>
      <c r="F20" s="186"/>
      <c r="G20" s="183">
        <v>43698</v>
      </c>
      <c r="H20" s="240">
        <v>0</v>
      </c>
      <c r="I20" s="162"/>
      <c r="J20" s="48"/>
      <c r="K20" s="28" t="s">
        <v>10</v>
      </c>
      <c r="L20" s="142">
        <v>69003</v>
      </c>
      <c r="M20" s="177"/>
      <c r="N20" s="260">
        <f t="shared" si="0"/>
        <v>9199.6999999999971</v>
      </c>
    </row>
    <row r="21" spans="1:16" ht="16.5" thickBot="1" x14ac:dyDescent="0.3">
      <c r="A21" s="25"/>
      <c r="B21" s="16">
        <v>0</v>
      </c>
      <c r="C21" s="46"/>
      <c r="D21" s="181">
        <v>43699</v>
      </c>
      <c r="E21" s="178">
        <v>53990.2</v>
      </c>
      <c r="F21" s="150"/>
      <c r="G21" s="183">
        <v>43699</v>
      </c>
      <c r="H21" s="240">
        <v>0</v>
      </c>
      <c r="I21" s="33"/>
      <c r="J21" s="49"/>
      <c r="K21" s="28"/>
      <c r="L21" s="142">
        <f>30000+23990</f>
        <v>53990</v>
      </c>
      <c r="M21" s="177"/>
      <c r="N21" s="192">
        <f t="shared" si="0"/>
        <v>-0.19999999999708962</v>
      </c>
    </row>
    <row r="22" spans="1:16" ht="16.5" thickBot="1" x14ac:dyDescent="0.3">
      <c r="A22" s="25"/>
      <c r="B22" s="16">
        <v>0</v>
      </c>
      <c r="C22" s="36"/>
      <c r="D22" s="181">
        <v>43700</v>
      </c>
      <c r="E22" s="178">
        <v>92226.94</v>
      </c>
      <c r="F22" s="150"/>
      <c r="G22" s="183">
        <v>43700</v>
      </c>
      <c r="H22" s="240">
        <v>38</v>
      </c>
      <c r="I22" s="47" t="s">
        <v>11</v>
      </c>
      <c r="J22" s="50"/>
      <c r="K22" s="28">
        <v>0</v>
      </c>
      <c r="L22" s="142">
        <v>92189</v>
      </c>
      <c r="M22" s="177"/>
      <c r="N22" s="192">
        <f t="shared" si="0"/>
        <v>5.9999999997671694E-2</v>
      </c>
    </row>
    <row r="23" spans="1:16" ht="16.5" thickBot="1" x14ac:dyDescent="0.3">
      <c r="A23" s="25"/>
      <c r="B23" s="16">
        <v>0</v>
      </c>
      <c r="C23" s="36"/>
      <c r="D23" s="181">
        <v>43701</v>
      </c>
      <c r="E23" s="178">
        <v>69772.600000000006</v>
      </c>
      <c r="F23" s="150"/>
      <c r="G23" s="183">
        <v>43701</v>
      </c>
      <c r="H23" s="240">
        <v>0</v>
      </c>
      <c r="I23" s="28"/>
      <c r="J23" s="49"/>
      <c r="K23" s="28">
        <v>0</v>
      </c>
      <c r="L23" s="142">
        <f>47661+25000</f>
        <v>72661</v>
      </c>
      <c r="M23" s="177"/>
      <c r="N23" s="260">
        <f t="shared" si="0"/>
        <v>2888.3999999999942</v>
      </c>
    </row>
    <row r="24" spans="1:16" ht="16.5" thickBot="1" x14ac:dyDescent="0.3">
      <c r="A24" s="25"/>
      <c r="B24" s="16">
        <v>0</v>
      </c>
      <c r="C24" s="36"/>
      <c r="D24" s="181">
        <v>43702</v>
      </c>
      <c r="E24" s="178">
        <v>69555.259999999995</v>
      </c>
      <c r="F24" s="150"/>
      <c r="G24" s="183">
        <v>43702</v>
      </c>
      <c r="H24" s="240">
        <v>0</v>
      </c>
      <c r="I24" s="28"/>
      <c r="J24" s="56"/>
      <c r="K24" s="28">
        <v>0</v>
      </c>
      <c r="L24" s="142">
        <v>69555</v>
      </c>
      <c r="M24" s="177"/>
      <c r="N24" s="192">
        <f t="shared" si="0"/>
        <v>-0.25999999999476131</v>
      </c>
    </row>
    <row r="25" spans="1:16" ht="16.5" thickBot="1" x14ac:dyDescent="0.3">
      <c r="A25" s="25"/>
      <c r="B25" s="16">
        <v>0</v>
      </c>
      <c r="C25" s="46"/>
      <c r="D25" s="181">
        <v>43703</v>
      </c>
      <c r="E25" s="178">
        <v>63650.15</v>
      </c>
      <c r="F25" s="150"/>
      <c r="G25" s="183">
        <v>43703</v>
      </c>
      <c r="H25" s="240">
        <v>90</v>
      </c>
      <c r="I25" s="28"/>
      <c r="J25" s="52"/>
      <c r="K25" s="28"/>
      <c r="L25" s="142">
        <v>63560</v>
      </c>
      <c r="M25" s="177"/>
      <c r="N25" s="192">
        <f t="shared" si="0"/>
        <v>-0.15000000000145519</v>
      </c>
    </row>
    <row r="26" spans="1:16" ht="16.5" thickBot="1" x14ac:dyDescent="0.3">
      <c r="A26" s="25"/>
      <c r="B26" s="16">
        <v>0</v>
      </c>
      <c r="C26" s="36"/>
      <c r="D26" s="181">
        <v>43704</v>
      </c>
      <c r="E26" s="178">
        <v>25968.240000000002</v>
      </c>
      <c r="F26" s="150"/>
      <c r="G26" s="183">
        <v>43704</v>
      </c>
      <c r="H26" s="240">
        <v>0</v>
      </c>
      <c r="I26" s="40"/>
      <c r="J26" s="53"/>
      <c r="K26" s="28">
        <v>0</v>
      </c>
      <c r="L26" s="142">
        <v>25968</v>
      </c>
      <c r="M26" s="177"/>
      <c r="N26" s="192">
        <f t="shared" si="0"/>
        <v>-0.24000000000160071</v>
      </c>
    </row>
    <row r="27" spans="1:16" ht="16.5" thickBot="1" x14ac:dyDescent="0.3">
      <c r="A27" s="25"/>
      <c r="B27" s="16">
        <v>0</v>
      </c>
      <c r="C27" s="36"/>
      <c r="D27" s="181">
        <v>43705</v>
      </c>
      <c r="E27" s="178">
        <v>29318.35</v>
      </c>
      <c r="F27" s="150"/>
      <c r="G27" s="183">
        <v>43705</v>
      </c>
      <c r="H27" s="240">
        <v>0</v>
      </c>
      <c r="I27" s="40"/>
      <c r="J27" s="54"/>
      <c r="K27" s="28">
        <v>0</v>
      </c>
      <c r="L27" s="142">
        <v>29318.5</v>
      </c>
      <c r="M27" s="177"/>
      <c r="N27" s="192">
        <f t="shared" si="0"/>
        <v>0.15000000000145519</v>
      </c>
    </row>
    <row r="28" spans="1:16" ht="16.5" thickBot="1" x14ac:dyDescent="0.3">
      <c r="A28" s="25"/>
      <c r="B28" s="16">
        <v>0</v>
      </c>
      <c r="C28" s="36"/>
      <c r="D28" s="181">
        <v>43706</v>
      </c>
      <c r="E28" s="178">
        <v>91309.8</v>
      </c>
      <c r="F28" s="150"/>
      <c r="G28" s="183">
        <v>43706</v>
      </c>
      <c r="H28" s="240">
        <v>38</v>
      </c>
      <c r="I28" s="28"/>
      <c r="J28" s="55"/>
      <c r="K28" s="28">
        <v>0</v>
      </c>
      <c r="L28" s="142">
        <v>91272</v>
      </c>
      <c r="M28" s="177"/>
      <c r="N28" s="192">
        <f t="shared" si="0"/>
        <v>0.19999999999708962</v>
      </c>
    </row>
    <row r="29" spans="1:16" ht="16.5" thickBot="1" x14ac:dyDescent="0.3">
      <c r="A29" s="1"/>
      <c r="B29" s="16">
        <v>0</v>
      </c>
      <c r="C29" s="36"/>
      <c r="D29" s="181">
        <v>43707</v>
      </c>
      <c r="E29" s="178">
        <v>67048.13</v>
      </c>
      <c r="F29" s="150"/>
      <c r="G29" s="183">
        <v>43707</v>
      </c>
      <c r="H29" s="240">
        <v>0</v>
      </c>
      <c r="I29" s="40"/>
      <c r="K29" s="28"/>
      <c r="L29" s="142">
        <f>12048+30000+25000</f>
        <v>67048</v>
      </c>
      <c r="M29" s="177"/>
      <c r="N29" s="192">
        <f t="shared" si="0"/>
        <v>-0.13000000000465661</v>
      </c>
    </row>
    <row r="30" spans="1:16" ht="16.5" thickBot="1" x14ac:dyDescent="0.3">
      <c r="A30" s="1"/>
      <c r="B30" s="16">
        <v>0</v>
      </c>
      <c r="C30" s="36"/>
      <c r="D30" s="181">
        <v>43708</v>
      </c>
      <c r="E30" s="178">
        <v>76855.899999999994</v>
      </c>
      <c r="F30" s="150"/>
      <c r="G30" s="183">
        <v>43708</v>
      </c>
      <c r="H30" s="240">
        <v>50</v>
      </c>
      <c r="I30" s="28"/>
      <c r="J30" s="55"/>
      <c r="K30" s="28">
        <v>0</v>
      </c>
      <c r="L30" s="142">
        <v>76806</v>
      </c>
      <c r="M30" s="177"/>
      <c r="N30" s="192">
        <f t="shared" si="0"/>
        <v>0.10000000000582077</v>
      </c>
    </row>
    <row r="31" spans="1:16" ht="16.5" thickBot="1" x14ac:dyDescent="0.3">
      <c r="A31" s="1"/>
      <c r="B31" s="16">
        <v>0</v>
      </c>
      <c r="C31" s="36"/>
      <c r="D31" s="181">
        <v>43709</v>
      </c>
      <c r="E31" s="178">
        <v>74637.36</v>
      </c>
      <c r="F31" s="150"/>
      <c r="G31" s="183">
        <v>43709</v>
      </c>
      <c r="H31" s="240">
        <v>0</v>
      </c>
      <c r="I31" s="216"/>
      <c r="J31" s="55"/>
      <c r="K31" s="28">
        <v>0</v>
      </c>
      <c r="L31" s="142">
        <v>74637.5</v>
      </c>
      <c r="M31" s="177"/>
      <c r="N31" s="192">
        <f t="shared" si="0"/>
        <v>0.13999999999941792</v>
      </c>
    </row>
    <row r="32" spans="1:16" ht="16.5" thickBot="1" x14ac:dyDescent="0.3">
      <c r="A32" s="1"/>
      <c r="B32" s="16">
        <v>0</v>
      </c>
      <c r="C32" s="36"/>
      <c r="D32" s="181">
        <v>43710</v>
      </c>
      <c r="E32" s="178">
        <v>54007.199999999997</v>
      </c>
      <c r="F32" s="150"/>
      <c r="G32" s="183">
        <v>43710</v>
      </c>
      <c r="H32" s="240">
        <v>0</v>
      </c>
      <c r="I32" s="40">
        <v>43711</v>
      </c>
      <c r="J32" s="55" t="s">
        <v>12</v>
      </c>
      <c r="K32" s="28">
        <v>900</v>
      </c>
      <c r="L32" s="142">
        <f>20000+34007</f>
        <v>54007</v>
      </c>
      <c r="M32" s="177"/>
      <c r="N32" s="192">
        <f t="shared" si="0"/>
        <v>-0.19999999999708962</v>
      </c>
    </row>
    <row r="33" spans="1:14" ht="16.5" thickBot="1" x14ac:dyDescent="0.3">
      <c r="A33" s="1"/>
      <c r="B33" s="16">
        <v>0</v>
      </c>
      <c r="C33" s="36"/>
      <c r="D33" s="181">
        <v>43711</v>
      </c>
      <c r="E33" s="178">
        <v>79778.929999999993</v>
      </c>
      <c r="F33" s="150"/>
      <c r="G33" s="183">
        <v>43711</v>
      </c>
      <c r="H33" s="240">
        <v>38</v>
      </c>
      <c r="I33" s="40">
        <v>43711</v>
      </c>
      <c r="J33" s="55" t="s">
        <v>366</v>
      </c>
      <c r="K33" s="28">
        <v>1000</v>
      </c>
      <c r="L33" s="142">
        <v>76971</v>
      </c>
      <c r="M33" s="177"/>
      <c r="N33" s="192">
        <f>L33-E33+H33+K32+K33+K34</f>
        <v>7.0000000006984919E-2</v>
      </c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259">
        <v>43711</v>
      </c>
      <c r="J34" s="231" t="s">
        <v>79</v>
      </c>
      <c r="K34" s="232">
        <v>870</v>
      </c>
      <c r="L34" s="226">
        <f>SUM(L5:L33)</f>
        <v>1959416.5</v>
      </c>
      <c r="M34" s="201"/>
      <c r="N34" s="177">
        <f>SUM(N5:N33)</f>
        <v>137137.66000000003</v>
      </c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1826674.84</v>
      </c>
      <c r="G35" s="238" t="s">
        <v>15</v>
      </c>
      <c r="H35" s="132">
        <f>SUM(H5:H34)</f>
        <v>726</v>
      </c>
      <c r="I35" s="28"/>
      <c r="J35" s="65" t="s">
        <v>15</v>
      </c>
      <c r="K35" s="29">
        <f>SUM(K5:K34)</f>
        <v>42377.5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69" t="s">
        <v>16</v>
      </c>
      <c r="H37" s="270"/>
      <c r="I37" s="239"/>
      <c r="J37" s="271">
        <f>H35+K35</f>
        <v>43103.5</v>
      </c>
      <c r="K37" s="272"/>
      <c r="L37" s="67"/>
      <c r="M37" s="67"/>
      <c r="N37" s="237"/>
    </row>
    <row r="38" spans="1:14" ht="15.75" x14ac:dyDescent="0.25">
      <c r="A38" s="1"/>
      <c r="B38" s="69"/>
      <c r="C38" s="273" t="s">
        <v>17</v>
      </c>
      <c r="D38" s="273"/>
      <c r="E38" s="70">
        <f>E35-J37</f>
        <v>1783571.34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118473.3</v>
      </c>
      <c r="H39" s="274" t="s">
        <v>19</v>
      </c>
      <c r="I39" s="274"/>
      <c r="J39" s="274">
        <f>E43</f>
        <v>205282.25000000017</v>
      </c>
      <c r="K39" s="275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-1875289.71</v>
      </c>
      <c r="H40" s="276" t="s">
        <v>1</v>
      </c>
      <c r="I40" s="276"/>
      <c r="J40" s="277">
        <f>-B4</f>
        <v>-195773.03</v>
      </c>
      <c r="K40" s="278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26754.930000000168</v>
      </c>
      <c r="H41" s="261" t="s">
        <v>200</v>
      </c>
      <c r="I41" s="262"/>
      <c r="J41" s="263">
        <f>SUM(J38:K40)</f>
        <v>9509.2200000001758</v>
      </c>
      <c r="K41" s="264"/>
      <c r="L41" s="67"/>
      <c r="M41" s="67"/>
      <c r="N41" s="176"/>
    </row>
    <row r="42" spans="1:14" ht="16.5" thickBot="1" x14ac:dyDescent="0.3">
      <c r="A42" s="1"/>
      <c r="B42" s="75"/>
      <c r="C42" s="10" t="s">
        <v>288</v>
      </c>
      <c r="D42" s="234">
        <v>43711</v>
      </c>
      <c r="E42" s="78">
        <v>178527.32</v>
      </c>
      <c r="F42" s="229"/>
      <c r="J42" s="265"/>
      <c r="K42" s="266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205282.25000000017</v>
      </c>
      <c r="F43" s="82"/>
      <c r="G43" s="82"/>
      <c r="H43" s="202"/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6B24-3BCD-4106-AD0B-CB85FA84784D}">
  <sheetPr>
    <tabColor theme="7" tint="-0.249977111117893"/>
  </sheetPr>
  <dimension ref="A1:J41"/>
  <sheetViews>
    <sheetView topLeftCell="A22" workbookViewId="0">
      <selection activeCell="C33" sqref="C3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205">
        <v>43684</v>
      </c>
      <c r="B3" s="206" t="s">
        <v>336</v>
      </c>
      <c r="C3" s="207">
        <v>94716.74</v>
      </c>
      <c r="D3" s="117"/>
      <c r="E3" s="92"/>
      <c r="F3" s="94">
        <f t="shared" ref="F3:F40" si="0">C3-E3</f>
        <v>94716.74</v>
      </c>
      <c r="H3" s="294"/>
      <c r="I3" s="295"/>
      <c r="J3" s="296"/>
    </row>
    <row r="4" spans="1:10" x14ac:dyDescent="0.25">
      <c r="A4" s="205">
        <v>43685</v>
      </c>
      <c r="B4" s="208" t="s">
        <v>337</v>
      </c>
      <c r="C4" s="207">
        <v>153059.44</v>
      </c>
      <c r="D4" s="117"/>
      <c r="E4" s="95"/>
      <c r="F4" s="96">
        <f t="shared" si="0"/>
        <v>153059.44</v>
      </c>
      <c r="H4" s="294"/>
      <c r="I4" s="295"/>
      <c r="J4" s="296"/>
    </row>
    <row r="5" spans="1:10" ht="15.75" thickBot="1" x14ac:dyDescent="0.3">
      <c r="A5" s="209">
        <v>43686</v>
      </c>
      <c r="B5" s="143" t="s">
        <v>338</v>
      </c>
      <c r="C5" s="163">
        <v>164901.70000000001</v>
      </c>
      <c r="D5" s="117"/>
      <c r="E5" s="95"/>
      <c r="F5" s="96">
        <f t="shared" si="0"/>
        <v>164901.70000000001</v>
      </c>
      <c r="H5" s="297"/>
      <c r="I5" s="298"/>
      <c r="J5" s="299"/>
    </row>
    <row r="6" spans="1:10" x14ac:dyDescent="0.25">
      <c r="A6" s="209">
        <v>43687</v>
      </c>
      <c r="B6" s="143" t="s">
        <v>339</v>
      </c>
      <c r="C6" s="163">
        <v>45784.1</v>
      </c>
      <c r="D6" s="117"/>
      <c r="E6" s="95"/>
      <c r="F6" s="99">
        <f t="shared" si="0"/>
        <v>45784.1</v>
      </c>
    </row>
    <row r="7" spans="1:10" x14ac:dyDescent="0.25">
      <c r="A7" s="209">
        <v>43687</v>
      </c>
      <c r="B7" s="143" t="s">
        <v>340</v>
      </c>
      <c r="C7" s="163">
        <v>41699</v>
      </c>
      <c r="D7" s="117"/>
      <c r="E7" s="95"/>
      <c r="F7" s="99">
        <f t="shared" si="0"/>
        <v>41699</v>
      </c>
    </row>
    <row r="8" spans="1:10" x14ac:dyDescent="0.25">
      <c r="A8" s="209">
        <v>43688</v>
      </c>
      <c r="B8" s="143" t="s">
        <v>341</v>
      </c>
      <c r="C8" s="163">
        <v>4476.6400000000003</v>
      </c>
      <c r="D8" s="117"/>
      <c r="E8" s="95"/>
      <c r="F8" s="99">
        <f t="shared" si="0"/>
        <v>4476.6400000000003</v>
      </c>
    </row>
    <row r="9" spans="1:10" x14ac:dyDescent="0.25">
      <c r="A9" s="209">
        <v>43689</v>
      </c>
      <c r="B9" s="143" t="s">
        <v>342</v>
      </c>
      <c r="C9" s="163">
        <v>87394.28</v>
      </c>
      <c r="D9" s="117"/>
      <c r="E9" s="95"/>
      <c r="F9" s="99">
        <f t="shared" si="0"/>
        <v>87394.28</v>
      </c>
    </row>
    <row r="10" spans="1:10" x14ac:dyDescent="0.25">
      <c r="A10" s="209">
        <v>43689</v>
      </c>
      <c r="B10" s="143" t="s">
        <v>343</v>
      </c>
      <c r="C10" s="163">
        <v>10454.4</v>
      </c>
      <c r="D10" s="117"/>
      <c r="E10" s="95"/>
      <c r="F10" s="99">
        <f t="shared" si="0"/>
        <v>10454.4</v>
      </c>
    </row>
    <row r="11" spans="1:10" x14ac:dyDescent="0.25">
      <c r="A11" s="209">
        <v>43690</v>
      </c>
      <c r="B11" s="144" t="s">
        <v>344</v>
      </c>
      <c r="C11" s="163">
        <v>8274</v>
      </c>
      <c r="D11" s="117"/>
      <c r="E11" s="95"/>
      <c r="F11" s="99">
        <f t="shared" si="0"/>
        <v>8274</v>
      </c>
    </row>
    <row r="12" spans="1:10" x14ac:dyDescent="0.25">
      <c r="A12" s="209">
        <v>43691</v>
      </c>
      <c r="B12" s="143" t="s">
        <v>345</v>
      </c>
      <c r="C12" s="163">
        <v>89912.07</v>
      </c>
      <c r="D12" s="117"/>
      <c r="E12" s="95"/>
      <c r="F12" s="99">
        <f t="shared" si="0"/>
        <v>89912.07</v>
      </c>
    </row>
    <row r="13" spans="1:10" x14ac:dyDescent="0.25">
      <c r="A13" s="190">
        <v>43693</v>
      </c>
      <c r="B13" s="145" t="s">
        <v>346</v>
      </c>
      <c r="C13" s="163">
        <v>152593.56</v>
      </c>
      <c r="D13" s="117"/>
      <c r="E13" s="95"/>
      <c r="F13" s="99">
        <f t="shared" si="0"/>
        <v>152593.56</v>
      </c>
    </row>
    <row r="14" spans="1:10" x14ac:dyDescent="0.25">
      <c r="A14" s="190">
        <v>43694</v>
      </c>
      <c r="B14" s="145" t="s">
        <v>347</v>
      </c>
      <c r="C14" s="163">
        <v>98070.34</v>
      </c>
      <c r="D14" s="117"/>
      <c r="E14" s="95"/>
      <c r="F14" s="99">
        <f t="shared" si="0"/>
        <v>98070.34</v>
      </c>
    </row>
    <row r="15" spans="1:10" x14ac:dyDescent="0.25">
      <c r="A15" s="190">
        <v>43695</v>
      </c>
      <c r="B15" s="145" t="s">
        <v>348</v>
      </c>
      <c r="C15" s="163">
        <v>12792.8</v>
      </c>
      <c r="D15" s="117"/>
      <c r="E15" s="95"/>
      <c r="F15" s="99">
        <f t="shared" si="0"/>
        <v>12792.8</v>
      </c>
    </row>
    <row r="16" spans="1:10" x14ac:dyDescent="0.25">
      <c r="A16" s="190">
        <v>43696</v>
      </c>
      <c r="B16" s="145" t="s">
        <v>349</v>
      </c>
      <c r="C16" s="163">
        <v>82162.5</v>
      </c>
      <c r="D16" s="117"/>
      <c r="E16" s="95"/>
      <c r="F16" s="99">
        <f t="shared" si="0"/>
        <v>82162.5</v>
      </c>
    </row>
    <row r="17" spans="1:6" x14ac:dyDescent="0.25">
      <c r="A17" s="190">
        <v>43697</v>
      </c>
      <c r="B17" s="145" t="s">
        <v>350</v>
      </c>
      <c r="C17" s="163">
        <v>8255.7999999999993</v>
      </c>
      <c r="D17" s="117"/>
      <c r="E17" s="95"/>
      <c r="F17" s="99">
        <f t="shared" si="0"/>
        <v>8255.7999999999993</v>
      </c>
    </row>
    <row r="18" spans="1:6" x14ac:dyDescent="0.25">
      <c r="A18" s="190">
        <v>43698</v>
      </c>
      <c r="B18" s="145" t="s">
        <v>351</v>
      </c>
      <c r="C18" s="163">
        <v>38692</v>
      </c>
      <c r="D18" s="117"/>
      <c r="E18" s="95"/>
      <c r="F18" s="99">
        <f t="shared" si="0"/>
        <v>38692</v>
      </c>
    </row>
    <row r="19" spans="1:6" x14ac:dyDescent="0.25">
      <c r="A19" s="190">
        <v>43699</v>
      </c>
      <c r="B19" s="145" t="s">
        <v>352</v>
      </c>
      <c r="C19" s="163">
        <v>90351.2</v>
      </c>
      <c r="D19" s="117"/>
      <c r="E19" s="95"/>
      <c r="F19" s="99">
        <f t="shared" si="0"/>
        <v>90351.2</v>
      </c>
    </row>
    <row r="20" spans="1:6" x14ac:dyDescent="0.25">
      <c r="A20" s="190">
        <v>43700</v>
      </c>
      <c r="B20" s="145" t="s">
        <v>353</v>
      </c>
      <c r="C20" s="163">
        <v>131850.62</v>
      </c>
      <c r="D20" s="117"/>
      <c r="E20" s="95"/>
      <c r="F20" s="99">
        <f t="shared" si="0"/>
        <v>131850.62</v>
      </c>
    </row>
    <row r="21" spans="1:6" x14ac:dyDescent="0.25">
      <c r="A21" s="190">
        <v>43701</v>
      </c>
      <c r="B21" s="145" t="s">
        <v>354</v>
      </c>
      <c r="C21" s="163">
        <v>53811.6</v>
      </c>
      <c r="D21" s="117"/>
      <c r="E21" s="95"/>
      <c r="F21" s="99">
        <f t="shared" si="0"/>
        <v>53811.6</v>
      </c>
    </row>
    <row r="22" spans="1:6" x14ac:dyDescent="0.25">
      <c r="A22" s="190">
        <v>43703</v>
      </c>
      <c r="B22" s="145" t="s">
        <v>355</v>
      </c>
      <c r="C22" s="163">
        <v>42494.58</v>
      </c>
      <c r="D22" s="117"/>
      <c r="E22" s="95"/>
      <c r="F22" s="99">
        <f t="shared" si="0"/>
        <v>42494.58</v>
      </c>
    </row>
    <row r="23" spans="1:6" x14ac:dyDescent="0.25">
      <c r="A23" s="190">
        <v>43705</v>
      </c>
      <c r="B23" s="145" t="s">
        <v>356</v>
      </c>
      <c r="C23" s="163">
        <v>79181.8</v>
      </c>
      <c r="D23" s="117"/>
      <c r="E23" s="95"/>
      <c r="F23" s="99">
        <f t="shared" si="0"/>
        <v>79181.8</v>
      </c>
    </row>
    <row r="24" spans="1:6" x14ac:dyDescent="0.25">
      <c r="A24" s="190">
        <v>43706</v>
      </c>
      <c r="B24" s="145" t="s">
        <v>357</v>
      </c>
      <c r="C24" s="163">
        <v>73328.639999999999</v>
      </c>
      <c r="D24" s="117"/>
      <c r="E24" s="95"/>
      <c r="F24" s="99">
        <f t="shared" si="0"/>
        <v>73328.639999999999</v>
      </c>
    </row>
    <row r="25" spans="1:6" x14ac:dyDescent="0.25">
      <c r="A25" s="190">
        <v>43706</v>
      </c>
      <c r="B25" s="145" t="s">
        <v>358</v>
      </c>
      <c r="C25" s="163">
        <v>20858.599999999999</v>
      </c>
      <c r="D25" s="117"/>
      <c r="E25" s="95"/>
      <c r="F25" s="99">
        <f t="shared" si="0"/>
        <v>20858.599999999999</v>
      </c>
    </row>
    <row r="26" spans="1:6" x14ac:dyDescent="0.25">
      <c r="A26" s="190">
        <v>43707</v>
      </c>
      <c r="B26" s="145" t="s">
        <v>359</v>
      </c>
      <c r="C26" s="163">
        <v>61496.88</v>
      </c>
      <c r="D26" s="117"/>
      <c r="E26" s="95"/>
      <c r="F26" s="99">
        <f t="shared" si="0"/>
        <v>61496.88</v>
      </c>
    </row>
    <row r="27" spans="1:6" x14ac:dyDescent="0.25">
      <c r="A27" s="190">
        <v>43707</v>
      </c>
      <c r="B27" s="145" t="s">
        <v>360</v>
      </c>
      <c r="C27" s="163">
        <v>5610.8</v>
      </c>
      <c r="D27" s="93"/>
      <c r="E27" s="95"/>
      <c r="F27" s="99">
        <f t="shared" si="0"/>
        <v>5610.8</v>
      </c>
    </row>
    <row r="28" spans="1:6" x14ac:dyDescent="0.25">
      <c r="A28" s="190">
        <v>43708</v>
      </c>
      <c r="B28" s="145" t="s">
        <v>361</v>
      </c>
      <c r="C28" s="163">
        <v>2756</v>
      </c>
      <c r="D28" s="93"/>
      <c r="E28" s="95"/>
      <c r="F28" s="99">
        <f t="shared" si="0"/>
        <v>2756</v>
      </c>
    </row>
    <row r="29" spans="1:6" x14ac:dyDescent="0.25">
      <c r="A29" s="190">
        <v>43708</v>
      </c>
      <c r="B29" s="145" t="s">
        <v>362</v>
      </c>
      <c r="C29" s="163">
        <v>112904.82</v>
      </c>
      <c r="D29" s="93"/>
      <c r="E29" s="95"/>
      <c r="F29" s="99">
        <f t="shared" si="0"/>
        <v>112904.82</v>
      </c>
    </row>
    <row r="30" spans="1:6" x14ac:dyDescent="0.25">
      <c r="A30" s="190">
        <v>43709</v>
      </c>
      <c r="B30" s="145" t="s">
        <v>363</v>
      </c>
      <c r="C30" s="163">
        <v>3062.8</v>
      </c>
      <c r="D30" s="93"/>
      <c r="E30" s="95"/>
      <c r="F30" s="99">
        <f t="shared" si="0"/>
        <v>3062.8</v>
      </c>
    </row>
    <row r="31" spans="1:6" x14ac:dyDescent="0.25">
      <c r="A31" s="190">
        <v>43710</v>
      </c>
      <c r="B31" s="145" t="s">
        <v>364</v>
      </c>
      <c r="C31" s="163">
        <v>90111.1</v>
      </c>
      <c r="D31" s="93"/>
      <c r="E31" s="95"/>
      <c r="F31" s="99">
        <f t="shared" si="0"/>
        <v>90111.1</v>
      </c>
    </row>
    <row r="32" spans="1:6" x14ac:dyDescent="0.25">
      <c r="A32" s="190">
        <v>43711</v>
      </c>
      <c r="B32" s="145" t="s">
        <v>365</v>
      </c>
      <c r="C32" s="163">
        <v>63196.4</v>
      </c>
      <c r="D32" s="93"/>
      <c r="E32" s="95"/>
      <c r="F32" s="99">
        <f t="shared" si="0"/>
        <v>63196.4</v>
      </c>
    </row>
    <row r="33" spans="1:6" x14ac:dyDescent="0.25">
      <c r="A33" s="190"/>
      <c r="B33" s="145"/>
      <c r="C33" s="163"/>
      <c r="D33" s="93"/>
      <c r="E33" s="95"/>
      <c r="F33" s="99">
        <f t="shared" si="0"/>
        <v>0</v>
      </c>
    </row>
    <row r="34" spans="1:6" x14ac:dyDescent="0.25">
      <c r="A34" s="190"/>
      <c r="B34" s="145"/>
      <c r="C34" s="163"/>
      <c r="D34" s="93"/>
      <c r="E34" s="95"/>
      <c r="F34" s="99">
        <f t="shared" si="0"/>
        <v>0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48965.5</v>
      </c>
      <c r="F40" s="108">
        <f t="shared" si="0"/>
        <v>-48965.5</v>
      </c>
    </row>
    <row r="41" spans="1:6" s="113" customFormat="1" ht="19.5" thickBot="1" x14ac:dyDescent="0.35">
      <c r="A41" s="109"/>
      <c r="B41" s="110"/>
      <c r="C41" s="111">
        <f>SUM(C3:C40)</f>
        <v>1924255.2100000002</v>
      </c>
      <c r="D41" s="111"/>
      <c r="E41" s="112">
        <f>SUM(E3:E40)</f>
        <v>48965.5</v>
      </c>
      <c r="F41" s="112">
        <f>SUM(F3:F40)</f>
        <v>1875289.7100000002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820-890D-476F-8AA7-2F3F5CB569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0F61-B720-4D99-891A-10B2ABF8C2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300" t="s">
        <v>87</v>
      </c>
      <c r="B1" s="301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294"/>
      <c r="I3" s="295"/>
      <c r="J3" s="296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294"/>
      <c r="I4" s="295"/>
      <c r="J4" s="296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297"/>
      <c r="I5" s="298"/>
      <c r="J5" s="299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279" t="s">
        <v>81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82" t="s">
        <v>3</v>
      </c>
      <c r="E4" s="283"/>
      <c r="H4" s="284" t="s">
        <v>4</v>
      </c>
      <c r="I4" s="285"/>
      <c r="J4" s="285"/>
      <c r="K4" s="285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269" t="s">
        <v>16</v>
      </c>
      <c r="H35" s="270"/>
      <c r="I35" s="66"/>
      <c r="J35" s="271">
        <f>H33+K33</f>
        <v>73555.430000000008</v>
      </c>
      <c r="K35" s="272"/>
      <c r="L35" s="67"/>
      <c r="M35" s="68"/>
    </row>
    <row r="36" spans="1:13" ht="15.75" x14ac:dyDescent="0.25">
      <c r="A36" s="1"/>
      <c r="B36" s="69"/>
      <c r="C36" s="273" t="s">
        <v>17</v>
      </c>
      <c r="D36" s="273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274" t="s">
        <v>19</v>
      </c>
      <c r="I37" s="274"/>
      <c r="J37" s="274">
        <f>E41</f>
        <v>248440.28999999986</v>
      </c>
      <c r="K37" s="275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276" t="s">
        <v>1</v>
      </c>
      <c r="I38" s="276"/>
      <c r="J38" s="277">
        <f>-B4</f>
        <v>-189911.38</v>
      </c>
      <c r="K38" s="278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61" t="s">
        <v>88</v>
      </c>
      <c r="I39" s="262"/>
      <c r="J39" s="263">
        <f>SUM(J36:K38)</f>
        <v>58528.909999999858</v>
      </c>
      <c r="K39" s="264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65"/>
      <c r="K40" s="266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267"/>
      <c r="K41" s="268"/>
      <c r="L41" s="67"/>
      <c r="M41" s="68"/>
    </row>
    <row r="45" spans="1:13" x14ac:dyDescent="0.25">
      <c r="D45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6:D36"/>
    <mergeCell ref="H37:I37"/>
    <mergeCell ref="J37:K37"/>
    <mergeCell ref="H38:I38"/>
    <mergeCell ref="J38:K38"/>
    <mergeCell ref="H39:I39"/>
    <mergeCell ref="J39:K39"/>
    <mergeCell ref="J40:K40"/>
    <mergeCell ref="J41:K41"/>
    <mergeCell ref="G35:H35"/>
    <mergeCell ref="J35:K35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294"/>
      <c r="I3" s="295"/>
      <c r="J3" s="296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294"/>
      <c r="I4" s="295"/>
      <c r="J4" s="296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297"/>
      <c r="I5" s="298"/>
      <c r="J5" s="299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279" t="s">
        <v>119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82" t="s">
        <v>3</v>
      </c>
      <c r="E4" s="283"/>
      <c r="H4" s="284" t="s">
        <v>4</v>
      </c>
      <c r="I4" s="285"/>
      <c r="J4" s="285"/>
      <c r="K4" s="285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269" t="s">
        <v>16</v>
      </c>
      <c r="H34" s="270"/>
      <c r="I34" s="66"/>
      <c r="J34" s="271">
        <f>H32+K32</f>
        <v>73606.100000000006</v>
      </c>
      <c r="K34" s="272"/>
      <c r="L34" s="67"/>
      <c r="M34" s="68"/>
    </row>
    <row r="35" spans="1:13" ht="15.75" x14ac:dyDescent="0.25">
      <c r="A35" s="1"/>
      <c r="B35" s="69"/>
      <c r="C35" s="273" t="s">
        <v>17</v>
      </c>
      <c r="D35" s="273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274" t="s">
        <v>19</v>
      </c>
      <c r="I36" s="274"/>
      <c r="J36" s="274">
        <f>E40</f>
        <v>277192.22999999986</v>
      </c>
      <c r="K36" s="275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276" t="s">
        <v>1</v>
      </c>
      <c r="I37" s="276"/>
      <c r="J37" s="277">
        <f>-B4</f>
        <v>-267081.15999999997</v>
      </c>
      <c r="K37" s="278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61" t="s">
        <v>88</v>
      </c>
      <c r="I38" s="262"/>
      <c r="J38" s="263">
        <f>SUM(J35:K37)</f>
        <v>10111.069999999891</v>
      </c>
      <c r="K38" s="264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65"/>
      <c r="K39" s="266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267"/>
      <c r="K40" s="268"/>
      <c r="L40" s="67"/>
      <c r="M40" s="68"/>
    </row>
    <row r="44" spans="1:13" x14ac:dyDescent="0.25">
      <c r="D44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5:D35"/>
    <mergeCell ref="H36:I36"/>
    <mergeCell ref="J36:K36"/>
    <mergeCell ref="H37:I37"/>
    <mergeCell ref="J37:K37"/>
    <mergeCell ref="H38:I38"/>
    <mergeCell ref="J38:K38"/>
    <mergeCell ref="J39:K39"/>
    <mergeCell ref="J40:K40"/>
    <mergeCell ref="G34:H34"/>
    <mergeCell ref="J34:K3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294"/>
      <c r="I3" s="295"/>
      <c r="J3" s="296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294"/>
      <c r="I4" s="295"/>
      <c r="J4" s="296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297"/>
      <c r="I5" s="298"/>
      <c r="J5" s="299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279" t="s">
        <v>153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82" t="s">
        <v>3</v>
      </c>
      <c r="E4" s="283"/>
      <c r="H4" s="284" t="s">
        <v>4</v>
      </c>
      <c r="I4" s="285"/>
      <c r="J4" s="285"/>
      <c r="K4" s="285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269" t="s">
        <v>16</v>
      </c>
      <c r="H43" s="270"/>
      <c r="I43" s="147"/>
      <c r="J43" s="271">
        <f>H41+K41</f>
        <v>82216.290000000008</v>
      </c>
      <c r="K43" s="272"/>
      <c r="L43" s="67"/>
      <c r="M43" s="176"/>
    </row>
    <row r="44" spans="1:13" ht="15.75" x14ac:dyDescent="0.25">
      <c r="A44" s="1"/>
      <c r="B44" s="69"/>
      <c r="C44" s="273" t="s">
        <v>17</v>
      </c>
      <c r="D44" s="273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274" t="s">
        <v>19</v>
      </c>
      <c r="I45" s="274"/>
      <c r="J45" s="274">
        <f>E49</f>
        <v>164192.70000000019</v>
      </c>
      <c r="K45" s="275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276" t="s">
        <v>1</v>
      </c>
      <c r="I46" s="276"/>
      <c r="J46" s="277">
        <f>-B4</f>
        <v>-196782.88</v>
      </c>
      <c r="K46" s="278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302" t="s">
        <v>200</v>
      </c>
      <c r="I47" s="303"/>
      <c r="J47" s="304">
        <f>SUM(J44:K46)</f>
        <v>-32590.179999999818</v>
      </c>
      <c r="K47" s="305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65"/>
      <c r="K48" s="266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267"/>
      <c r="K49" s="268"/>
      <c r="L49" s="67"/>
      <c r="M49" s="176"/>
    </row>
    <row r="53" spans="1:13" x14ac:dyDescent="0.25">
      <c r="D53" s="2" t="s">
        <v>11</v>
      </c>
    </row>
  </sheetData>
  <mergeCells count="17">
    <mergeCell ref="H47:I47"/>
    <mergeCell ref="J47:K47"/>
    <mergeCell ref="J48:K48"/>
    <mergeCell ref="J49:K49"/>
    <mergeCell ref="G43:H43"/>
    <mergeCell ref="J43:K43"/>
    <mergeCell ref="C44:D44"/>
    <mergeCell ref="H45:I45"/>
    <mergeCell ref="J45:K45"/>
    <mergeCell ref="H46:I46"/>
    <mergeCell ref="J46:K46"/>
    <mergeCell ref="B1:J1"/>
    <mergeCell ref="A3:B3"/>
    <mergeCell ref="D3:F3"/>
    <mergeCell ref="G3:H3"/>
    <mergeCell ref="D4:E4"/>
    <mergeCell ref="H4:K4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88" t="s">
        <v>29</v>
      </c>
      <c r="D1" s="289"/>
      <c r="E1" s="29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1" t="s">
        <v>35</v>
      </c>
      <c r="I2" s="292"/>
      <c r="J2" s="293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294"/>
      <c r="I3" s="295"/>
      <c r="J3" s="296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294"/>
      <c r="I4" s="295"/>
      <c r="J4" s="296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297"/>
      <c r="I5" s="298"/>
      <c r="J5" s="299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topLeftCell="A31" workbookViewId="0">
      <selection activeCell="H43" sqref="H43:L4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279" t="s">
        <v>201</v>
      </c>
      <c r="C1" s="279"/>
      <c r="D1" s="279"/>
      <c r="E1" s="279"/>
      <c r="F1" s="279"/>
      <c r="G1" s="279"/>
      <c r="H1" s="279"/>
      <c r="I1" s="279"/>
      <c r="J1" s="279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286" t="s">
        <v>1</v>
      </c>
      <c r="B3" s="287"/>
      <c r="C3" s="10"/>
      <c r="D3" s="280" t="s">
        <v>2</v>
      </c>
      <c r="E3" s="280"/>
      <c r="F3" s="280"/>
      <c r="G3" s="281">
        <v>2000</v>
      </c>
      <c r="H3" s="281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282" t="s">
        <v>3</v>
      </c>
      <c r="E4" s="283"/>
      <c r="H4" s="284" t="s">
        <v>4</v>
      </c>
      <c r="I4" s="285"/>
      <c r="J4" s="285"/>
      <c r="K4" s="28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69" t="s">
        <v>16</v>
      </c>
      <c r="H37" s="270"/>
      <c r="I37" s="179"/>
      <c r="J37" s="271">
        <f>H35+K35</f>
        <v>81975.89</v>
      </c>
      <c r="K37" s="272"/>
      <c r="L37" s="67"/>
      <c r="M37" s="67"/>
      <c r="N37" s="176"/>
    </row>
    <row r="38" spans="1:14" ht="15.75" x14ac:dyDescent="0.25">
      <c r="A38" s="1"/>
      <c r="B38" s="69"/>
      <c r="C38" s="273" t="s">
        <v>17</v>
      </c>
      <c r="D38" s="273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87222.24</v>
      </c>
      <c r="H39" s="274" t="s">
        <v>19</v>
      </c>
      <c r="I39" s="274"/>
      <c r="J39" s="274">
        <f>E43</f>
        <v>155697.73000000027</v>
      </c>
      <c r="K39" s="275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276" t="s">
        <v>1</v>
      </c>
      <c r="I40" s="276"/>
      <c r="J40" s="277">
        <f>-B4</f>
        <v>-206771</v>
      </c>
      <c r="K40" s="278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-177960.68999999971</v>
      </c>
      <c r="H41" s="302" t="s">
        <v>200</v>
      </c>
      <c r="I41" s="303"/>
      <c r="J41" s="304">
        <f>SUM(J38:K40)</f>
        <v>-51073.269999999728</v>
      </c>
      <c r="K41" s="305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65"/>
      <c r="K42" s="266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155697.73000000027</v>
      </c>
      <c r="F43" s="82"/>
      <c r="G43" s="82"/>
      <c r="H43" s="202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8:D38"/>
    <mergeCell ref="H39:I39"/>
    <mergeCell ref="J39:K39"/>
    <mergeCell ref="H40:I40"/>
    <mergeCell ref="J40:K40"/>
    <mergeCell ref="H41:I41"/>
    <mergeCell ref="J41:K41"/>
    <mergeCell ref="J42:K42"/>
    <mergeCell ref="G37:H37"/>
    <mergeCell ref="J37:K37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J U N I O     2019     </vt:lpstr>
      <vt:lpstr>SALIDAS   J U N I O    2019   </vt:lpstr>
      <vt:lpstr>J U L I O     2019    </vt:lpstr>
      <vt:lpstr>SALIDAS  J U L I O     2019   </vt:lpstr>
      <vt:lpstr>A G O S T O     2019     </vt:lpstr>
      <vt:lpstr>SALIDAS AGOSTO  2019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2019-08-13T20:15:14Z</cp:lastPrinted>
  <dcterms:created xsi:type="dcterms:W3CDTF">2019-01-21T18:28:16Z</dcterms:created>
  <dcterms:modified xsi:type="dcterms:W3CDTF">2019-09-10T19:31:20Z</dcterms:modified>
</cp:coreProperties>
</file>